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kelly.kitchen\Desktop\FEE SCHEDULES UPDATED FOR WEBSITE\"/>
    </mc:Choice>
  </mc:AlternateContent>
  <xr:revisionPtr revIDLastSave="0" documentId="8_{09E7C961-C2D4-42EC-9F9B-4C0918567C66}" xr6:coauthVersionLast="47" xr6:coauthVersionMax="47" xr10:uidLastSave="{00000000-0000-0000-0000-000000000000}"/>
  <bookViews>
    <workbookView xWindow="-110" yWindow="-110" windowWidth="19420" windowHeight="10420" xr2:uid="{00000000-000D-0000-FFFF-FFFF00000000}"/>
  </bookViews>
  <sheets>
    <sheet name="ASC Fee Schedule" sheetId="1" r:id="rId1"/>
    <sheet name="Updates" sheetId="2" r:id="rId2"/>
  </sheets>
  <definedNames>
    <definedName name="_xlnm._FilterDatabase" localSheetId="0" hidden="1">'ASC Fee Schedule'!$A$16:$E$7121</definedName>
    <definedName name="_xlnm.Print_Area" localSheetId="0">'ASC Fee Schedule'!$A$1:$E$7121</definedName>
    <definedName name="_xlnm.Print_Titles" localSheetId="0">'ASC Fee Schedule'!$17:$17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38" i="1" l="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3" i="1"/>
  <c r="A5652" i="1"/>
  <c r="A5651" i="1"/>
  <c r="A5650" i="1"/>
  <c r="A5649" i="1"/>
  <c r="A5648"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5148" i="1"/>
  <c r="A5147"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5146" i="1"/>
  <c r="A514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alcChain>
</file>

<file path=xl/sharedStrings.xml><?xml version="1.0" encoding="utf-8"?>
<sst xmlns="http://schemas.openxmlformats.org/spreadsheetml/2006/main" count="7829" uniqueCount="7141">
  <si>
    <t>Notes:</t>
  </si>
  <si>
    <t>Reimbursement utilizes the most recent January ASC Fee Schedule published by CMS at the following link:</t>
  </si>
  <si>
    <t>https://www.cms.gov/Medicare/Medicare-Fee-for-Service-Payment/ASCPayment/11_Addenda_Updates.html</t>
  </si>
  <si>
    <t>Adjusting them as follows:</t>
  </si>
  <si>
    <r>
      <rPr>
        <sz val="10"/>
        <color rgb="FF000000"/>
        <rFont val="Calibri"/>
        <family val="2"/>
      </rPr>
      <t xml:space="preserve">1. </t>
    </r>
    <r>
      <rPr>
        <sz val="10"/>
        <color rgb="FF000000"/>
        <rFont val="Times New Roman"/>
        <family val="1"/>
      </rPr>
      <t>Reimbursement for a procedure shall be the rate specific to that procedure as assigned by CMS, adjusted by the wage index utilized by</t>
    </r>
  </si>
  <si>
    <t>2.  Procedure codes that are considered a packaged service by CMS with a Medicare rate of $0 shall be reimbursed at a rate of $0.</t>
  </si>
  <si>
    <t>3.  Medicaid covered procedures not included on the Medicare fee schedule shall be reimbursed at forty-five (45) percent of billed charges.</t>
  </si>
  <si>
    <t xml:space="preserve">    CMS for the Cincinnati, OH, Core-Based Statistical Area, or its equivalent, in accordance with 42 C.F.R. 416.172(c)</t>
  </si>
  <si>
    <t xml:space="preserve">4.  Bilateral procedures shall be reimbursed at one hundred and fifty (150) percent of the rate established in subparagraphs 1 and 2 </t>
  </si>
  <si>
    <t xml:space="preserve">  of this paragraph.</t>
  </si>
  <si>
    <t>Effective Date</t>
  </si>
  <si>
    <t>Add/Delete/Change</t>
  </si>
  <si>
    <t>Date Fee schedule 
updated</t>
  </si>
  <si>
    <t>Various</t>
  </si>
  <si>
    <t>KY Medicaid ASC Fee Schedule Updates</t>
  </si>
  <si>
    <r>
      <rPr>
        <b/>
        <sz val="11"/>
        <color theme="1"/>
        <rFont val="Calibri"/>
        <family val="2"/>
        <scheme val="minor"/>
      </rPr>
      <t>Added the following codes as payable effective 1/1/2024:</t>
    </r>
    <r>
      <rPr>
        <sz val="10"/>
        <color rgb="FF000000"/>
        <rFont val="Times New Roman"/>
        <family val="1"/>
      </rPr>
      <t xml:space="preserve">
99459, 22836, 22837, 22838, 27278, 31242, 31243, 33276, 33277, 33278, 33279, 33280, 33281, 33287, 33288, 52284, 58580, 61889, 61891, 61892, 64596, 64597, 64598, 67516, 75580, 76984, 76987, 76988, 76989, 92622, 92623, 92972, 93150, 93151, 93152, 93153, 93584, 93585, 93586, 93587, 93588, 96547, 96548, 97037, 97550, 97551, 97552</t>
    </r>
    <r>
      <rPr>
        <sz val="10"/>
        <color rgb="FF000000"/>
        <rFont val="Times New Roman"/>
        <family val="2"/>
        <charset val="204"/>
      </rPr>
      <t xml:space="preserve">
</t>
    </r>
    <r>
      <rPr>
        <b/>
        <sz val="10"/>
        <color rgb="FF000000"/>
        <rFont val="Times New Roman"/>
        <family val="1"/>
      </rPr>
      <t xml:space="preserve">CMS End dated the following codes:
</t>
    </r>
    <r>
      <rPr>
        <sz val="10"/>
        <color rgb="FF000000"/>
        <rFont val="Times New Roman"/>
        <family val="2"/>
        <charset val="204"/>
      </rPr>
      <t>91300, 91301, 91303, 91307, 0001A, 0002A, 0003A, 0004A, 0011A, 0012A, 0013A, 0031A, 0034A, 0071A, 0072A</t>
    </r>
  </si>
  <si>
    <t>Procedure Code</t>
  </si>
  <si>
    <t>Description</t>
  </si>
  <si>
    <t>End Date</t>
  </si>
  <si>
    <t>Amount</t>
  </si>
  <si>
    <t>C9113</t>
  </si>
  <si>
    <t>J9070</t>
  </si>
  <si>
    <t>Q4210</t>
  </si>
  <si>
    <t>Q4244</t>
  </si>
  <si>
    <t>Remove the notation that states: The reimbursement rule is set up to look for the ASD rate (a provider percent rate found on the provider panel. If the provider does not have an ASD percent rate, default pricing (45% of billed amount) is applied.).   All providers receive the 45% of billed amount and does not have a provider specific rate.</t>
  </si>
  <si>
    <t xml:space="preserve"> Anesthesia for procedure on saliva gland</t>
  </si>
  <si>
    <t xml:space="preserve"> Anesthesia for plastic repair of lip defect</t>
  </si>
  <si>
    <t xml:space="preserve"> Anesthesia for procedure on eyelid</t>
  </si>
  <si>
    <t xml:space="preserve"> Anesthesia for electroshock therapy</t>
  </si>
  <si>
    <t xml:space="preserve"> Anesthesia for other procedure on external middle and inner ear</t>
  </si>
  <si>
    <t xml:space="preserve"> Anesthesia for exam of ear using an endoscope</t>
  </si>
  <si>
    <t xml:space="preserve"> Anesthesia for incision of ear drum</t>
  </si>
  <si>
    <t xml:space="preserve"> Anesthesia for other procedure on eye</t>
  </si>
  <si>
    <t xml:space="preserve"> Anesthesia for lens surgery</t>
  </si>
  <si>
    <t xml:space="preserve"> Anesthesia for procedure on eye for corneal transplant</t>
  </si>
  <si>
    <t xml:space="preserve"> Anesthesia for retinal surgery</t>
  </si>
  <si>
    <t xml:space="preserve"> Anesthesia for procedure on eye for removal of iris</t>
  </si>
  <si>
    <t xml:space="preserve"> Anesthesia for exam of inner eye using an endoscope</t>
  </si>
  <si>
    <t xml:space="preserve"> Anesthesia for other procedure on nose and sinuses</t>
  </si>
  <si>
    <t xml:space="preserve"> Anesthesia for extensive surgery on nose and sinuses</t>
  </si>
  <si>
    <t xml:space="preserve"> Anesthesia for biopsy of soft tissue of nose and sinus</t>
  </si>
  <si>
    <t xml:space="preserve"> Anesthesia for other procedure on mouth</t>
  </si>
  <si>
    <t xml:space="preserve"> Anesthesia for procedure on mouth to repair palate deformity</t>
  </si>
  <si>
    <t xml:space="preserve"> Anesthesia for procedure on throat for removal of tumor</t>
  </si>
  <si>
    <t xml:space="preserve"> Anesthesia for other procedure on face bones or skull</t>
  </si>
  <si>
    <t xml:space="preserve"> Anesthesia for other procedure on brain</t>
  </si>
  <si>
    <t xml:space="preserve"> Anesthesia for removal of fluid from brain</t>
  </si>
  <si>
    <t xml:space="preserve"> Anesthesia for procedure on blood vessels in brain</t>
  </si>
  <si>
    <t xml:space="preserve"> Anesthesia for procedure on brain while sitting up</t>
  </si>
  <si>
    <t xml:space="preserve"> Anesthesia for procedure to drain brain and spinal cord fluid</t>
  </si>
  <si>
    <t xml:space="preserve"> Anesthesia for procedure on nerve in brain</t>
  </si>
  <si>
    <t xml:space="preserve"> Anesthesia for other procedure on skin, muscles, or nerves of head, neck, and upper back</t>
  </si>
  <si>
    <t xml:space="preserve"> Anesthesia for other procedure on neck area (1 year or older)</t>
  </si>
  <si>
    <t xml:space="preserve"> Anesthesia for needle biopsy of thyroid</t>
  </si>
  <si>
    <t xml:space="preserve"> Anesthesia for other procedure on large blood vessel of neck</t>
  </si>
  <si>
    <t xml:space="preserve"> Anesthesia for tying large blood vessels of neck</t>
  </si>
  <si>
    <t xml:space="preserve"> Anesthesia for other procedure on skin of arms, legs, and front body</t>
  </si>
  <si>
    <t xml:space="preserve"> Anesthesia for reconstruction of breast</t>
  </si>
  <si>
    <t xml:space="preserve"> Anesthesia for removal of all or part of breast</t>
  </si>
  <si>
    <t xml:space="preserve"> Anesthesia for removal of breast and lymph nodes</t>
  </si>
  <si>
    <t xml:space="preserve"> Anesthesia for procedure to correct abnormal heart rhythm</t>
  </si>
  <si>
    <t xml:space="preserve"> Anesthesia for other procedure on collar bone and shoulder blade</t>
  </si>
  <si>
    <t xml:space="preserve"> Anesthesia for biopsy of collar bone</t>
  </si>
  <si>
    <t xml:space="preserve"> Anesthesia for other partial removal of rib</t>
  </si>
  <si>
    <t xml:space="preserve"> Anesthesia for partial removal of rib and chest wall repair</t>
  </si>
  <si>
    <t xml:space="preserve"> Anesthesia for procedure on esophagus</t>
  </si>
  <si>
    <t xml:space="preserve"> Anesthesia for other closed procedure on chest</t>
  </si>
  <si>
    <t xml:space="preserve"> Anesthesia for closed needle biopsy of lung</t>
  </si>
  <si>
    <t xml:space="preserve"> Anesthesia for closed exam of chest using an endoscope</t>
  </si>
  <si>
    <t xml:space="preserve"> Anesthesia for insertion of permanent heart pacemaker</t>
  </si>
  <si>
    <t xml:space="preserve"> Anesthesia for access to central vein</t>
  </si>
  <si>
    <t xml:space="preserve"> Anesthesia for insertion or replace of pacing heart defibrillator</t>
  </si>
  <si>
    <t xml:space="preserve"> Anesthesia for procedure on airway</t>
  </si>
  <si>
    <t xml:space="preserve"> Computer-assisted, fluoroscopic image-guided musculoskeletal surgical navigational orthopedic operation</t>
  </si>
  <si>
    <t xml:space="preserve"> Musculoskeletal surgical navigational orthopedic operation using imaging guidance</t>
  </si>
  <si>
    <t xml:space="preserve"> Anesthesia for other procedure on upper spine</t>
  </si>
  <si>
    <t xml:space="preserve"> Anesthesia for other procedure on middle spine</t>
  </si>
  <si>
    <t xml:space="preserve"> Anesthesia for other procedure on lower spine</t>
  </si>
  <si>
    <t xml:space="preserve"> Anesthesia for extensive surgery on spine</t>
  </si>
  <si>
    <t xml:space="preserve"> Anesthesia for other procedure on upper front abdomen</t>
  </si>
  <si>
    <t xml:space="preserve"> Anesthesia for biopsy of liver</t>
  </si>
  <si>
    <t xml:space="preserve"> Anesthesia for procedure on upper rear abdomen</t>
  </si>
  <si>
    <t xml:space="preserve"> Anesthesia for other procedure on esophagus, stomach, or upper small bowel using an endoscope</t>
  </si>
  <si>
    <t xml:space="preserve"> Anesthesia for procedure on gallbladder, pancreas, or liver using an endoscope</t>
  </si>
  <si>
    <t xml:space="preserve"> Anesthesia for other repair of upper abdomen hernia</t>
  </si>
  <si>
    <t xml:space="preserve"> Anesthesia for procedure to repair upper abdominal incisional hernia and/or wound opening</t>
  </si>
  <si>
    <t xml:space="preserve"> Anesthesia for procedure to repair upper abdominal hernia present at birth</t>
  </si>
  <si>
    <t xml:space="preserve"> Anesthesia for procedure to repair abdominal hernia</t>
  </si>
  <si>
    <t xml:space="preserve"> Anesthesia for procedure on large blood vessels in abdomen</t>
  </si>
  <si>
    <t xml:space="preserve"> Anesthesia for other procedure on upper abdomen</t>
  </si>
  <si>
    <t xml:space="preserve"> Anesthesia for other procedure on lower front abdomen</t>
  </si>
  <si>
    <t xml:space="preserve"> Anesthesia for other procedure on large bowel using an endoscope</t>
  </si>
  <si>
    <t xml:space="preserve"> Anesthesia for exam of colon using an endoscope</t>
  </si>
  <si>
    <t xml:space="preserve"> Anesthesia for procedure on small and large bowel using an endoscope</t>
  </si>
  <si>
    <t xml:space="preserve"> Anesthesia for procedure on lower rear abdomen</t>
  </si>
  <si>
    <t xml:space="preserve"> Anesthesia for other repair of lower abdomen hernia (1 year or older)</t>
  </si>
  <si>
    <t xml:space="preserve"> Anesthesia for repair of abdominal wall hernia</t>
  </si>
  <si>
    <t xml:space="preserve"> Anesthesia for other procedure on lower abdomen</t>
  </si>
  <si>
    <t xml:space="preserve"> Anesthesia for removal of amniotic fluid from uterus</t>
  </si>
  <si>
    <t xml:space="preserve"> Anesthesia for other procedure on lower abdomen outside abdominal cavity</t>
  </si>
  <si>
    <t xml:space="preserve"> Anesthesia for procedure on upper urinary tubes or removal of kidney for transplant</t>
  </si>
  <si>
    <t xml:space="preserve"> Anesthesia for removal of urinary bladder stone</t>
  </si>
  <si>
    <t xml:space="preserve"> Anesthesia for shock wave therapy for urinary system stones with water bath</t>
  </si>
  <si>
    <t xml:space="preserve"> Anesthesia for shock wave therapy for urinary system stones without water bath</t>
  </si>
  <si>
    <t xml:space="preserve"> Anesthesia for other procedure on large blood vessel of lower abdomen</t>
  </si>
  <si>
    <t xml:space="preserve"> Anesthesia for procedure on anus and rectum</t>
  </si>
  <si>
    <t xml:space="preserve"> Anesthesia for removal of external female genitals</t>
  </si>
  <si>
    <t xml:space="preserve"> Anesthesia for other procedure on urinary system through urethra</t>
  </si>
  <si>
    <t xml:space="preserve"> Anesthesia for removal of urinary bladder tumors including use of an endoscope</t>
  </si>
  <si>
    <t xml:space="preserve"> Anesthesia for removal of prostate including use of an endoscope</t>
  </si>
  <si>
    <t xml:space="preserve"> Anesthesia for procedure to control urinary system bleeding including use of an endoscope</t>
  </si>
  <si>
    <t xml:space="preserve"> Anesthesia for fragmenting, manipulation and/or removal of kidney stone including use of an endoscope</t>
  </si>
  <si>
    <t xml:space="preserve"> Anesthesia for other procedure on male genitals</t>
  </si>
  <si>
    <t xml:space="preserve"> Anesthesia for procedure on male genital glands</t>
  </si>
  <si>
    <t xml:space="preserve"> Anesthesia for procedure on undescended testicle</t>
  </si>
  <si>
    <t xml:space="preserve"> Anesthesia for removal of testicle through groin</t>
  </si>
  <si>
    <t xml:space="preserve"> Anesthesia for removal of testicle through incision in abdomen</t>
  </si>
  <si>
    <t xml:space="preserve"> Anesthesia for relocation of undescended testicle into scrotum</t>
  </si>
  <si>
    <t xml:space="preserve"> Anesthesia for insertion of penile prosthesis</t>
  </si>
  <si>
    <t xml:space="preserve"> Anesthesia for other procedure on female genitals</t>
  </si>
  <si>
    <t xml:space="preserve"> Anesthesia for repair or removal of vagina and urinary procedure</t>
  </si>
  <si>
    <t xml:space="preserve"> Anesthesia for suture closure of cervix</t>
  </si>
  <si>
    <t xml:space="preserve"> Anesthesia for exam of cervix using an endoscope</t>
  </si>
  <si>
    <t xml:space="preserve"> Anesthesia for exam of uterus using an endoscope</t>
  </si>
  <si>
    <t xml:space="preserve"> High energy shock wave therapy of musculoskeletal system</t>
  </si>
  <si>
    <t xml:space="preserve"> High energy shock wave therapy of outer side of lower end of upper arm bone (lateral epicondyle of humerus) under anesthesia</t>
  </si>
  <si>
    <t xml:space="preserve"> Anesthesia for procedure on hip bone</t>
  </si>
  <si>
    <t xml:space="preserve"> Anesthesia for application or revision of body cast</t>
  </si>
  <si>
    <t xml:space="preserve"> Anesthesia for closed procedure on pubic bone or pelvic joint</t>
  </si>
  <si>
    <t xml:space="preserve"> Anesthesia for procedure on pubic bone or pelvic joint</t>
  </si>
  <si>
    <t xml:space="preserve"> Anesthesia for closed procedure on hip joint</t>
  </si>
  <si>
    <t xml:space="preserve"> Anesthesia for procedure on hip joint using an endoscope</t>
  </si>
  <si>
    <t xml:space="preserve"> Anesthesia for other procedure on hip joint</t>
  </si>
  <si>
    <t xml:space="preserve"> Anesthesia for closed procedure on upper 2/3rd of thigh bone</t>
  </si>
  <si>
    <t xml:space="preserve"> Anesthesia for procedure on upper 2/3rd of thigh bone</t>
  </si>
  <si>
    <t xml:space="preserve"> Anesthesia for procedure on nerves, muscles, tendons, and tissue of upper leg</t>
  </si>
  <si>
    <t xml:space="preserve"> Anesthesia for procedure on veins in upper leg</t>
  </si>
  <si>
    <t xml:space="preserve"> Anesthesia for other procedure on artery of upper leg</t>
  </si>
  <si>
    <t xml:space="preserve"> Anesthesia for procedure on nerves, muscles, tendons, and tissue of knee</t>
  </si>
  <si>
    <t xml:space="preserve"> Anesthesia for closed procedure on lower 1/3rd of thigh bone</t>
  </si>
  <si>
    <t xml:space="preserve"> Anesthesia for procedure on lower 1/3rd of thigh bone</t>
  </si>
  <si>
    <t xml:space="preserve"> Anesthesia for closed procedure on knee joint</t>
  </si>
  <si>
    <t xml:space="preserve"> Anesthesia for exam of knee joint using an endoscope</t>
  </si>
  <si>
    <t xml:space="preserve"> Anesthesia for closed procedure on kneecap and/or upper part of lower leg bones</t>
  </si>
  <si>
    <t xml:space="preserve"> Anesthesia for procedure on kneecap and/or upper part of lower leg bones</t>
  </si>
  <si>
    <t xml:space="preserve"> Anesthesia for other procedure or exam of knee joint using an endoscope</t>
  </si>
  <si>
    <t xml:space="preserve"> Anesthesia for application, removal, or repair of cast to knee</t>
  </si>
  <si>
    <t xml:space="preserve"> Anesthesia for other procedure on vein of knee</t>
  </si>
  <si>
    <t xml:space="preserve"> Anesthesia for repair of abnormal artery-vein formation of knee</t>
  </si>
  <si>
    <t xml:space="preserve"> Anesthesia for other procedure on artery of knee</t>
  </si>
  <si>
    <t xml:space="preserve"> Anesthesia for closed procedure on lower leg, ankle, and foot</t>
  </si>
  <si>
    <t xml:space="preserve"> Anesthesia for procedure on ankle or foot using an endoscope</t>
  </si>
  <si>
    <t xml:space="preserve"> Anesthesia for other procedure on nerves, muscles, tendons, and tissue of lower leg, ankle, and foot</t>
  </si>
  <si>
    <t xml:space="preserve"> Anesthesia for repair of Achilles tendon</t>
  </si>
  <si>
    <t xml:space="preserve"> Anesthesia for repair of calf muscle</t>
  </si>
  <si>
    <t xml:space="preserve"> Anesthesia for other procedure on lower leg, ankle, and foot bones</t>
  </si>
  <si>
    <t xml:space="preserve"> Anesthesia for open amputation below the knee</t>
  </si>
  <si>
    <t xml:space="preserve"> Anesthesia for open reconstruction of lower leg, ankle, and/or foot bone</t>
  </si>
  <si>
    <t xml:space="preserve"> Anesthesia for application, removal, or repair of cast to lower leg</t>
  </si>
  <si>
    <t xml:space="preserve"> Anesthesia for other procedure on artery of lower leg</t>
  </si>
  <si>
    <t xml:space="preserve"> Anesthesia for other procedure on vein of lower leg</t>
  </si>
  <si>
    <t xml:space="preserve"> Anesthesia for removal of obstruction in vein of lower leg</t>
  </si>
  <si>
    <t xml:space="preserve"> Anesthesia for procedure on nerves, muscles, tendons, fascia, and bursae of shoulder and underarm</t>
  </si>
  <si>
    <t xml:space="preserve"> Anesthesia for closed procedure on top of arm bone and shoulder joint</t>
  </si>
  <si>
    <t xml:space="preserve"> Anesthesia for exam of shoulder joint using an endoscope</t>
  </si>
  <si>
    <t xml:space="preserve"> Anesthesia for other procedure on top of arm bone and shoulder joint</t>
  </si>
  <si>
    <t xml:space="preserve"> Anesthesia for other procedure on arteries of shoulder and underarm</t>
  </si>
  <si>
    <t xml:space="preserve"> Anesthesia for procedure on veins of shoulder and underarm</t>
  </si>
  <si>
    <t xml:space="preserve"> Anesthesia for other application, removal, or repair of cast</t>
  </si>
  <si>
    <t xml:space="preserve"> Anesthesia for other procedures on nerves, muscles, tendons, and tissue of upper arm and elbow</t>
  </si>
  <si>
    <t xml:space="preserve"> Anesthesia for procedure on tendon of elbow to shoulder</t>
  </si>
  <si>
    <t xml:space="preserve"> Anesthesia for repair of elbow to shoulder tendon</t>
  </si>
  <si>
    <t xml:space="preserve"> Anesthesia for procedure on tendon of upper arm muscle</t>
  </si>
  <si>
    <t xml:space="preserve"> Anesthesia for closed procedure on upper arm and elbow</t>
  </si>
  <si>
    <t xml:space="preserve"> Anesthesia for exam of elbow joint using an endoscope</t>
  </si>
  <si>
    <t xml:space="preserve"> Anesthesia for other procedure on elbow</t>
  </si>
  <si>
    <t xml:space="preserve"> Anesthesia for incision or partial removal of upper arm bone</t>
  </si>
  <si>
    <t xml:space="preserve"> Anesthesia for repair of nonhealed broken upper arm bone</t>
  </si>
  <si>
    <t xml:space="preserve"> Anesthesia for removal of cyst or growth of upper arm</t>
  </si>
  <si>
    <t xml:space="preserve"> Anesthesia for total elbow joint replacement</t>
  </si>
  <si>
    <t xml:space="preserve"> Anesthesia for other procedure on arteries of upper arm and elbow</t>
  </si>
  <si>
    <t xml:space="preserve"> Anesthesia for removal of blood clot from upper arm or elbow artery</t>
  </si>
  <si>
    <t xml:space="preserve"> Anesthesia for other procedure on veins of upper arm and elbow</t>
  </si>
  <si>
    <t xml:space="preserve"> Anesthesia for suture of vein of upper arm and elbow</t>
  </si>
  <si>
    <t xml:space="preserve"> Anesthesia for procedure on nerves, muscles, tendons, and tissue of forearm, wrist, and hand</t>
  </si>
  <si>
    <t xml:space="preserve"> Anesthesia for closed procedure on bones of forearm, wrist, or hand</t>
  </si>
  <si>
    <t xml:space="preserve"> Anesthesia for other procedure on forearm, wrist, or hand bones</t>
  </si>
  <si>
    <t xml:space="preserve"> Anesthesia for total wrist joint replacement</t>
  </si>
  <si>
    <t xml:space="preserve"> Anesthesia for other procedure on arteries of forearm, wrist, and hand</t>
  </si>
  <si>
    <t xml:space="preserve"> Anesthesia for removal of blood clot in artery of forearm, wrist, and hand</t>
  </si>
  <si>
    <t xml:space="preserve"> Anesthesia for placement or revision of blood flow shunt</t>
  </si>
  <si>
    <t xml:space="preserve"> Anesthesia for other procedure on veins of forearm, wrist, and hand</t>
  </si>
  <si>
    <t xml:space="preserve"> Anesthesia for suture of forearm, wrist, or hand vein</t>
  </si>
  <si>
    <t xml:space="preserve"> Anesthesia for application, removal, or repair cast to forearm, wrist and hand</t>
  </si>
  <si>
    <t xml:space="preserve"> Anesthesia for X-ray exam of arteries and veins using contrast</t>
  </si>
  <si>
    <t xml:space="preserve"> Anesthesia for X-ray on heart vessels and chambers</t>
  </si>
  <si>
    <t xml:space="preserve"> Anesthesia for X-ray or radiation therapy</t>
  </si>
  <si>
    <t xml:space="preserve"> Daily hospital management of continuous spinal drug administration</t>
  </si>
  <si>
    <t xml:space="preserve"> Other anesthesia procedure</t>
  </si>
  <si>
    <t xml:space="preserve"> Injections of one side of sacrum for enlargement, 1 or more needles, accessed through the skin</t>
  </si>
  <si>
    <t xml:space="preserve"> Injections of both sides of sacrum for enlargement, 2 or more needles, accessed through the skin</t>
  </si>
  <si>
    <t xml:space="preserve"> Injections of upper or middle spine joint or nerves using ultrasound guidance, single level</t>
  </si>
  <si>
    <t xml:space="preserve"> Injections of upper or middle spine joint or nerves using ultrasound guidance, second level</t>
  </si>
  <si>
    <t xml:space="preserve"> Injections of upper or middle spine joint or nerves using imaging guidance</t>
  </si>
  <si>
    <t xml:space="preserve"> Injections of lower or sacral spine joint or nerves using ultrasound guidance, single level</t>
  </si>
  <si>
    <t xml:space="preserve"> Injections of lower or sacral spine joint or nerves using ultrasound guidance, second level</t>
  </si>
  <si>
    <t xml:space="preserve"> Injections of lower or sacral spine joint or nerves using imaging guidance</t>
  </si>
  <si>
    <t xml:space="preserve"> Harvest and injections of platelet rich plasma using imaging guidance</t>
  </si>
  <si>
    <t xml:space="preserve"> Catheter removal of plaque from groin artery, accessed through the skin or open procedure including radiological supervision and interpretation</t>
  </si>
  <si>
    <t xml:space="preserve"> Insertion of eye fluid drainage device, internal approach</t>
  </si>
  <si>
    <t xml:space="preserve"> Multiple injections of patient-derived bone marrow cells into a muscle of one leg including bone marrow harvest</t>
  </si>
  <si>
    <t xml:space="preserve"> Multiple injections of patient-derived bone marrow cells into a muscle of one leg</t>
  </si>
  <si>
    <t xml:space="preserve"> Harvest of patient-derived bone marrow cells for multiple injections into a muscle of one leg</t>
  </si>
  <si>
    <t xml:space="preserve"> Insertion or replacement of carotid sinus baroreflex activation device</t>
  </si>
  <si>
    <t xml:space="preserve"> Implantation or replacement of carotid sinus baroreflex activation device pulse generator</t>
  </si>
  <si>
    <t xml:space="preserve"> Revision or removal of carotid sinus baroreflex activation device</t>
  </si>
  <si>
    <t xml:space="preserve"> Revision or removal of carotid sinus baroreflex activation device lead on one side</t>
  </si>
  <si>
    <t xml:space="preserve"> Revision or removal of carotid sinus baroreflex activation device pulse generator</t>
  </si>
  <si>
    <t xml:space="preserve"> Removal of bone from upper or middle spine for decompression of nerve tissue using imaging guidance, accessed through the skin</t>
  </si>
  <si>
    <t xml:space="preserve"> Removal of bone from lower spine for decompression of nerve tissue using imaging guidance, accessed through the skin</t>
  </si>
  <si>
    <t xml:space="preserve"> Transcutaneous electrical modulation pain reprocessing each treatment session</t>
  </si>
  <si>
    <t xml:space="preserve"> Insertion of prosthetic telescope in eye for the treatment of central vision</t>
  </si>
  <si>
    <t xml:space="preserve"> Tear film imaging of one or both eyes</t>
  </si>
  <si>
    <t xml:space="preserve"> Imaging of heart muscle</t>
  </si>
  <si>
    <t xml:space="preserve"> Imaging of heart muscle with SPECT</t>
  </si>
  <si>
    <t xml:space="preserve"> Insertion of implant into subtalar (below ankle) foot joint</t>
  </si>
  <si>
    <t xml:space="preserve"> Destruction of nerves of arteries of both kidneys accessed through the skin with fluoroscopy and radiological supervision and interpretation</t>
  </si>
  <si>
    <t xml:space="preserve"> Destruction of nerves of arteries of one kidney accessed through the skin with fluoroscopy and radiological supervision and interpretation</t>
  </si>
  <si>
    <t xml:space="preserve"> Therapeutic apheresis with selective hdl delipidation and plasma reinfusion</t>
  </si>
  <si>
    <t xml:space="preserve"> Insertion of devices in bone for visualization and measurement using radiostereometric analysis (RSA)</t>
  </si>
  <si>
    <t xml:space="preserve"> X-ray of spine with radiostereometric analysis (RSA)</t>
  </si>
  <si>
    <t xml:space="preserve"> X-ray of arms with radiostereometric analysis (RSA)</t>
  </si>
  <si>
    <t xml:space="preserve"> X-ray of legs with radiostereometric analysis (RSA)</t>
  </si>
  <si>
    <t xml:space="preserve"> Intraoperative tomography of breast or lymph nodes or tissue</t>
  </si>
  <si>
    <t xml:space="preserve"> Intraoperative tomography of breast</t>
  </si>
  <si>
    <t xml:space="preserve"> Technical component for assessment of field of vision with concurrent data analysis and data storage with patient initiated data transmitted to a remote surveillance center for up to 30 days</t>
  </si>
  <si>
    <t xml:space="preserve"> High dose rate electronic brachytherapy, external</t>
  </si>
  <si>
    <t xml:space="preserve"> High dose rate electronic brachytherapy, internal</t>
  </si>
  <si>
    <t xml:space="preserve"> Diagnostic examination of gallbladder and pancreatic, liver, and bile ducts using an endoscope, with optical endomicroscopy</t>
  </si>
  <si>
    <t xml:space="preserve"> Collagen cross-linking treatment of disease of cornea</t>
  </si>
  <si>
    <t xml:space="preserve"> Insertion or replacement of pulse generator and electrodes of heart contractility modulator system</t>
  </si>
  <si>
    <t xml:space="preserve"> Insertion or replacement of pulse generator of heart contractility modulator system</t>
  </si>
  <si>
    <t xml:space="preserve"> Insertion or replacement of electrodes in upper chamber of heart for heart contractility modulator system</t>
  </si>
  <si>
    <t xml:space="preserve"> Insertion or replacement of electrodes in lower chamber of heart for heart contractility modulator system</t>
  </si>
  <si>
    <t xml:space="preserve"> Removal of pulse generator for heart contractility modulator system</t>
  </si>
  <si>
    <t xml:space="preserve"> Removal of electrode for heart contractility modulator system</t>
  </si>
  <si>
    <t xml:space="preserve"> Replacement of pulse generator of heart contractility modulator system</t>
  </si>
  <si>
    <t xml:space="preserve"> Repositioning of electrode of heart contractility modulator system</t>
  </si>
  <si>
    <t xml:space="preserve"> Relocation of skin pocket for pulse generator of heart contractility modulator system</t>
  </si>
  <si>
    <t xml:space="preserve"> Programming evaluation of heart contractility modulator system</t>
  </si>
  <si>
    <t xml:space="preserve"> Interrogation evaluation of heart contractility modulator system</t>
  </si>
  <si>
    <t xml:space="preserve"> Destruction of more than 50 neurofibromas of skin of head and neck</t>
  </si>
  <si>
    <t xml:space="preserve"> Destruction of more than 100 neurofibromas of skin of head and neck</t>
  </si>
  <si>
    <t xml:space="preserve"> Waterjet destruction of prostrate accessed through the urethra</t>
  </si>
  <si>
    <t xml:space="preserve"> Tactile imaging of one or both breasts</t>
  </si>
  <si>
    <t xml:space="preserve"> Reinforcement of fascia of abdominal wall with synthetic implant</t>
  </si>
  <si>
    <t xml:space="preserve"> Ultrasound of heart with injection of X-ray contrast material performed during rest or stress for assessment of heart muscle</t>
  </si>
  <si>
    <t xml:space="preserve"> Freezing destruction of nerve in arm, accessed through the skin, using imaging guidance</t>
  </si>
  <si>
    <t xml:space="preserve"> Freezing destruction of nerve in leg, accessed through the skin, using imaging guidance</t>
  </si>
  <si>
    <t xml:space="preserve"> Freezing destruction of nerve plexus, accessed through the skin, using imaging guidance</t>
  </si>
  <si>
    <t xml:space="preserve"> Real time analysis of prostate tissue using fluorescence spectroscopy</t>
  </si>
  <si>
    <t xml:space="preserve"> Initial insertion of drug-releasing implant under one or both eyelids</t>
  </si>
  <si>
    <t xml:space="preserve"> Replacement of drug-releasing implant under one or both eyelids</t>
  </si>
  <si>
    <t xml:space="preserve"> Creation of skin pocket and insertion of glucose sensor, with patient training</t>
  </si>
  <si>
    <t xml:space="preserve"> Removal of glucose sensor from skin pocket</t>
  </si>
  <si>
    <t xml:space="preserve"> Removal of glucose sensor from skin pocket with creation of new skin pocket and insertion of new glucose sensor</t>
  </si>
  <si>
    <t xml:space="preserve"> Insertion of initial aqueous fluid drainage device into eye</t>
  </si>
  <si>
    <t xml:space="preserve"> Insertion of each additional aqueous fluid drainage device into eye</t>
  </si>
  <si>
    <t xml:space="preserve"> Laser destruction of scar tissue, first 100 cm2, or 1% of body surface area of infants and children</t>
  </si>
  <si>
    <t xml:space="preserve"> Laser destruction of scar tissue, each additional 100 cm2, or 1% of body surface area of infants and children</t>
  </si>
  <si>
    <t xml:space="preserve"> Removal of implant from tunnel on outer side of foot (sinus tarsi)</t>
  </si>
  <si>
    <t xml:space="preserve"> Removal and reinsertion of implant from tunnel on outer side of foot (sinus tarsi)</t>
  </si>
  <si>
    <t xml:space="preserve"> High energy shock wave therapy for initial wound of outer body surface</t>
  </si>
  <si>
    <t xml:space="preserve"> High energy shock wave therapy for additional wound of outer body surface</t>
  </si>
  <si>
    <t xml:space="preserve"> Measurement fractional flow reserve in arteries of heart with 3D functional mapping during procedure</t>
  </si>
  <si>
    <t xml:space="preserve"> Chemical destruction of insufficient vein of arm or leg via catheter using imaging guidance</t>
  </si>
  <si>
    <t xml:space="preserve"> Insertion or replacement of complete monitoring system for deficient blood flow in heart muscle using imaging guidance</t>
  </si>
  <si>
    <t xml:space="preserve"> Insertion or replacement of electrode of monitoring system for deficient blood flow in heart muscle with imaging supervision and interpretation</t>
  </si>
  <si>
    <t xml:space="preserve"> Insertion or replacement of implantable monitor of monitoring system for deficient blood flow in heart muscle with imaging supervision and interpretation</t>
  </si>
  <si>
    <t xml:space="preserve"> Removal of complete monitoring system for deficient blood flow in heart muscle with imaging supervision and interpretation</t>
  </si>
  <si>
    <t xml:space="preserve"> Removal of electrode of monitoring system for deficient blood flow in heart muscle with imaging supervision and interpretation</t>
  </si>
  <si>
    <t xml:space="preserve"> Removal of implantable monitor of monitoring system for deficient blood flow in heart muscle with imaging supervision and interpretation</t>
  </si>
  <si>
    <t xml:space="preserve"> Freezing destruction of malignant breast tumors in one breast, accessed through skin</t>
  </si>
  <si>
    <t xml:space="preserve"> Insertion of ventilating tube in eardrum using an automated tube delivery system under local anesthesia</t>
  </si>
  <si>
    <t xml:space="preserve"> Implantation or replacement of posterior tibial nerve stimulating system for bladder dysfunction, accessed through skin</t>
  </si>
  <si>
    <t xml:space="preserve"> Revision or removal of posterior tibial nerve stimulating system for bladder dysfunction, accessed through skin</t>
  </si>
  <si>
    <t xml:space="preserve"> Incision of upper arm bone and insertion of bone-lengthening device in marrow cavity</t>
  </si>
  <si>
    <t xml:space="preserve"> Initial insertion of temporary valve-pump in female urethra</t>
  </si>
  <si>
    <t xml:space="preserve"> Replacement of temporary valve-pump in female urethra</t>
  </si>
  <si>
    <t xml:space="preserve"> Fluorescence wound imaging for bacteria, first anatomic site</t>
  </si>
  <si>
    <t xml:space="preserve"> Fluorescence wound imaging for bacteria, each additional anatomic site</t>
  </si>
  <si>
    <t xml:space="preserve"> Irreversible electroporation destruction of growths of internal organ, accessed through skin</t>
  </si>
  <si>
    <t xml:space="preserve"> Irreversible electroporation destruction of growths of internal organ, open procedure</t>
  </si>
  <si>
    <t xml:space="preserve"> Acquisition of MR spectroscopy data on biomarkers for spinal disc pain</t>
  </si>
  <si>
    <t xml:space="preserve"> Analysis of MR spectroscopy data on biomarkers for spinal disc pain</t>
  </si>
  <si>
    <t xml:space="preserve"> Removal and replacement of substernal implantable defibrillator pulse generator</t>
  </si>
  <si>
    <t xml:space="preserve"> Insertion of iris prosthesis into eye</t>
  </si>
  <si>
    <t xml:space="preserve"> Insertion of iris prosthesis into eye with removal of lens and insertion of artificial lens</t>
  </si>
  <si>
    <t xml:space="preserve"> Insertion of iris prosthesis into eye with insertion or replacementof artificial lens</t>
  </si>
  <si>
    <t xml:space="preserve"> Examination of urethra and bladder with incision of opening of prostate gland and drug delivery using endoscope</t>
  </si>
  <si>
    <t xml:space="preserve"> Insertion of stent to shunt arterial blood to deep vein of lower leg via catheter using imaging guidance</t>
  </si>
  <si>
    <t xml:space="preserve"> Injection of cell or tissue-based material into spinal disc of lower back accessed through skin, first level</t>
  </si>
  <si>
    <t xml:space="preserve"> Injection of cell or tissue-based material into spinal disc of lower back accessed through skin, each additional level</t>
  </si>
  <si>
    <t xml:space="preserve"> Injection of cell or tissue-based material into spinal disc of lower back accessed through skin using CT imaging guidance, first level</t>
  </si>
  <si>
    <t xml:space="preserve"> Injection of cell or tissue-based material into spinal disc of lower back accessed through skin using CT imaging guidance, each additional level</t>
  </si>
  <si>
    <t xml:space="preserve"> Destruction of nerves to main arteries of lung, accessed through skin via catheter using imaging guidance</t>
  </si>
  <si>
    <t xml:space="preserve"> CT of one breast with 3D rendering</t>
  </si>
  <si>
    <t xml:space="preserve"> CT of one breast with contrast and 3D rendering</t>
  </si>
  <si>
    <t xml:space="preserve"> CT of one breast before and after contrast with 3D rendering</t>
  </si>
  <si>
    <t xml:space="preserve"> CT of both breasts with 3D rendering</t>
  </si>
  <si>
    <t xml:space="preserve"> CT of both breasts with contrast and 3D rendering</t>
  </si>
  <si>
    <t xml:space="preserve"> CT of both breasts before and after contrast with 3D rendering</t>
  </si>
  <si>
    <t xml:space="preserve"> Removal or reduction of mass within heart by suction through catheter</t>
  </si>
  <si>
    <t xml:space="preserve"> Insertion of tube into stomach through skin using ultrasound guidance</t>
  </si>
  <si>
    <t xml:space="preserve"> Quantitative magnetic resonance analysis of tissue composition without diagnostic MRI examination</t>
  </si>
  <si>
    <t xml:space="preserve"> Examination of esophagus and stomach using a magnetically controlled capsule endoscope</t>
  </si>
  <si>
    <t xml:space="preserve"> Diagnostic inspection of esophagus, stomach, and upper small intestine using a flexible endoscope through nose</t>
  </si>
  <si>
    <t xml:space="preserve"> Inspection of esophagus, stomach, and upper small intestine with biopsy using a flexible endoscope through nose</t>
  </si>
  <si>
    <t xml:space="preserve"> Inspection of esophagus, stomach, and upper small intestine with insertion of tube or catheter using a flexible endoscope through nose</t>
  </si>
  <si>
    <t xml:space="preserve"> Destruction of prostate cancer tissue by laser using ultrasound guidance</t>
  </si>
  <si>
    <t xml:space="preserve"> Insertion of drainage device into drainage tissue within eye (trabecular meshwork)</t>
  </si>
  <si>
    <t xml:space="preserve"> Laser destruction of benign growth of thyroid using imaging guidance</t>
  </si>
  <si>
    <t xml:space="preserve"> Acoustic energy destruction of malignant liver tissue using imaging guidance</t>
  </si>
  <si>
    <t xml:space="preserve"> Quantitative ultrasound tissue characterization with interpretation and report</t>
  </si>
  <si>
    <t xml:space="preserve"> Quantitative magnetic resonance for analysis of tissue composition of multiple organs, with interpretation and report</t>
  </si>
  <si>
    <t xml:space="preserve"> Quantitative magnetic resonance for analysis of tissue composition of multiple organs obtained with diagnostic MRI of same anatomy, with interpretation and report</t>
  </si>
  <si>
    <t xml:space="preserve"> Injection of medication into posterior chamber of eye</t>
  </si>
  <si>
    <t xml:space="preserve"> Injection of bone-substitute material into defect of bone using imaging guidance and endoscope</t>
  </si>
  <si>
    <t xml:space="preserve"> Transperineal laser destruction of benign prostatic enlargement using imaging guidance</t>
  </si>
  <si>
    <t xml:space="preserve"> Insertion or replacement of spinal integrated nerve stimulating system with electrode array, accessed through the skin</t>
  </si>
  <si>
    <t xml:space="preserve"> Revision or removal of spinal integrated nerve stimulating system with electrode array</t>
  </si>
  <si>
    <t xml:space="preserve"> Insertion or replacement of sacral integrated never stimulating system with electrode array, accessed through the skin</t>
  </si>
  <si>
    <t xml:space="preserve"> Revision or removal of sacral integrated nerve stimulating system with electrode array</t>
  </si>
  <si>
    <t xml:space="preserve"> Percutaneous transcatheter thermal ablation of pulmonary artery nerves, including right heart catheterization, pulmonary artery angiography, and all imaging guidance</t>
  </si>
  <si>
    <t xml:space="preserve"> Transcatheter insertion of a permanent dual chamber leadless pacemaker using fluoroscopy and device interrogation of right ventricular pacemaker component</t>
  </si>
  <si>
    <t xml:space="preserve"> Transcatheter removal of the right ventricular component of a permanent dual-chamber leadless pacemaker using fluoroscopy</t>
  </si>
  <si>
    <t xml:space="preserve"> Transcatheter removal and replacement of permanent dual-chamber leadless pacemaker using fluoroscopy and device interrogation of right ventricular component</t>
  </si>
  <si>
    <t xml:space="preserve"> Subretinal injection of a drug, including vitrectomy and retinotomy</t>
  </si>
  <si>
    <t xml:space="preserve"> Volume adjustment of intragastric bariatric balloon using a flexible endoscope through the mouth</t>
  </si>
  <si>
    <t xml:space="preserve"> Insertion or replacement of integrated posterior tibial nerve stimulating system under the skin, for bladder dysfunction</t>
  </si>
  <si>
    <t xml:space="preserve"> Insertion or replacement of integrated posterior tibial nerve stimulating system under muscle, for bladder dysfunction</t>
  </si>
  <si>
    <t xml:space="preserve"> Revision or removal of integrated posterior nerve stimulating system under skin, for bladder dysfunction</t>
  </si>
  <si>
    <t xml:space="preserve"> Revision or removal of integrated posterior nerve stimulating system under muscle, for bladder dysfunction</t>
  </si>
  <si>
    <t xml:space="preserve"> Low energy shockwave therapy of penis</t>
  </si>
  <si>
    <t xml:space="preserve"> Fine needle aspiration biopsy, each additional growth</t>
  </si>
  <si>
    <t xml:space="preserve"> Fine needle aspiration biopsy using ultrasound guidance, first growth</t>
  </si>
  <si>
    <t xml:space="preserve"> Fine needle aspiration biopsy using ultrasound guidance, each additional growth</t>
  </si>
  <si>
    <t xml:space="preserve"> Fine needle aspiration biopsy using fluoroscopic guidance, first growth</t>
  </si>
  <si>
    <t xml:space="preserve"> Fine needle aspiration biopsy using fluoroscopic guidance, each additional growth</t>
  </si>
  <si>
    <t xml:space="preserve"> Fine needle aspiration biopsy of growth using CT guidance, first growth</t>
  </si>
  <si>
    <t xml:space="preserve"> Fine needle aspiration biopsy of growth using CT guidance, each additional growth</t>
  </si>
  <si>
    <t xml:space="preserve"> Fine needle aspiration biopsy of growth using MRI guidance, first growth</t>
  </si>
  <si>
    <t xml:space="preserve"> Fine needle aspiration biopsy of growth using MRI guidance, each additional growth</t>
  </si>
  <si>
    <t xml:space="preserve"> Fine needle aspiration biopsy, first growth</t>
  </si>
  <si>
    <t xml:space="preserve"> Drainage of fluid collection in soft tissue using imaging guidance</t>
  </si>
  <si>
    <t xml:space="preserve"> Placement of soft tissue locating device using X-ray, first growth</t>
  </si>
  <si>
    <t xml:space="preserve"> Placement of soft tissue locating device using X-ray, each additional growth</t>
  </si>
  <si>
    <t xml:space="preserve"> Acne surgery</t>
  </si>
  <si>
    <t xml:space="preserve"> Simple or single drainage of skin abscess</t>
  </si>
  <si>
    <t xml:space="preserve"> Complicated or multiple drainage of skin abscess</t>
  </si>
  <si>
    <t xml:space="preserve"> Simple drainage of cyst of tailbone</t>
  </si>
  <si>
    <t xml:space="preserve"> Complicated drainage of cyst of tailbone</t>
  </si>
  <si>
    <t xml:space="preserve"> Removal of foreign body from tissue, accessed beneath the skin, simple</t>
  </si>
  <si>
    <t xml:space="preserve"> Removal of foreign body from tissue, accessed beneath the skin, complex</t>
  </si>
  <si>
    <t xml:space="preserve"> Drainage of blood or fluid accumulation</t>
  </si>
  <si>
    <t xml:space="preserve"> Aspiration of abscess, blood, or cyst</t>
  </si>
  <si>
    <t xml:space="preserve"> Complex drainage of wound infection after surgery</t>
  </si>
  <si>
    <t xml:space="preserve"> Removal of inflamed or infected skin, up to 10% of body surface</t>
  </si>
  <si>
    <t xml:space="preserve"> Removal of inflamed or infected skin, each additional 10% of body surface or less</t>
  </si>
  <si>
    <t xml:space="preserve"> Removal of foreign material from skin and tissue at open broken and/or dislocated bone</t>
  </si>
  <si>
    <t xml:space="preserve"> Removal of foreign material from skin, tissue, and muscle at open broken and/or dislocated bone</t>
  </si>
  <si>
    <t xml:space="preserve"> Removal of foreign material from skin, tissue, muscle, and bone at open broken and/or dislocated bone</t>
  </si>
  <si>
    <t xml:space="preserve"> Removal of skin and tissue, 20.0 sq cm or less</t>
  </si>
  <si>
    <t xml:space="preserve"> Removal of muscle and/or tissue, 20.0 sq cm or less</t>
  </si>
  <si>
    <t xml:space="preserve"> Removal of bone, 20.0 sq cm or less</t>
  </si>
  <si>
    <t xml:space="preserve"> Removal of skin and tissue, each additional 20.0 sq cm or less</t>
  </si>
  <si>
    <t xml:space="preserve"> Removal of muscle and/or tissue, each additional 20.0 sq cm or less</t>
  </si>
  <si>
    <t xml:space="preserve"> Removal of bone, each additional 20.0 sq cm or less</t>
  </si>
  <si>
    <t xml:space="preserve"> Removal of noncancer thickened skin growth, 1 growth</t>
  </si>
  <si>
    <t xml:space="preserve"> Removal of noncancer thickened skin growth, 2-4 growths</t>
  </si>
  <si>
    <t xml:space="preserve"> Removal of noncancer thickened skin growth, more than 4 growths</t>
  </si>
  <si>
    <t xml:space="preserve"> Biopsy of related skin growth, first growth</t>
  </si>
  <si>
    <t xml:space="preserve"> Biopsy of related skin growth, each additional growth</t>
  </si>
  <si>
    <t xml:space="preserve"> Punch biopsy, first skin growth</t>
  </si>
  <si>
    <t xml:space="preserve"> Punch biopsy, each additional skin growth</t>
  </si>
  <si>
    <t xml:space="preserve"> Incision biopsy, first skin growth</t>
  </si>
  <si>
    <t xml:space="preserve"> Incision biopsy, each additional skin growth</t>
  </si>
  <si>
    <t xml:space="preserve"> Removal of skin tag, 1-15 skin tags</t>
  </si>
  <si>
    <t xml:space="preserve"> Removal of skin tag, each additional 10 skin tags</t>
  </si>
  <si>
    <t xml:space="preserve"> Shaving of skin growth of body, arms, or legs, 0.5 cm or less</t>
  </si>
  <si>
    <t xml:space="preserve"> Shaving of skin growth of body, arms, or legs, 0.6-1.0 cm</t>
  </si>
  <si>
    <t xml:space="preserve"> Shaving of skin growth of body, arms, or legs, 1.1-2.0 cm</t>
  </si>
  <si>
    <t xml:space="preserve"> Shaving of skin growth of body, arms, or legs, more than 2.0 cm</t>
  </si>
  <si>
    <t xml:space="preserve"> Shaving of skin growth of scalp, neck, hands, feet, or genitals, 0.5 cm or less</t>
  </si>
  <si>
    <t xml:space="preserve"> Shaving of skin growth of scalp, neck, hands, feet, or genitals, 0.6-1.0 cm</t>
  </si>
  <si>
    <t xml:space="preserve"> Shaving of skin growth of scalp, neck, hands, feet, or genitals, 1.1-2.0 cm</t>
  </si>
  <si>
    <t xml:space="preserve"> Shaving of skin growth of scalp, neck, hands, feet, or genitals, more than 2.0 cm</t>
  </si>
  <si>
    <t xml:space="preserve"> Shaving of skin growth of face, ears, eyelids, nose, lips, or mouth, 0.5 cm or less</t>
  </si>
  <si>
    <t xml:space="preserve"> Shaving of skin growth of face, ears, eyelids, nose, lips, or mouth, 0.6-1.0 cm</t>
  </si>
  <si>
    <t xml:space="preserve"> Shaving of skin growth of face, ears, eyelids, nose, lips, or mouth, 1.1-2.0 cm</t>
  </si>
  <si>
    <t xml:space="preserve"> Shaving of skin growth of face, ears, eyelids, nose, lips, or mouth, more than 2.0 cm</t>
  </si>
  <si>
    <t xml:space="preserve"> Removal of noncancer skin growth of body, arms, or legs, 0.5 cm or less</t>
  </si>
  <si>
    <t xml:space="preserve"> Removal of noncancer skin growth of body, arms, or legs, 0.6-1.0 cm</t>
  </si>
  <si>
    <t xml:space="preserve"> Removal of noncancer skin growth of body, arms, or legs, 1.1-2.0 cm</t>
  </si>
  <si>
    <t xml:space="preserve"> Removal of noncancer skin growth of body, arms, or legs, 2.1-3.0 cm</t>
  </si>
  <si>
    <t xml:space="preserve"> Removal of noncancer skin growth of body, arms, or legs, 3.1-4.0 cm</t>
  </si>
  <si>
    <t xml:space="preserve"> Removal of noncancer skin growth of body, arms, or legs, more than 4.0 cm</t>
  </si>
  <si>
    <t xml:space="preserve"> Removal of noncancer skin growth of scalp, neck, hands, feet, or genitals, 0.5 cm or less</t>
  </si>
  <si>
    <t xml:space="preserve"> Removal of noncancer skin growth of scalp, neck, hands, feet, or genitals, 0.6-1.0 cm</t>
  </si>
  <si>
    <t xml:space="preserve"> Removal of noncancer skin growth of scalp, neck, hands, feet, or genitals, 1.1-2.0 cm</t>
  </si>
  <si>
    <t xml:space="preserve"> Removal of noncancer skin growth of scalp, neck, hands, feet, or genitals, 2.1-3.0 cm</t>
  </si>
  <si>
    <t xml:space="preserve"> Removal of noncancer skin growth of scalp, neck, hands, feet, or genitals, 3.1-4.0 cm</t>
  </si>
  <si>
    <t xml:space="preserve"> Removal of noncancer skin growth of scalp, neck, hands, feet, or genitals, more than 4.0 cm</t>
  </si>
  <si>
    <t xml:space="preserve"> Removal of noncancer skin growth of face, ears, eyelids, nose, lips, or mouth, 0.5 cm or less</t>
  </si>
  <si>
    <t xml:space="preserve"> Removal of noncancer skin growth of face, ears, eyelids, nose, lips, or mouth, 0.6-1.0 cm</t>
  </si>
  <si>
    <t xml:space="preserve"> Removal of noncancer skin growth of face, ears, eyelids, nose, lips, or mouth, 1.1-2.0 cm</t>
  </si>
  <si>
    <t xml:space="preserve"> Removal of noncancer skin growth of face, ears, eyelids, nose, lips, or mouth, 2.1-3.0 cm</t>
  </si>
  <si>
    <t xml:space="preserve"> Removal of noncancer skin growth of face, ears, eyelids, nose, lips, or mouth, 3.1-4.0 cm</t>
  </si>
  <si>
    <t xml:space="preserve"> Removal of noncancer skin growth of face, ears, eyelids, nose, lips, or mouth, more than 4.0 cm</t>
  </si>
  <si>
    <t xml:space="preserve"> Removal of skin and tissue of underarms for inflamed sweat glands with simple or intermediate repair</t>
  </si>
  <si>
    <t xml:space="preserve"> Removal of skin and tissue of underarms for inflamed sweat glands with complex repair</t>
  </si>
  <si>
    <t xml:space="preserve"> Removal of skin and tissue of groin for inflamed sweat glands with simple or intermediate repair</t>
  </si>
  <si>
    <t xml:space="preserve"> Removal of skin and tissue of groin for inflamed sweat glands with complicated repair</t>
  </si>
  <si>
    <t xml:space="preserve"> Removal of skin and tissue of anus or navel for inflamed sweat glands with simple or intermediate repair</t>
  </si>
  <si>
    <t xml:space="preserve"> Removal of skin and tissue of anus or navel for inflamed sweat glands with complicated repair</t>
  </si>
  <si>
    <t xml:space="preserve"> Removal of cancer skin growth of body, arms, or legs, 0.5 cm or less</t>
  </si>
  <si>
    <t xml:space="preserve"> Removal of cancer skin growth of body, arms, or legs, 0.6-1.0 cm</t>
  </si>
  <si>
    <t xml:space="preserve"> Removal of cancer skin growth of body, arms, or legs, 1.1-2.0 cm</t>
  </si>
  <si>
    <t xml:space="preserve"> Removal of cancer skin growth of body, arms, or legs, 2.1-3.0 cm</t>
  </si>
  <si>
    <t xml:space="preserve"> Removal of cancer skin growth of body, arms, or legs, 3.1-4.0 cm</t>
  </si>
  <si>
    <t xml:space="preserve"> Removal of cancer skin growth of body, arms, or legs, more than 4.0 cm</t>
  </si>
  <si>
    <t xml:space="preserve"> Removal of cancer skin growth of scalp, neck, hands, feet, or genitals, 0.5 cm or less</t>
  </si>
  <si>
    <t xml:space="preserve"> Removal of cancer skin growth of scalp, neck, hands, feet, or genitals, 0.6-1.0 cm</t>
  </si>
  <si>
    <t xml:space="preserve"> Removal of cancer skin growth of scalp, neck, hands, feet, or genitals, 1.1-2.0 cm</t>
  </si>
  <si>
    <t xml:space="preserve"> Removal of cancer skin growth of scalp, neck, hands, feet, or genitals, 2.1-3.0 cm</t>
  </si>
  <si>
    <t xml:space="preserve"> Removal of cancer skin growth of scalp, neck, hands, feet, or genitals, 3.1-4.0 cm</t>
  </si>
  <si>
    <t xml:space="preserve"> Removal of cancer skin growth of scalp, neck, hands, feet, or genitals, more than 4.0 cm</t>
  </si>
  <si>
    <t xml:space="preserve"> Removal of cancer skin growth of face, ears, eyelids, nose, lips, or mouth, 0.5 cm or less</t>
  </si>
  <si>
    <t xml:space="preserve"> Removal of cancer skin growth of face, ears, eyelids, nose, lips, or mouth, 0.6-1.0 cm</t>
  </si>
  <si>
    <t xml:space="preserve"> Removal of cancer skin growth of face, ears, eyelids, nose, lips, or mouth, 1.1-2.0 cm</t>
  </si>
  <si>
    <t xml:space="preserve"> Removal of cancer skin growth of face, ears, eyelids, nose, lips, or mouth, 2.1-3.0 cm</t>
  </si>
  <si>
    <t xml:space="preserve"> Removal of cancer skin growth of face, ears, eyelids, nose, lips, or mouth, 3.1-4.0 cm</t>
  </si>
  <si>
    <t xml:space="preserve"> Removal of cancer skin growth of face, ears, eyelids, nose, lips, or mouth, more than 4.0 cm</t>
  </si>
  <si>
    <t xml:space="preserve"> Trimming of fingernails or toenails</t>
  </si>
  <si>
    <t xml:space="preserve"> Removal of fingernails or toenails, 1-5 nails</t>
  </si>
  <si>
    <t xml:space="preserve"> Removal of fingernails or toenails, 6 or more nails</t>
  </si>
  <si>
    <t xml:space="preserve"> Simple separation of fingernail or toenail from nail bed, first nail</t>
  </si>
  <si>
    <t xml:space="preserve"> Simple separation of fingernail or toenail from nail bed, each additional nail</t>
  </si>
  <si>
    <t xml:space="preserve"> Removal of blood accumulation under fingernail or toenail</t>
  </si>
  <si>
    <t xml:space="preserve"> Permanent removal fingernail or toenail</t>
  </si>
  <si>
    <t xml:space="preserve"> Biopsy of fingernail or toenail</t>
  </si>
  <si>
    <t xml:space="preserve"> Repair of fingernail or toenail bed</t>
  </si>
  <si>
    <t xml:space="preserve"> Repair of fingernail or toenail bed with graft</t>
  </si>
  <si>
    <t xml:space="preserve"> Removal of skin of fingernail or toenail</t>
  </si>
  <si>
    <t xml:space="preserve"> Simple removal of cyst of tailbone</t>
  </si>
  <si>
    <t xml:space="preserve"> Extensive removal of cyst of tailbone</t>
  </si>
  <si>
    <t xml:space="preserve"> Complicated removal of cyst of tailbone</t>
  </si>
  <si>
    <t xml:space="preserve"> Injection into skin growth, 1-7 growths</t>
  </si>
  <si>
    <t xml:space="preserve"> Injection into skin growth, more than 7 growths</t>
  </si>
  <si>
    <t xml:space="preserve"> Tattooing of skin to correct color issue, 6.0 sq cm or less</t>
  </si>
  <si>
    <t xml:space="preserve"> Tattooing of skin to correct color issue, 6.1-20.0 sq cm</t>
  </si>
  <si>
    <t xml:space="preserve"> Tattooing of skin to correct color issue, each additional 20.0 sq cm</t>
  </si>
  <si>
    <t xml:space="preserve"> Injection of filling material under skin, 1.0 cc or less</t>
  </si>
  <si>
    <t xml:space="preserve"> Injection of filling material under skin, 1.1-5.0 cc</t>
  </si>
  <si>
    <t xml:space="preserve"> Injection of filling material under skin, 5.1-10.0 cc</t>
  </si>
  <si>
    <t xml:space="preserve"> Injection of filling material under skin, more than 10.0 cc</t>
  </si>
  <si>
    <t xml:space="preserve"> Insertion of tissue expander</t>
  </si>
  <si>
    <t xml:space="preserve"> Replacement of tissue expander with permanent implant</t>
  </si>
  <si>
    <t xml:space="preserve"> Removal of tissue expander</t>
  </si>
  <si>
    <t xml:space="preserve"> Removal of implantable contraceptive capsules</t>
  </si>
  <si>
    <t xml:space="preserve"> Placement of hormone pellet under skin</t>
  </si>
  <si>
    <t xml:space="preserve"> Insertion of drug delivery implant into tissue</t>
  </si>
  <si>
    <t xml:space="preserve"> Removal of drug delivery implant from tissue</t>
  </si>
  <si>
    <t xml:space="preserve"> Removal with reinsertion of drug delivery implant into tissue</t>
  </si>
  <si>
    <t xml:space="preserve"> Simple repair of surface wound of scalp, neck, underarms, trunk, arms, or legs, 2.5 cm or less</t>
  </si>
  <si>
    <t xml:space="preserve"> Simple repair of surface wound of scalp, neck, underarms, trunk, arms, or legs, 2.6-7.5 cm</t>
  </si>
  <si>
    <t xml:space="preserve"> Simple repair of surface wound of scalp, neck, underarms, trunk, arms, or legs, 7.6-12.5 cm</t>
  </si>
  <si>
    <t xml:space="preserve"> Simple repair of surface wound of scalp, neck, underarms, trunk, arms, or legs, 12.6-20.0 cm</t>
  </si>
  <si>
    <t xml:space="preserve"> Simple repair of surface wound of scalp, neck, underarms, trunk, arms, or legs, 20.1-30.0 cm</t>
  </si>
  <si>
    <t xml:space="preserve"> Simple repair of surface wound to scalp, neck, underarms, trunk, arms, or legs, more than 30.0 cm</t>
  </si>
  <si>
    <t xml:space="preserve"> Simple repair of surface wound of face, ears, eyelids, nose, lips, or mouth, 2.5 cm or less</t>
  </si>
  <si>
    <t xml:space="preserve"> Simple repair of surface wound of face, ears, eyelids, nose, lips, or mouth, 2.6-5.0 cm</t>
  </si>
  <si>
    <t xml:space="preserve"> Simple repair of surface wound of face, ears, eyelids, nose, lips, or mouth, 5.1-7.5 cm</t>
  </si>
  <si>
    <t xml:space="preserve"> Simple repair of surface wound of face, ears, eyelids, nose, lips, or mouth, 7.6-12.5 cm</t>
  </si>
  <si>
    <t xml:space="preserve"> Simple repair of surface wound of face, ears, eyelids, nose, lips, or mouth, 12.6-20.0 cm</t>
  </si>
  <si>
    <t xml:space="preserve"> Simple repair of surface wound of face, ears, eyelids, nose, lips, or mouth, 20.1-30.0 cm</t>
  </si>
  <si>
    <t xml:space="preserve"> Simple repair of surface wound of face, ears, eyelids, nose, lips, or mouth, more than 30.0 cm</t>
  </si>
  <si>
    <t xml:space="preserve"> Simple closure of surface wound reopening</t>
  </si>
  <si>
    <t xml:space="preserve"> Repair of separation of wound closure with insertion of packing</t>
  </si>
  <si>
    <t xml:space="preserve"> Intermediate repair of wound of scalp, underarms, trunk, arms, or legs, 2.5 cm or less</t>
  </si>
  <si>
    <t xml:space="preserve"> Intermediate repair of wound of scalp, underarms, trunk, arms, or legs, 2.6-7.5 cm</t>
  </si>
  <si>
    <t xml:space="preserve"> Intermediate repair of wound of scalp, underarms, trunk, arms, or legs, 7.6-12.5 cm</t>
  </si>
  <si>
    <t xml:space="preserve"> Intermediate repair of wound of scalp, underarms, trunk, arms, or legs, 12.6-20.0 cm</t>
  </si>
  <si>
    <t xml:space="preserve"> Intermediate repair of wound of scalp, underarms, trunk, arms, or legs, 20.1-30.0 cm</t>
  </si>
  <si>
    <t xml:space="preserve"> Intermediate repair of wound of scalp, underarms, trunk, arms, or legs, more than 30.0 cm</t>
  </si>
  <si>
    <t xml:space="preserve"> Intermediate repair of wound of neck, hands, feet, or genitals, 2.5 cm or less</t>
  </si>
  <si>
    <t xml:space="preserve"> Intermediate repair of wound of neck, hands, feet, or genitals, 2.6-7.5 cm</t>
  </si>
  <si>
    <t xml:space="preserve"> Intermediate repair of wound of neck, hands, feet, or genitals, 7.6-12.5 cm</t>
  </si>
  <si>
    <t xml:space="preserve"> Intermediate repair of wound of neck, hands, feet, or genitals, 12.6-20.0 cm</t>
  </si>
  <si>
    <t xml:space="preserve"> Intermediate repair of wound of neck, hands, feet, or genitals, 20.1-30.0 cm</t>
  </si>
  <si>
    <t xml:space="preserve"> Intermediate repair of wound of neck, hands, feet, or genitals, more than 30.0 cm</t>
  </si>
  <si>
    <t xml:space="preserve"> Intermediate repair of wound of face, ears, eyelids, nose, lips, or mouth, 2.5 cm or less</t>
  </si>
  <si>
    <t xml:space="preserve"> Intermediate repair of wound of face, ears, eyelids, nose, lips, or mouth, 2.6-5.0 cm</t>
  </si>
  <si>
    <t xml:space="preserve"> Intermediate repair of wound of face, ears, eyelids, nose, lips, or mouth, 5.1-7.5 cm</t>
  </si>
  <si>
    <t xml:space="preserve"> Intermediate repair of wound of face, ears, eyelids, nose, lips, or mouth, 7.6-12.5 cm</t>
  </si>
  <si>
    <t xml:space="preserve"> Intermediate repair of wound of face, ears, eyelids, nose, lips, or mouth, 12.6-20.0 cm</t>
  </si>
  <si>
    <t xml:space="preserve"> Intermediate repair of wound of face, ears, eyelids, nose, lips, or mouth, 20.1-30.0 cm</t>
  </si>
  <si>
    <t xml:space="preserve"> Intermediate repair of wound of face, ears, eyelids, nose, lips, or mouth, more than 30.0 cm</t>
  </si>
  <si>
    <t xml:space="preserve"> Complicated repair of wound of trunk, 1.1-2.5 cm</t>
  </si>
  <si>
    <t xml:space="preserve"> Complicated repair of wound of trunk, 2.6-7.5 cm</t>
  </si>
  <si>
    <t xml:space="preserve"> Complicated repair of wound of trunk, each additional 5.0 cm or less</t>
  </si>
  <si>
    <t xml:space="preserve"> Complicated repair of wound of scalp, arms, or legs, 1.1-2.5 cm</t>
  </si>
  <si>
    <t xml:space="preserve"> Complicated repair of wound of scalp, arms, or legs, 2.6-7.5 cm</t>
  </si>
  <si>
    <t xml:space="preserve"> Complicated repair of wound of scalp, arms, or legs, each additional 5.0 cm or less</t>
  </si>
  <si>
    <t xml:space="preserve"> Complicated repair of wound of forehead, cheeks, chin, mouth, neck, underarms, genitals, hands, or feet, 1.1-2.5 cm</t>
  </si>
  <si>
    <t xml:space="preserve"> Complicated repair of wound of forehead, cheeks, chin, mouth, neck, underarms, genitals, hands, or feet, 2.6-7.5 cm</t>
  </si>
  <si>
    <t xml:space="preserve"> Complicated repair of wound of forehead, cheeks, chin, mouth, neck, underarms, genitals, hands, or feet, each additional 5.0 cm or less</t>
  </si>
  <si>
    <t xml:space="preserve"> Complicated repair of wound of eyelids, nose, ears, or lip, 1.1-2.5 cm</t>
  </si>
  <si>
    <t xml:space="preserve"> Complicated repair of wound of eyelids, nose, ears, or lip, 2.6-7.5 cm</t>
  </si>
  <si>
    <t xml:space="preserve"> Complicated repair of wound of eyelids, nose, ears, or lip, each additional 5.0 cm or less</t>
  </si>
  <si>
    <t xml:space="preserve"> Extensive or complicated repair of surface wound reopening</t>
  </si>
  <si>
    <t xml:space="preserve"> Repair of wound of trunk by transferring skin, 10.0 sq cm or less</t>
  </si>
  <si>
    <t xml:space="preserve"> Repair of wound of trunk by transferring skin, 10.1-30.0 sq cm</t>
  </si>
  <si>
    <t xml:space="preserve"> Repair of wound of scalp, arms, or legs by transferring skin, 10.0 sq cm or less</t>
  </si>
  <si>
    <t xml:space="preserve"> Repair of wound of scalp, arms, or legs by transferring skin, 10.1-30.0 sq cm</t>
  </si>
  <si>
    <t xml:space="preserve"> Repair of wound of forehead, cheeks, chin, mouth, neck, underarms, genitals, hands, or feet by transferring skin, 10.0 sq cm or less</t>
  </si>
  <si>
    <t xml:space="preserve"> Repair of wound of forehead, cheeks, chin, mouth, neck, underarms, genitals, hands, or feet by transferring skin, 10.1-30.0 sq cm</t>
  </si>
  <si>
    <t xml:space="preserve"> Repair of wound of eyelids, nose, ears, or lips by transferring skin, 10.0 sq cm or less</t>
  </si>
  <si>
    <t xml:space="preserve"> Repair of wound of eyelids, nose, ears, or lips by transferring skin, 10.1-30.0 sq cm</t>
  </si>
  <si>
    <t xml:space="preserve"> Repair of wound by transferring skin, 30.1-60.0 sq cm</t>
  </si>
  <si>
    <t xml:space="preserve"> Repair of wound by transferring skin, each additional 30.0 sq cm</t>
  </si>
  <si>
    <t xml:space="preserve"> Repair of tissue loss of finger or toe</t>
  </si>
  <si>
    <t xml:space="preserve"> Preparation of skin graft site of trunk, arms, or legs, 100.0 sq cm or 1% body area for infants and children, or less</t>
  </si>
  <si>
    <t xml:space="preserve"> Preparation of skin graft site of trunk, arms, or legs, each additional 100.0 sq cm or 1% body area for infants and children, or less</t>
  </si>
  <si>
    <t xml:space="preserve"> Preparation of skin graft site of face, scalp, eyelids, mouth, neck, ears, around eyes, genitals, hands, feet, fingers, or toes, 100.0 sq cm or 1% body area for infants and children, or less</t>
  </si>
  <si>
    <t xml:space="preserve"> Preparation of skin graft site of face, scalp, eyelids, mouth, neck, ears, around eyes, genitals, hands, feet, fingers, or toes, each additional 100.0 sq cm or 1% body area for infants and children, or less</t>
  </si>
  <si>
    <t xml:space="preserve"> Relocation of skin for self skin graft, 100.0 sq cm or less</t>
  </si>
  <si>
    <t xml:space="preserve"> Skin graft to tip of finger or toe, 2.0 cm or less</t>
  </si>
  <si>
    <t xml:space="preserve"> Partial thickness self skin graft to trunk, arms, or legs, 100.0 sq cm or 1% body area for infants and children, or less</t>
  </si>
  <si>
    <t xml:space="preserve"> Partial thickness self skin graft of trunk, arms, or legs, each additional 100.0 sq cm or 1% body area for infants and children, or less</t>
  </si>
  <si>
    <t xml:space="preserve"> Outer layer self skin graft of trunk, arms, or legs, 100.0 sq cm or 1% body area for infants and children, or less</t>
  </si>
  <si>
    <t xml:space="preserve"> Outer layer self skin graft to trunk, arms, or legs, each additional 100.0 sq cm or 1% body area for infants and children, or less</t>
  </si>
  <si>
    <t xml:space="preserve"> Outer layer self skin graft of face, scalp, eyelids, mouth, neck, ears, around eyes, genitals, hands, feet, fingers, or toes, 100.0 sq cm or 1% body area for infants and children, or less</t>
  </si>
  <si>
    <t xml:space="preserve"> Outer layer self skin graft of face, scalp, eyelids, mouth, neck, ears, around eyes, genitals, hands, feet, fingers, or toes, each additional 100.0 sq cm or 1% body area for infants and children, or less</t>
  </si>
  <si>
    <t xml:space="preserve"> Partial thickness self skin graft to face, scalp, eyelids, mouth, neck, ears, around eyes, genitals, hands, feet, fingers, or toes, 100.0 sq cm or 1% body area for infants and children, or less</t>
  </si>
  <si>
    <t xml:space="preserve"> Partial thickness self skin graft of face, scalp, eyelids, mouth, neck, ears, around eyes, genitals, hands, feet, fingers, or toes, each additional 100.0 sq cm or 1% body area for infants and children, or less</t>
  </si>
  <si>
    <t xml:space="preserve"> Deep layer self skin graft of trunk, arms, or legs, 100.0 sq cm or 1% body area of infants and children, or less</t>
  </si>
  <si>
    <t xml:space="preserve"> Deep layer self skin graft of trunk, arms, or legs, each additional 100.0 sq cm or 1% body area of infants and children, or less</t>
  </si>
  <si>
    <t xml:space="preserve"> Deep layer self skin graft of face, scalp, eyelids, mouth, neck, ears, around eyes, genitals, hands, feet, fingers, or toes, 100.0 sq cm or 1% body area of infants and children, or less</t>
  </si>
  <si>
    <t xml:space="preserve"> Deep layer self skin graft of face, scalp, eyelids, mouth, neck, ears, around eyes, genitals, hands, feet, fingers, or toes, each additional 100.0 sq cm or 1% body area of infants and children, or less</t>
  </si>
  <si>
    <t xml:space="preserve"> Tissue skin graft from self of trunk, arms, or legs, 25.0 sq cm or less</t>
  </si>
  <si>
    <t xml:space="preserve"> Tissue skin graft from self of trunk, arms, or legs, each additional 1.0-75.0 sq cm</t>
  </si>
  <si>
    <t xml:space="preserve"> Tissue skin graft from self of trunk, arms, or legs, each additional 100.0 sq cm or 1% of body area for infants and children, or less</t>
  </si>
  <si>
    <t xml:space="preserve"> Tissue self skin graft of face, scalp, eyelids, mouth, neck, ears, around eyes, genitals, hands, feet, fingers, or toes, 25.0 sq cm or less</t>
  </si>
  <si>
    <t xml:space="preserve"> Tissue skin graft from self of face, scalp, eyelids, mouth, neck, ears, around eyes, genitals, hands, feet, fingers, or toes, each additional 75.0 sq cm</t>
  </si>
  <si>
    <t xml:space="preserve"> Tissue skin graft from self of face, scalp, eyelids, mouth, neck, ears, around eyes, genitals, hands, feet, fingers, or toes, each additional 100.0 sq cm or 1% of body area for infants and children, or less</t>
  </si>
  <si>
    <t xml:space="preserve"> Full thickness skin graft to trunk, 20.0 sq cm or less</t>
  </si>
  <si>
    <t xml:space="preserve"> Full thickness skin graft to trunk, each additional 20.0 sq cm</t>
  </si>
  <si>
    <t xml:space="preserve"> Full thickness skin graft to scalp, arms, or legs, 20.0 sq cm or less</t>
  </si>
  <si>
    <t xml:space="preserve"> Full thickness skin graft to scalp, arms, or legs, each additional 20.0 sq cm</t>
  </si>
  <si>
    <t xml:space="preserve"> Full thickness skin graft to forehead, cheeks, chin, mouth, neck, underarms, genitals, hands, or feet, 20.0 sq cm or less</t>
  </si>
  <si>
    <t xml:space="preserve"> Full thickness skin graft to forehead, cheeks, chin, mouth, neck, underarms, genitals, hands, or feet, each additional 20.0 sq cm</t>
  </si>
  <si>
    <t xml:space="preserve"> Full thickness skin graft to nose, ears, eyelids, or lips, 20.0 sq cm or less</t>
  </si>
  <si>
    <t xml:space="preserve"> Full thickness skin graft to nose, ears, eyelids, or lips, each additional 20.0 sq cm</t>
  </si>
  <si>
    <t xml:space="preserve"> Application of skin substitute graft to wound of trunk, arms, or legs, 25.0 sq cm or less of wound 100.0 sq cm or less</t>
  </si>
  <si>
    <t xml:space="preserve"> Application of skin substitute graft to wound of trunk, arms, or legs, each additional 25.0 sq cm of wound 100.0 sq cm or less</t>
  </si>
  <si>
    <t xml:space="preserve"> Skin substitute graft to wound 100.0 sq cm or more of trunk, arms, or legs, 100.0 sq cm or 1% body area for infants and children, or less</t>
  </si>
  <si>
    <t xml:space="preserve"> Skin substitute graft to wound 100.0 sq cm or more of trunk, arms, or legs, each additional 100.0 sq cm or 1% body area for infants and children, or less</t>
  </si>
  <si>
    <t xml:space="preserve"> Application of skin substitute graft to wound of face, scalp, eyelids, mouth, neck, ears, around eyes, genitals, hands, feet, fingers, or toes, 25.0 sq cm or less of wound 100.0 sq cm or less</t>
  </si>
  <si>
    <t xml:space="preserve"> Application of skin substitute graft to wound of face, scalp, eyelids, mouth, neck, ears, around eyes, genitals, hands, feet, fingers, or toes, each additional 25.0 sq cm of wound 100.0 sq cm or less</t>
  </si>
  <si>
    <t xml:space="preserve"> Skin substitute graft to wound 100.0 sq cm or more of face, scalp, eyelids, mouth, neck, ears, around eyes, genitals, hands, feet, fingers, or toes, 100.0 sq cm or 1% body area for infants and children, or less</t>
  </si>
  <si>
    <t xml:space="preserve"> Skin substitute graft to wound 100.0 sq cm or more of face, scalp, eyelids, mouth, neck, ears, around eyes, genitals, hands, feet, fingers, or toes, each additional 100.0 sq cm or 1% body area for infants and children, or less</t>
  </si>
  <si>
    <t xml:space="preserve"> Creation of flap graft to trunk</t>
  </si>
  <si>
    <t xml:space="preserve"> Creation of flap graft to scalp, arms, or legs</t>
  </si>
  <si>
    <t xml:space="preserve"> Creation of flap graft to forehead, cheeks, chin, mouth, neck, underarms, genitals, hands, or feet</t>
  </si>
  <si>
    <t xml:space="preserve"> Creation of flap graft to eyelids, nose, ears, lips, or mouth</t>
  </si>
  <si>
    <t xml:space="preserve"> Transfer of skin flap to trunk</t>
  </si>
  <si>
    <t xml:space="preserve"> Transfer of skin flap to scalp, arms, or legs</t>
  </si>
  <si>
    <t xml:space="preserve"> Transfer of skin flap to forehead, cheeks, chin, neck, underarms, genitals, hands, or feet</t>
  </si>
  <si>
    <t xml:space="preserve"> Transfer of skin flap to eyelids, nose, ears, or lips</t>
  </si>
  <si>
    <t xml:space="preserve"> Transfer of skin flap</t>
  </si>
  <si>
    <t xml:space="preserve"> Creation of flap graft to midface</t>
  </si>
  <si>
    <t xml:space="preserve"> Creation of flap graft to nose, forehead, temple, or scalp</t>
  </si>
  <si>
    <t xml:space="preserve"> Creation of flap graft to head and/or neck</t>
  </si>
  <si>
    <t xml:space="preserve"> Creation of muscle graft to trunk</t>
  </si>
  <si>
    <t xml:space="preserve"> Creation of muscle graft to arm</t>
  </si>
  <si>
    <t xml:space="preserve"> Creation of muscle graft to leg</t>
  </si>
  <si>
    <t xml:space="preserve"> Creation of skin and tissue graft</t>
  </si>
  <si>
    <t xml:space="preserve"> Creation of nerve and blood vessel skin graft</t>
  </si>
  <si>
    <t xml:space="preserve"> Graft with closure of wound</t>
  </si>
  <si>
    <t xml:space="preserve"> Self soft tissue graft</t>
  </si>
  <si>
    <t xml:space="preserve"> Creation of skin, fat and muscle graft</t>
  </si>
  <si>
    <t xml:space="preserve"> Graft using patient's fat removed by liposuction and inserted into trunk, breasts, scalp, arms, or legs, 50.0 cc or less</t>
  </si>
  <si>
    <t xml:space="preserve"> Graft using patient's fat removed by liposuction and inserted into trunk, breasts, scalp, arms, or legs, each additional 50.0 cc</t>
  </si>
  <si>
    <t xml:space="preserve"> Graft using patient's fat removed by liposuction and inserted into face, eyelids, mouth, neck, ears, around eyes, genitals, hands, or feet, 25.0 cc or less</t>
  </si>
  <si>
    <t xml:space="preserve"> Graft using patient's fat removed by liposuction and inserted into face, eyelids, mouth, neck, ears, around eyes, genitals, hands, or feet, each additional 25.0 cc</t>
  </si>
  <si>
    <t xml:space="preserve"> Hair transplant, 1-15 punch grafts</t>
  </si>
  <si>
    <t xml:space="preserve"> Hair transplant, more than 15 punch grafts</t>
  </si>
  <si>
    <t xml:space="preserve"> Implantation of biologic implant to soft tissue</t>
  </si>
  <si>
    <t xml:space="preserve"> Dermabrasion of skin of total face</t>
  </si>
  <si>
    <t xml:space="preserve"> Dermabrasion of skin of part of face</t>
  </si>
  <si>
    <t xml:space="preserve"> Dermabrasion of skin other than face</t>
  </si>
  <si>
    <t xml:space="preserve"> Dermabrasion of superficial scars or tattoos from skin</t>
  </si>
  <si>
    <t xml:space="preserve"> Scraping of skin growth, first growth</t>
  </si>
  <si>
    <t xml:space="preserve"> Scraping of skin growth, each additional 1-4 growths</t>
  </si>
  <si>
    <t xml:space="preserve"> Chemical peel of outer layer of skin of face</t>
  </si>
  <si>
    <t xml:space="preserve"> Chemical peel of deep layer of skin of face</t>
  </si>
  <si>
    <t xml:space="preserve"> Chemical peel of outer layer of nonfacial skin</t>
  </si>
  <si>
    <t xml:space="preserve"> Chemical peel of deep layer of nonfacial skin</t>
  </si>
  <si>
    <t xml:space="preserve"> Removal of extra skin of neck</t>
  </si>
  <si>
    <t xml:space="preserve"> Repair of lower eyelid defect</t>
  </si>
  <si>
    <t xml:space="preserve"> Removal of excessive skin of lower eyelid and fat around eye</t>
  </si>
  <si>
    <t xml:space="preserve"> Removal of excessive skin of upper eyelid</t>
  </si>
  <si>
    <t xml:space="preserve"> Removal of excessive skin and fat of upper eyelid</t>
  </si>
  <si>
    <t xml:space="preserve"> Removal of wrinkles and extra skin of forehead</t>
  </si>
  <si>
    <t xml:space="preserve"> Removal of wrinkles and extra skin of neck</t>
  </si>
  <si>
    <t xml:space="preserve"> Incision, stretching, and suture of skin between eyebrows</t>
  </si>
  <si>
    <t xml:space="preserve"> Removal of wrinkles and extra skin of cheeks, chin, and neck</t>
  </si>
  <si>
    <t xml:space="preserve"> Removal of wrinkles and extra skin with grafting of cheeks, chin, and neck</t>
  </si>
  <si>
    <t xml:space="preserve"> Removal of extra skin and tissue of abdomen</t>
  </si>
  <si>
    <t xml:space="preserve"> Removal of extra skin and tissue of thigh</t>
  </si>
  <si>
    <t xml:space="preserve"> Removal of extra skin and tissue of leg</t>
  </si>
  <si>
    <t xml:space="preserve"> Removal of extra skin and tissue of hip</t>
  </si>
  <si>
    <t xml:space="preserve"> Removal of extra skin and tissue of buttock</t>
  </si>
  <si>
    <t xml:space="preserve"> Removal of extra skin and tissue of arm</t>
  </si>
  <si>
    <t xml:space="preserve"> Removal of extra skin and tissue of forearm or hand</t>
  </si>
  <si>
    <t xml:space="preserve"> Removal of extra skin and tissue of chin</t>
  </si>
  <si>
    <t xml:space="preserve"> Removal of extra skin and tissue of other area</t>
  </si>
  <si>
    <t xml:space="preserve"> Tissue graft to treat facial paralysis</t>
  </si>
  <si>
    <t xml:space="preserve"> Muscle graft to treat facial paralysis</t>
  </si>
  <si>
    <t xml:space="preserve"> Microsurgical muscle graft to treat facial paralysis</t>
  </si>
  <si>
    <t xml:space="preserve"> Muscle transfer to treat facial paralysis</t>
  </si>
  <si>
    <t xml:space="preserve"> Extensive removal of extra skin and tissue of abdomen</t>
  </si>
  <si>
    <t xml:space="preserve"> Removal of sutures or staples under anesthesia</t>
  </si>
  <si>
    <t xml:space="preserve"> Dressing change under anesthesia</t>
  </si>
  <si>
    <t xml:space="preserve"> Injection of agent into vein to assess blood flow of skin graft or flap</t>
  </si>
  <si>
    <t xml:space="preserve"> Suction assisted removal of fat of head and neck</t>
  </si>
  <si>
    <t xml:space="preserve"> Suction assisted removal of fat of body</t>
  </si>
  <si>
    <t xml:space="preserve"> Suction assisted removal of fat of arm</t>
  </si>
  <si>
    <t xml:space="preserve"> Suction assisted removal of fat of leg</t>
  </si>
  <si>
    <t xml:space="preserve"> Removal of pressure sore tissue and tailbone with closure</t>
  </si>
  <si>
    <t xml:space="preserve"> Removal of pressure sore and bone at tailbone with skin graft</t>
  </si>
  <si>
    <t xml:space="preserve"> Removal of pressure sore tissue of sacrum with closure</t>
  </si>
  <si>
    <t xml:space="preserve"> Removal of pressure sore tissue and sacrum bone with closure</t>
  </si>
  <si>
    <t xml:space="preserve"> Removal of pressure sore tissue of sacrum with skin graft</t>
  </si>
  <si>
    <t xml:space="preserve"> Removal of pressure sore and bone at sacrum with skin graft</t>
  </si>
  <si>
    <t xml:space="preserve"> Removal of pressure sore tissue of sacrum in preparation of muscle flap or skin graft</t>
  </si>
  <si>
    <t xml:space="preserve"> Removal of pressure sore and bone at sacrum in preparation of muscle flap or skin graft</t>
  </si>
  <si>
    <t xml:space="preserve"> Removal of pressure sore tissue of lower pelvic bone with closure</t>
  </si>
  <si>
    <t xml:space="preserve"> Removal of pressure sore tissue and lower pelvic bone with closure</t>
  </si>
  <si>
    <t xml:space="preserve"> Removal of pressure sore tissue of lower pelvic bone with skin graft</t>
  </si>
  <si>
    <t xml:space="preserve"> Removal of pressure sore and lower pelvic bone with skin graft</t>
  </si>
  <si>
    <t xml:space="preserve"> Removal of pressure sore and lower pelvic bone in preparation of muscle flap or skin graft closure</t>
  </si>
  <si>
    <t xml:space="preserve"> Removal of pressure sore tissue of head of thigh bone with closure</t>
  </si>
  <si>
    <t xml:space="preserve"> Removal of pressure sore tissue and head of thigh bone with closure</t>
  </si>
  <si>
    <t xml:space="preserve"> Removal of pressure sore tissue of head of thigh bone with skin graft</t>
  </si>
  <si>
    <t xml:space="preserve"> Removal of pressure sore and bone at hip bone with skin graft</t>
  </si>
  <si>
    <t xml:space="preserve"> Removal of pressure sore tissue of head of thigh bone in preparation of muscle flap or skin graft</t>
  </si>
  <si>
    <t xml:space="preserve"> Removal of pressure sore and bone at hip bone in preparation of muscle flap or skin graft</t>
  </si>
  <si>
    <t xml:space="preserve"> First degree burn treatment</t>
  </si>
  <si>
    <t xml:space="preserve"> Dressing change or removal of burn tissue, less than 5% of total body surface</t>
  </si>
  <si>
    <t xml:space="preserve"> Dressing change or removal of burn tissue, 5-10% of total body surface</t>
  </si>
  <si>
    <t xml:space="preserve"> Dressing change or removal of burn tissue, more than 10% of total body surface</t>
  </si>
  <si>
    <t xml:space="preserve"> Initial incision of dead burn tissue</t>
  </si>
  <si>
    <t xml:space="preserve"> Destruction of precancer skin growth, 1 growth</t>
  </si>
  <si>
    <t xml:space="preserve"> Destruction of precancer skin growth, 2-14 growths</t>
  </si>
  <si>
    <t xml:space="preserve"> Destruction of precancer skin growth, 15 or more growths</t>
  </si>
  <si>
    <t xml:space="preserve"> Destruction of birthmark, less than 10.0 sq cm</t>
  </si>
  <si>
    <t xml:space="preserve"> Destruction of birthmark, 10.0-50.0 sq cm</t>
  </si>
  <si>
    <t xml:space="preserve"> Destruction of birthmark, more than 50.0 sq cm</t>
  </si>
  <si>
    <t xml:space="preserve"> Destruction of skin growth, 1-14 growths</t>
  </si>
  <si>
    <t xml:space="preserve"> Destruction of skin growth, 15 or more growths</t>
  </si>
  <si>
    <t xml:space="preserve"> Application of chemical to stop tissue regrowth in wound</t>
  </si>
  <si>
    <t xml:space="preserve"> Destruction of cancer skin growth of trunk, arms, or legs, 0.5 cm or less</t>
  </si>
  <si>
    <t xml:space="preserve"> Destruction of cancer skin growth of trunk, arms, or legs, 0.6-1.0 cm</t>
  </si>
  <si>
    <t xml:space="preserve"> Destruction of cancer skin growth of trunk, arms, or legs, 1.1-2.0 cm</t>
  </si>
  <si>
    <t xml:space="preserve"> Destruction of cancer skin growth of trunk, arms, or legs, 2.1-3.0 cm</t>
  </si>
  <si>
    <t xml:space="preserve"> Destruction of cancer skin growth of trunk, arms, or legs, 3.1-4.0 cm</t>
  </si>
  <si>
    <t xml:space="preserve"> Destruction of cancer skin growth of trunk, arms, or legs, more than 4.0 cm</t>
  </si>
  <si>
    <t xml:space="preserve"> Destruction of cancer skin growth of scalp, neck, hands, feet, or genitals, 0.5 cm or less</t>
  </si>
  <si>
    <t xml:space="preserve"> Destruction of cancer skin growth of scalp, neck, hands, feet, or genitals, 0.6-1.0 cm</t>
  </si>
  <si>
    <t xml:space="preserve"> Destruction of cancer skin growth of scalp, neck, hands, feet, or genitals, 1.1-2.0 cm</t>
  </si>
  <si>
    <t xml:space="preserve"> Destruction of cancer skin growth of scalp, neck, hands, feet, or genitals, 2.1-3.0 cm</t>
  </si>
  <si>
    <t xml:space="preserve"> Destruction of cancer skin growth of scalp, neck, hands, feet, or genitals, 3.1-4.0 cm</t>
  </si>
  <si>
    <t xml:space="preserve"> Destruction of cancer skin growth of scalp, neck, hands, feet, or genitals, more than 4.0 cm</t>
  </si>
  <si>
    <t xml:space="preserve"> Destruction of cancer skin growth of face, ears, eyelids, nose, lips, or mouth, 0.5 cm or less</t>
  </si>
  <si>
    <t xml:space="preserve"> Destruction of cancer skin growth of face, ears, eyelids, nose, lips, or mouth, 0.6-1.0 cm</t>
  </si>
  <si>
    <t xml:space="preserve"> Destruction of cancer skin growth of face, ears, eyelids, nose, lips, or mouth, 1.1-2.0 cm</t>
  </si>
  <si>
    <t xml:space="preserve"> Destruction of cancer skin growth of face, ears, eyelids, nose, lips, or mouth, 2.1-3.0 cm</t>
  </si>
  <si>
    <t xml:space="preserve"> Destruction of cancer skin growth of face, ears, eyelids, nose, lips, or mouth, 3.1-4.0 cm</t>
  </si>
  <si>
    <t xml:space="preserve"> Destruction of cancer skin growth of face, ears, eyelids, nose, lips, or mouth, more than 4.0 cm</t>
  </si>
  <si>
    <t xml:space="preserve"> Removal and microscopic exam of growth of head, neck, hands, feet, or genitals, 1-5 tissue blocks</t>
  </si>
  <si>
    <t xml:space="preserve"> Removal and microscopic exam of growth of head, neck, hands, feet, or genitals, each additional stage, 1-5 tissue blocks</t>
  </si>
  <si>
    <t xml:space="preserve"> Removal and microscopic exam of growth of trunk, arms, or legs, 1-5 tissue blocks</t>
  </si>
  <si>
    <t xml:space="preserve"> Removal and microscopic exam of growth of trunk, arms, or legs, each additional stage, 1-5 tissue blocks</t>
  </si>
  <si>
    <t xml:space="preserve"> Removal and microscopic exam of growth, each additional block after 5 tissue blocks</t>
  </si>
  <si>
    <t xml:space="preserve"> Cold treatment of acne</t>
  </si>
  <si>
    <t xml:space="preserve"> Chemical treatment of acne</t>
  </si>
  <si>
    <t xml:space="preserve"> Hair removal by electrolysis, each 30 minutes</t>
  </si>
  <si>
    <t xml:space="preserve"> Other procedure on skin, mucous membrane, and tissue</t>
  </si>
  <si>
    <t xml:space="preserve"> Aspiration of cyst of breast, first cyst</t>
  </si>
  <si>
    <t xml:space="preserve"> Aspiration of cyst of breast, each additional cyst</t>
  </si>
  <si>
    <t xml:space="preserve"> Drainage of abscess of breast</t>
  </si>
  <si>
    <t xml:space="preserve"> Injection for X-ray imaging of breast duct</t>
  </si>
  <si>
    <t xml:space="preserve"> Biopsy of breast and placement of locating device using X-ray with needle, first growth</t>
  </si>
  <si>
    <t xml:space="preserve"> Biopsy of breast and placement of locating device using X-ray with needle, each additional growth</t>
  </si>
  <si>
    <t xml:space="preserve"> Biopsy of breast and placement of locating device using ultrasound, first growth</t>
  </si>
  <si>
    <t xml:space="preserve"> Biopsy of breast and placement of locating device using ultrasound, each additional growth</t>
  </si>
  <si>
    <t xml:space="preserve"> Biopsy of breast and placement of locating device using MRI, first growth</t>
  </si>
  <si>
    <t xml:space="preserve"> Biopsy of breast and placement of locating device using MRI, each additional growth</t>
  </si>
  <si>
    <t xml:space="preserve"> Needle biopsy of breast</t>
  </si>
  <si>
    <t xml:space="preserve"> Biopsy of breast through incision</t>
  </si>
  <si>
    <t xml:space="preserve"> Removal of growth of breast using ultrasound, each growth</t>
  </si>
  <si>
    <t xml:space="preserve"> Exploration of breast nipple</t>
  </si>
  <si>
    <t xml:space="preserve"> Removal of abnormal drainage of breast duct</t>
  </si>
  <si>
    <t xml:space="preserve"> Removal of growth and tissue of breast, duct, or nipple</t>
  </si>
  <si>
    <t xml:space="preserve"> Removal of growth of breast identified by x-ray marker, first growth</t>
  </si>
  <si>
    <t xml:space="preserve"> Removal of growth of breast identified by x-ray marker, each additional growth</t>
  </si>
  <si>
    <t xml:space="preserve"> Placement of locating device in breast using imaging guidance, first growth</t>
  </si>
  <si>
    <t xml:space="preserve"> Placement of locating device in breast using imaging guidance, each additional growth</t>
  </si>
  <si>
    <t xml:space="preserve"> Placement of locating device in breast using X-ray with needle guidance, first growth</t>
  </si>
  <si>
    <t xml:space="preserve"> Placement of locating device in breast using X-ray with needle guidance, each additional growth</t>
  </si>
  <si>
    <t xml:space="preserve"> Placement of locating device in breast using ultrasound guidance, first growth</t>
  </si>
  <si>
    <t xml:space="preserve"> Placement of locating device in breast using ultrasound guidance, each additional growth</t>
  </si>
  <si>
    <t xml:space="preserve"> Placement of locating device in breast using MRI guidance, first growth</t>
  </si>
  <si>
    <t xml:space="preserve"> Placement of locating device in breast using MRI guidance, each additional growth</t>
  </si>
  <si>
    <t xml:space="preserve"> Placement of radiation therapy device in breast for radiation therapy during surgery with partial removal of breast</t>
  </si>
  <si>
    <t xml:space="preserve"> Insertion of expandable tube in breast for radiation treatment using imaging guidance</t>
  </si>
  <si>
    <t xml:space="preserve"> Placement of expandable tube in breast for radiation treatment using imaging guidance with partial removal of breast</t>
  </si>
  <si>
    <t xml:space="preserve"> Placement of tubes in breast for radiation treatment using imaging guidance during or after partial removal of breast</t>
  </si>
  <si>
    <t xml:space="preserve"> Removal of extra breast tissue in male</t>
  </si>
  <si>
    <t xml:space="preserve"> Partial removal of breast</t>
  </si>
  <si>
    <t xml:space="preserve"> Partial removal of breast and underarm lymph nodes</t>
  </si>
  <si>
    <t xml:space="preserve"> Simple complete removal of breast</t>
  </si>
  <si>
    <t xml:space="preserve"> Removal of breast and underarm lymph nodes</t>
  </si>
  <si>
    <t xml:space="preserve"> Repair for sagging of the breast</t>
  </si>
  <si>
    <t xml:space="preserve"> Breast reduction</t>
  </si>
  <si>
    <t xml:space="preserve"> Insertion of breast implant</t>
  </si>
  <si>
    <t xml:space="preserve"> Removal of intact breast implant</t>
  </si>
  <si>
    <t xml:space="preserve"> Removal of ruptured breast implant and implant material</t>
  </si>
  <si>
    <t xml:space="preserve"> Placement of implant on same day of breast reconstruction</t>
  </si>
  <si>
    <t xml:space="preserve"> Placement of implant on separate day of breast reconstruction</t>
  </si>
  <si>
    <t xml:space="preserve"> Reconstruction of nipple or area around nipple</t>
  </si>
  <si>
    <t xml:space="preserve"> Correction of inverted nipple</t>
  </si>
  <si>
    <t xml:space="preserve"> Reconstruction of breast using tissue expander</t>
  </si>
  <si>
    <t xml:space="preserve"> Revision of capsule around breast implant</t>
  </si>
  <si>
    <t xml:space="preserve"> Removal of capsule around breast implant</t>
  </si>
  <si>
    <t xml:space="preserve"> Surgical change to reconstructed breast</t>
  </si>
  <si>
    <t xml:space="preserve"> Preparation of mold for custom breast implant</t>
  </si>
  <si>
    <t xml:space="preserve"> Other procedure on breast</t>
  </si>
  <si>
    <t xml:space="preserve"> Exploration of wound of neck</t>
  </si>
  <si>
    <t xml:space="preserve"> Exploration of wound of chest</t>
  </si>
  <si>
    <t xml:space="preserve"> Exploration of wound of abdomen, back, or flank</t>
  </si>
  <si>
    <t xml:space="preserve"> Exploration of wound of arm or leg</t>
  </si>
  <si>
    <t xml:space="preserve"> Removal of growth plate</t>
  </si>
  <si>
    <t xml:space="preserve"> Biopsy of muscle</t>
  </si>
  <si>
    <t xml:space="preserve"> Deep biopsy of muscle</t>
  </si>
  <si>
    <t xml:space="preserve"> Needle biopsy of muscle</t>
  </si>
  <si>
    <t xml:space="preserve"> Biopsy of bone using needle or trocar</t>
  </si>
  <si>
    <t xml:space="preserve"> Deep biopsy of bone using needle or trocar</t>
  </si>
  <si>
    <t xml:space="preserve"> Biopsy of surface bone</t>
  </si>
  <si>
    <t xml:space="preserve"> Biopsy of deep bone</t>
  </si>
  <si>
    <t xml:space="preserve"> Biopsy of middle spine bone</t>
  </si>
  <si>
    <t xml:space="preserve"> Biopsy of upper or lower spine bone</t>
  </si>
  <si>
    <t xml:space="preserve"> Injection for repair of abnormal muscle drainage tract</t>
  </si>
  <si>
    <t xml:space="preserve"> Injection of abnormal muscle drainage tract for X-ray study</t>
  </si>
  <si>
    <t xml:space="preserve"> Removal of foreign body in muscle or tendon</t>
  </si>
  <si>
    <t xml:space="preserve"> Complicated removal of foreign body in deep muscle or tendon</t>
  </si>
  <si>
    <t xml:space="preserve"> Injection of carpal tunnel</t>
  </si>
  <si>
    <t xml:space="preserve"> Injection of medication into palm</t>
  </si>
  <si>
    <t xml:space="preserve"> Injection into tendon or ligament</t>
  </si>
  <si>
    <t xml:space="preserve"> Injection into tendon at attachment to bone or muscle</t>
  </si>
  <si>
    <t xml:space="preserve"> Injection of trigger points, 1-2 muscles</t>
  </si>
  <si>
    <t xml:space="preserve"> Injection of trigger points, 3 or more muscles</t>
  </si>
  <si>
    <t xml:space="preserve"> Insertion of needles or tubes into muscle or tissue for radiation treatment</t>
  </si>
  <si>
    <t xml:space="preserve"> Insertion of needle, 1-2 muscles</t>
  </si>
  <si>
    <t xml:space="preserve"> Insertion of needle, 3 muscles or more</t>
  </si>
  <si>
    <t xml:space="preserve"> Aspiration and/or injection of fluid from small joint</t>
  </si>
  <si>
    <t xml:space="preserve"> Aspiration and/or injection of fluid from small joint using ultrasound guidance</t>
  </si>
  <si>
    <t xml:space="preserve"> Aspiration and/or injection of fluid from medium joint</t>
  </si>
  <si>
    <t xml:space="preserve"> Aspiration and/or injection of fluid from medium joint using ultrasound guidance</t>
  </si>
  <si>
    <t xml:space="preserve"> Aspiration and/or injection of fluid from large joint</t>
  </si>
  <si>
    <t xml:space="preserve"> Aspiration and/or injection of fluid large joint using ultrasound guidance</t>
  </si>
  <si>
    <t xml:space="preserve"> Aspiration and/or injection of cyst of tendon</t>
  </si>
  <si>
    <t xml:space="preserve"> Aspiration and injection of cyst of bone</t>
  </si>
  <si>
    <t xml:space="preserve"> Insertion of wire or pin to bone for traction</t>
  </si>
  <si>
    <t xml:space="preserve"> Placement of device to skull</t>
  </si>
  <si>
    <t xml:space="preserve"> Application of pelvic halo device (stabilization device for pelvis)</t>
  </si>
  <si>
    <t xml:space="preserve"> Placement of stabilizing device to thigh</t>
  </si>
  <si>
    <t xml:space="preserve"> Removal of stabilizing device from head originally applied by other provider</t>
  </si>
  <si>
    <t xml:space="preserve"> Removal of surface implant from bone</t>
  </si>
  <si>
    <t xml:space="preserve"> Removal of deep implant from bone</t>
  </si>
  <si>
    <t xml:space="preserve"> Placement of single direction external bone stabilizing device to arm or leg</t>
  </si>
  <si>
    <t xml:space="preserve"> Placement of multiple direction external bone stabilizing device to arm or leg</t>
  </si>
  <si>
    <t xml:space="preserve"> Revision of external bone stabilizing device under anesthesia</t>
  </si>
  <si>
    <t xml:space="preserve"> Removal of external bone stabilizing device under anesthesia</t>
  </si>
  <si>
    <t xml:space="preserve"> Placement of multiple direction external bone stabilizing device to arm or leg using imaging</t>
  </si>
  <si>
    <t xml:space="preserve"> Placement of multiple direction external bone stabilizing device to arm or leg using imaging guidance</t>
  </si>
  <si>
    <t xml:space="preserve"> Insertion of drug-delivery device in deep tissue</t>
  </si>
  <si>
    <t xml:space="preserve"> Removal of drug-delivery devices from beneath fibrous covering of muscle</t>
  </si>
  <si>
    <t xml:space="preserve"> Insertion of drug-delivery device in bone</t>
  </si>
  <si>
    <t xml:space="preserve"> Removal of drug-delivery devices from marrow cavity of bone</t>
  </si>
  <si>
    <t xml:space="preserve"> Insertion of drug-delivery device in joint</t>
  </si>
  <si>
    <t xml:space="preserve"> Removal of drug-delivery devices into joint</t>
  </si>
  <si>
    <t xml:space="preserve"> Reattachment of part of cutoff finger</t>
  </si>
  <si>
    <t xml:space="preserve"> Harvest of graft from small bone</t>
  </si>
  <si>
    <t xml:space="preserve"> Harvest of graft from large bone</t>
  </si>
  <si>
    <t xml:space="preserve"> Rib cartilage graft</t>
  </si>
  <si>
    <t xml:space="preserve"> Graft of nose cartilage</t>
  </si>
  <si>
    <t xml:space="preserve"> Removal of deep thigh tissue for graft</t>
  </si>
  <si>
    <t xml:space="preserve"> Incision of deep thigh tissue for graft</t>
  </si>
  <si>
    <t xml:space="preserve"> Tendon graft</t>
  </si>
  <si>
    <t xml:space="preserve"> Placement of fragmented bone graft or material to spine to promote bone growth</t>
  </si>
  <si>
    <t xml:space="preserve"> Graft of donor bone to spine</t>
  </si>
  <si>
    <t xml:space="preserve"> Graft of donor bone and joint tissue</t>
  </si>
  <si>
    <t xml:space="preserve"> Graft of donor bone to part of long bone between joints</t>
  </si>
  <si>
    <t xml:space="preserve"> Graft of donor bone to long bone between joints</t>
  </si>
  <si>
    <t xml:space="preserve"> Harvest of bone from same spine incision for graft</t>
  </si>
  <si>
    <t xml:space="preserve"> Harvest of bone fragment for spine bone graft</t>
  </si>
  <si>
    <t xml:space="preserve"> Harvest of bone for spine surgery graft</t>
  </si>
  <si>
    <t xml:space="preserve"> Aspiration of bone marrow for spine bone graft</t>
  </si>
  <si>
    <t xml:space="preserve"> Placement of device in muscle to monitor fluid pressure</t>
  </si>
  <si>
    <t xml:space="preserve"> Placement of bone and skin flap from foot bone with connection of small blood vessels</t>
  </si>
  <si>
    <t xml:space="preserve"> Placement of bone and skin flap from big toe with connection of small blood vessels</t>
  </si>
  <si>
    <t xml:space="preserve"> Placement of electrical stimulation device for bone healing</t>
  </si>
  <si>
    <t xml:space="preserve"> Placement of electrical stimulation device at broken bone for healing</t>
  </si>
  <si>
    <t xml:space="preserve"> Low intensity ultrasound stimulation to aid bone healing, noninvasive (nonoperative)</t>
  </si>
  <si>
    <t xml:space="preserve"> Destruction of growths and adjacent soft tissue</t>
  </si>
  <si>
    <t xml:space="preserve"> Freezing of growth of bone and adjacent soft tissue</t>
  </si>
  <si>
    <t xml:space="preserve"> Computer-assisted surgery for muscle and bone procedure</t>
  </si>
  <si>
    <t xml:space="preserve"> Incision of jaw joint</t>
  </si>
  <si>
    <t xml:space="preserve"> Removal of growth under skin of face or scalp, less than 2.0 cm</t>
  </si>
  <si>
    <t xml:space="preserve"> Removal of growth under skin of face or scalp, 2.0 cm or more</t>
  </si>
  <si>
    <t xml:space="preserve"> Removal of growth of muscle of face or scalp, less than 2.0 cm</t>
  </si>
  <si>
    <t xml:space="preserve"> Removal of growth of muscle of face or scalp, 2.0 cm or more</t>
  </si>
  <si>
    <t xml:space="preserve"> Extensive removal of growth of face or scalp, less than 2.0 cm</t>
  </si>
  <si>
    <t xml:space="preserve"> Extensive removal of growth of face or scalp, 2.0 cm or more</t>
  </si>
  <si>
    <t xml:space="preserve"> Removal of lower jaw bone</t>
  </si>
  <si>
    <t xml:space="preserve"> Removal of face bone</t>
  </si>
  <si>
    <t xml:space="preserve"> Removal of growth of face bone</t>
  </si>
  <si>
    <t xml:space="preserve"> Removal of growth or cyst of jaw or upper cheek</t>
  </si>
  <si>
    <t xml:space="preserve"> Removal of bony growth of jaw bone inside mouth</t>
  </si>
  <si>
    <t xml:space="preserve"> Removal of bony growth of upper jaw bone inside mouth</t>
  </si>
  <si>
    <t xml:space="preserve"> Removal of growth of upper jaw or upper cheek bone</t>
  </si>
  <si>
    <t xml:space="preserve"> Removal of growth or cyst of lower jaw bone</t>
  </si>
  <si>
    <t xml:space="preserve"> Removal of growth of lower jaw bone</t>
  </si>
  <si>
    <t xml:space="preserve"> Removal of growth or cyst of lower jaw bone through mouth</t>
  </si>
  <si>
    <t xml:space="preserve"> Removal of growth or cyst of part of lower jaw bone</t>
  </si>
  <si>
    <t xml:space="preserve"> Removal of growth or cyst of upper jaw bone through mouth</t>
  </si>
  <si>
    <t xml:space="preserve"> Removal of rounded ends of lower jaw joint bone</t>
  </si>
  <si>
    <t xml:space="preserve"> Removal of lower jaw joint bone tissue</t>
  </si>
  <si>
    <t xml:space="preserve"> Partial removal of lower jaw bone</t>
  </si>
  <si>
    <t xml:space="preserve"> Manipulation of hinged joints of upper and lower jaw bones under anesthesia</t>
  </si>
  <si>
    <t xml:space="preserve"> Preparation of temporary prosthesis to close an opening in mouth</t>
  </si>
  <si>
    <t xml:space="preserve"> Impression and preparation of eye socket prosthesis</t>
  </si>
  <si>
    <t xml:space="preserve"> Impression and custom preparation of temporary oral prosthesis</t>
  </si>
  <si>
    <t xml:space="preserve"> Preparation of permanent prosthesis to close mouth opening</t>
  </si>
  <si>
    <t xml:space="preserve"> Impression and custom preparation of lower jaw bone prosthesis</t>
  </si>
  <si>
    <t xml:space="preserve"> Impression and custom preparation of prosthesis for roof of mouth enlargement</t>
  </si>
  <si>
    <t xml:space="preserve"> Preparation of prosthesis to lift roof of mouth</t>
  </si>
  <si>
    <t xml:space="preserve"> Impression and custom preparation of speech aid prosthesis</t>
  </si>
  <si>
    <t xml:space="preserve"> Impression and custom preparation of oral surgical splint</t>
  </si>
  <si>
    <t xml:space="preserve"> Impression and custom preparation of outer ear prosthesis</t>
  </si>
  <si>
    <t xml:space="preserve"> Impression and custom preparation of nasal prosthesis</t>
  </si>
  <si>
    <t xml:space="preserve"> Impression and custom preparation of facial prosthesis</t>
  </si>
  <si>
    <t xml:space="preserve"> Placement of stabilizing device to upper jaw and face</t>
  </si>
  <si>
    <t xml:space="preserve"> Application and removal of dental fixation device</t>
  </si>
  <si>
    <t xml:space="preserve"> Injection for X-ray of hinged joint of upper and lower jaw bones</t>
  </si>
  <si>
    <t xml:space="preserve"> Implantation of graft to enlarge chin bone</t>
  </si>
  <si>
    <t xml:space="preserve"> Enlargement of chin by movement of bone</t>
  </si>
  <si>
    <t xml:space="preserve"> Enlargement of chin by movement of multiple bones</t>
  </si>
  <si>
    <t xml:space="preserve"> Insertion of sliding bone graft to enlarge chin bone, additional bone graft</t>
  </si>
  <si>
    <t xml:space="preserve"> Enlargement of lower jaw with implant</t>
  </si>
  <si>
    <t xml:space="preserve"> Insertion of bone grafts between portions of bone to enlarge lower jaw bone</t>
  </si>
  <si>
    <t xml:space="preserve"> Repair of bony defect of forehead</t>
  </si>
  <si>
    <t xml:space="preserve"> Repair of bony defect of forehead with insertion of prosthetic material</t>
  </si>
  <si>
    <t xml:space="preserve"> Repair of frontal sinus through forehead</t>
  </si>
  <si>
    <t xml:space="preserve"> Reconstruction of midface bones (LeFort II)</t>
  </si>
  <si>
    <t xml:space="preserve"> Reconstruction of outer side of eye and lower forehead bones</t>
  </si>
  <si>
    <t xml:space="preserve"> Repair of bony defect of lower forehead and both outer portions of eye bones</t>
  </si>
  <si>
    <t xml:space="preserve"> Reconstruction of skull bones with removal of bone growth</t>
  </si>
  <si>
    <t xml:space="preserve"> Reconstruction of jaw bone</t>
  </si>
  <si>
    <t xml:space="preserve"> Reconstruction of lower jaw bone with bone graft</t>
  </si>
  <si>
    <t xml:space="preserve"> Reconstruction of lower jaw bones</t>
  </si>
  <si>
    <t xml:space="preserve"> Incision or partial removal of lower jaw bone</t>
  </si>
  <si>
    <t xml:space="preserve"> Incision or partial removal of lower jaw bone and movement of tongue muscle</t>
  </si>
  <si>
    <t xml:space="preserve"> Incision or partial removal of upper jaw bone</t>
  </si>
  <si>
    <t xml:space="preserve"> Incision and repair of bony defect of cheek bone with repositioning of bony segment</t>
  </si>
  <si>
    <t xml:space="preserve"> Incision and repair of bony defect of cheek bone including bony segment reduction</t>
  </si>
  <si>
    <t xml:space="preserve"> Repair of nasal or cheek bone with bone graft</t>
  </si>
  <si>
    <t xml:space="preserve"> Repair of lower jaw bone with bone graft</t>
  </si>
  <si>
    <t xml:space="preserve"> Harvest of rib cartilage for grafting</t>
  </si>
  <si>
    <t xml:space="preserve"> Obtaining ear cartilage for grafting</t>
  </si>
  <si>
    <t xml:space="preserve"> Repair of hinged joint of upper and lower jaw bones</t>
  </si>
  <si>
    <t xml:space="preserve"> Repair of hinged joint of upper and lower jaw bones with donor graft</t>
  </si>
  <si>
    <t xml:space="preserve"> Repair of hinged joint of upper and lower jaw bones with prosthesis</t>
  </si>
  <si>
    <t xml:space="preserve"> Reconstruction of lower jaw bone with insertion of bone plate</t>
  </si>
  <si>
    <t xml:space="preserve"> Partial repair of lower jaw or cheek bone with implant</t>
  </si>
  <si>
    <t xml:space="preserve"> Complete reconstruction of lower or upper jaw bone with jaw bone implant (subperiosteal)</t>
  </si>
  <si>
    <t xml:space="preserve"> Reconstruction of part of lower or upper jaw bone with implant</t>
  </si>
  <si>
    <t xml:space="preserve"> Complete reconstruction of lower or upper jaw bone with jaw bone implant (endosteal)</t>
  </si>
  <si>
    <t xml:space="preserve"> Reconstruction of eye socket bone with bone graft</t>
  </si>
  <si>
    <t xml:space="preserve"> Repositioning of eye bone from outside skull with bone graft</t>
  </si>
  <si>
    <t xml:space="preserve"> Repositioning of eye socket bone from inside and outside skull with bone graft</t>
  </si>
  <si>
    <t xml:space="preserve"> Repositioning of cheek bone prominence with forehead advancement</t>
  </si>
  <si>
    <t xml:space="preserve"> Reconstruction of eye bone from outside skull with bone graft</t>
  </si>
  <si>
    <t xml:space="preserve"> Insertion of prosthetic material to enlarge cheek bone</t>
  </si>
  <si>
    <t xml:space="preserve"> Secondary revision of reconstruction of eye, skull, and face bones</t>
  </si>
  <si>
    <t xml:space="preserve"> Tightening of tendon of inner port of lower eyelid</t>
  </si>
  <si>
    <t xml:space="preserve"> Tightening of tendon of outer edge of lower eyelid</t>
  </si>
  <si>
    <t xml:space="preserve"> Reduction of muscle used for chewing and lower jaw bone from outside mouth</t>
  </si>
  <si>
    <t xml:space="preserve"> Reduction of muscle used for chewing and lower jaw bone from inside mouth</t>
  </si>
  <si>
    <t xml:space="preserve"> Closed treatment of broken nose bone with manipulation</t>
  </si>
  <si>
    <t xml:space="preserve"> Closed treatment of broken nose bone with placement of stabilizing device</t>
  </si>
  <si>
    <t xml:space="preserve"> Treatment of broken nose bone</t>
  </si>
  <si>
    <t xml:space="preserve"> Treatment of broken nose bone with placement of stabilizing device</t>
  </si>
  <si>
    <t xml:space="preserve"> Treatment of broken nose bone and tissue separating nose airways</t>
  </si>
  <si>
    <t xml:space="preserve"> Treatment of broken bone and tissue separating nose airways</t>
  </si>
  <si>
    <t xml:space="preserve"> Closed treatment of broken bone separating nose airways</t>
  </si>
  <si>
    <t xml:space="preserve"> Treatment of broken nose and eye bones</t>
  </si>
  <si>
    <t xml:space="preserve"> Treatment of broken nose and eye bones with placement of outside stabilizing device</t>
  </si>
  <si>
    <t xml:space="preserve"> Treatment of broken nose bones with placement of stabilizing device</t>
  </si>
  <si>
    <t xml:space="preserve"> Closed treatment of broken nose and upper jaw bones with placement of stabilizing device to teeth</t>
  </si>
  <si>
    <t xml:space="preserve"> Treatment of broken nose and upper jaw bones with placement of stabilizing device</t>
  </si>
  <si>
    <t xml:space="preserve"> Treatment of broken cheek bone accessed through the skin with manipulation</t>
  </si>
  <si>
    <t xml:space="preserve"> Treatment of depressed broken upper portion of cheek bone</t>
  </si>
  <si>
    <t xml:space="preserve"> Treatment of depressed broken cheek bone</t>
  </si>
  <si>
    <t xml:space="preserve"> Treatment of complicated broken cheek bone with placement of internal stabilizing device</t>
  </si>
  <si>
    <t xml:space="preserve"> Treatment of broken floor of eye bone through cheek</t>
  </si>
  <si>
    <t xml:space="preserve"> Treatment of broken floor of eye bone through eye area</t>
  </si>
  <si>
    <t xml:space="preserve"> Treatment of broken floor of eye bone through cheek and eye area</t>
  </si>
  <si>
    <t xml:space="preserve"> Treatment of broken floor of eye bone through eye area with implant</t>
  </si>
  <si>
    <t xml:space="preserve"> Treatment of broken floor of eye bone through eye area with bone graft</t>
  </si>
  <si>
    <t xml:space="preserve"> Closed treatment of broken eye bone</t>
  </si>
  <si>
    <t xml:space="preserve"> Closed treatment of broken eye bone with manipulation</t>
  </si>
  <si>
    <t xml:space="preserve"> Treatment of broken eye bone</t>
  </si>
  <si>
    <t xml:space="preserve"> Treatment of broken eye bone with implant</t>
  </si>
  <si>
    <t xml:space="preserve"> Treatment of broken eye bone with bone graft</t>
  </si>
  <si>
    <t xml:space="preserve"> Closed treatment of broken roof of mouth or upper jaw bone with placement of stabilizing device to teeth</t>
  </si>
  <si>
    <t xml:space="preserve"> Closed treatment of broken upper or lower jaw bone</t>
  </si>
  <si>
    <t xml:space="preserve"> Treatment of broken upper or lower jaw bone</t>
  </si>
  <si>
    <t xml:space="preserve"> Closed treatment of broken lower jaw bone</t>
  </si>
  <si>
    <t xml:space="preserve"> Closed treatment of broken lower jaw bone with manipulation</t>
  </si>
  <si>
    <t xml:space="preserve"> Treatment of broken lower jaw bone with placement of stabilizing device</t>
  </si>
  <si>
    <t xml:space="preserve"> Closed treatment of broken lower jaw bone with placement of stabilizing device to teeth</t>
  </si>
  <si>
    <t xml:space="preserve"> Treatment of broken lower jaw bone with placement of external stabilizing device</t>
  </si>
  <si>
    <t xml:space="preserve"> Treatment of broken lower jaw bone</t>
  </si>
  <si>
    <t xml:space="preserve"> Treatment of broken lower jaw bone with placement of stabilizing device to teeth</t>
  </si>
  <si>
    <t xml:space="preserve"> Treatment of broken hinged end of lower jaw bone</t>
  </si>
  <si>
    <t xml:space="preserve"> Complicated treatment of broken lower jaw bone with placement of stabilizing device to teeth</t>
  </si>
  <si>
    <t xml:space="preserve"> Closed treatment of dislocated jaw joint</t>
  </si>
  <si>
    <t xml:space="preserve"> Complicated repair of dislocated jaw joint with placement of stabilizing device</t>
  </si>
  <si>
    <t xml:space="preserve"> Treatment of dislocated jaw joint</t>
  </si>
  <si>
    <t xml:space="preserve"> Wiring of jaw or oral splint to teeth</t>
  </si>
  <si>
    <t xml:space="preserve"> Drainage of deep abscess or blood accumulation in soft tissue of neck or chest</t>
  </si>
  <si>
    <t xml:space="preserve"> Drainage of deep abscess or blood accumulation in soft tissue of neck or chest with partial removal of rib</t>
  </si>
  <si>
    <t xml:space="preserve"> Biopsy of soft tissue of neck or chest</t>
  </si>
  <si>
    <t xml:space="preserve"> Removal of growth of soft tissue under skin of neck or front of chest, 3.0 cm or more</t>
  </si>
  <si>
    <t xml:space="preserve"> Removal of growth of muscle of neck or front of chest, 5.0 cm or more</t>
  </si>
  <si>
    <t xml:space="preserve"> Removal of growth under skin of neck or front of chest, less than 3.0 cm</t>
  </si>
  <si>
    <t xml:space="preserve"> Removal of growth of muscle of neck or front of chest, less than 5.0 cm</t>
  </si>
  <si>
    <t xml:space="preserve"> Extensive removal of growth of neck or front of chest, less than 5.0 cm</t>
  </si>
  <si>
    <t xml:space="preserve"> Extensive removal of growth of neck or front of chest, 5.0 cm or more</t>
  </si>
  <si>
    <t xml:space="preserve"> Partial removal of rib</t>
  </si>
  <si>
    <t xml:space="preserve"> Removal of growth of chest wall and rib</t>
  </si>
  <si>
    <t xml:space="preserve"> Partial removal of rib and spine bone at joint</t>
  </si>
  <si>
    <t xml:space="preserve"> Repositioning of bone and muscles in neck</t>
  </si>
  <si>
    <t xml:space="preserve"> Removal of neck muscle with release of nerves</t>
  </si>
  <si>
    <t xml:space="preserve"> Release of tendons of neck muscle, open procedure</t>
  </si>
  <si>
    <t xml:space="preserve"> Release of neck muscle and placement of a cast to treat tilting head</t>
  </si>
  <si>
    <t xml:space="preserve"> Closed treatment of broken chest bone</t>
  </si>
  <si>
    <t xml:space="preserve"> Biopsy of surface soft tissue to back or lower sides</t>
  </si>
  <si>
    <t xml:space="preserve"> Deep biopsy of soft tissue of back or lower sides</t>
  </si>
  <si>
    <t xml:space="preserve"> Removal of growth under skin of back or lower sides, less than 3.0 cm</t>
  </si>
  <si>
    <t xml:space="preserve"> Removal of growth under skin of back or lower sides, 3.0 cm or more</t>
  </si>
  <si>
    <t xml:space="preserve"> Removal of growth of muscle of back or lower sides, less than 5.0 cm</t>
  </si>
  <si>
    <t xml:space="preserve"> Removal of growth of muscle of back or lower sides, 5.0 cm or more</t>
  </si>
  <si>
    <t xml:space="preserve"> Extensive removal of growth of back or lower side, less than 5.0 cm</t>
  </si>
  <si>
    <t xml:space="preserve"> Extensive removal of growth of back or lower side, 5.0 cm or more</t>
  </si>
  <si>
    <t xml:space="preserve"> Removal of rear piece of upper spine bone</t>
  </si>
  <si>
    <t xml:space="preserve"> Removal of rear piece of middle spine bone</t>
  </si>
  <si>
    <t xml:space="preserve"> Removal of rear piece of lower spine bone</t>
  </si>
  <si>
    <t xml:space="preserve"> Partial removal of bone at back of spine, each additional segment</t>
  </si>
  <si>
    <t xml:space="preserve"> Closed treatment of broken spine bone with cast or brace</t>
  </si>
  <si>
    <t xml:space="preserve"> Closed treatment of broken or dislocated spine bone with cast or brace and traction</t>
  </si>
  <si>
    <t xml:space="preserve"> Manipulation of spine under anesthesia</t>
  </si>
  <si>
    <t xml:space="preserve"> Stabilization of upper spine bone</t>
  </si>
  <si>
    <t xml:space="preserve"> Stabilization of lower spine bone</t>
  </si>
  <si>
    <t xml:space="preserve"> Stabilization of spine bone, each additional bone</t>
  </si>
  <si>
    <t xml:space="preserve"> Treatment of broken middle spine bone with placement of stabilizing device using imaging guidance</t>
  </si>
  <si>
    <t xml:space="preserve"> Treatment of broken lower spine bone with placement of stabilizing device</t>
  </si>
  <si>
    <t xml:space="preserve"> Treatment of broken spine bone with stabilizing device, each additional segment</t>
  </si>
  <si>
    <t xml:space="preserve"> Fusion of upper spine bone with removal of disc and release of spinal cord or nerve, 1 disc</t>
  </si>
  <si>
    <t xml:space="preserve"> Fusion of upper spine bone with removal of disc and release of spinal cord or nerve, each additional disc</t>
  </si>
  <si>
    <t xml:space="preserve"> Fusion of upper spine bones through front of neck with partial removal of disc</t>
  </si>
  <si>
    <t xml:space="preserve"> Fusion of spine bones through front of body with partial removal of disc, each additional disc</t>
  </si>
  <si>
    <t xml:space="preserve"> Fusion of spine in lower back</t>
  </si>
  <si>
    <t xml:space="preserve"> Fusion of additional segment of spine</t>
  </si>
  <si>
    <t xml:space="preserve"> Placement of stabilizing device to back of 1 spine bone in neck</t>
  </si>
  <si>
    <t xml:space="preserve"> Placement of stabilizing device to back, 3-6 spine bone segments</t>
  </si>
  <si>
    <t xml:space="preserve"> Placement of stabilizing device to front, 2-3 spine bone segments</t>
  </si>
  <si>
    <t xml:space="preserve"> Placement of stabilizing device to front, 4-7 spine bone segments</t>
  </si>
  <si>
    <t xml:space="preserve"> Removal of stabilizing device from back of spine</t>
  </si>
  <si>
    <t xml:space="preserve"> Insertion of cage or mesh device to spine bone and disc space during spine fusion</t>
  </si>
  <si>
    <t xml:space="preserve"> Insertion of cage or mesh device in disc space during spine fusion</t>
  </si>
  <si>
    <t xml:space="preserve"> Insertion of artificial upper spine disc, anterior approach</t>
  </si>
  <si>
    <t xml:space="preserve"> Insertion of artificial upper spine disc anterior approach</t>
  </si>
  <si>
    <t xml:space="preserve"> Placement of mesh or cage device into spine disc space</t>
  </si>
  <si>
    <t xml:space="preserve"> Placement of device to stabilize or reduce pressure in lower spine in 1 disc space</t>
  </si>
  <si>
    <t xml:space="preserve"> Placement of device to stabilize or reduce pressure in lower spine in second disc space</t>
  </si>
  <si>
    <t xml:space="preserve"> Placement of stabilizing device to lower spine level</t>
  </si>
  <si>
    <t xml:space="preserve"> Placement of stabilizing device to second lower spine level</t>
  </si>
  <si>
    <t xml:space="preserve"> Other procedure on spine</t>
  </si>
  <si>
    <t xml:space="preserve"> Removal of growth of muscle of abdomen, less than 5.0 cm</t>
  </si>
  <si>
    <t xml:space="preserve"> Removal of growth of muscle of abdomen, 5.0 cm or more</t>
  </si>
  <si>
    <t xml:space="preserve"> Removal of growth of soft tissue of abdominal wall, less than 3.0 cm</t>
  </si>
  <si>
    <t xml:space="preserve"> Removal of growth of soft tissue of abdominal wall, 3.0 cm or more</t>
  </si>
  <si>
    <t xml:space="preserve"> Extensive removal of growth of soft tissue of abdominal wall, less than 5.0 cm</t>
  </si>
  <si>
    <t xml:space="preserve"> Extensive removal of growth of soft tissue of abdominal wall, 5.0 cm or more</t>
  </si>
  <si>
    <t xml:space="preserve"> Other procedure on abdominal muscle or bone</t>
  </si>
  <si>
    <t xml:space="preserve"> Removal of calcium deposits at rotator cuff tendons, open procedure</t>
  </si>
  <si>
    <t xml:space="preserve"> Release of tendon of shoulder joint</t>
  </si>
  <si>
    <t xml:space="preserve"> Drainage of deep abscess or blood accumulation of shoulder</t>
  </si>
  <si>
    <t xml:space="preserve"> Drainage of infected fluid-filled sac (bursa) of shoulder joint</t>
  </si>
  <si>
    <t xml:space="preserve"> Incision of shoulder bone for removal of infected tissue</t>
  </si>
  <si>
    <t xml:space="preserve"> Incision of shoulder joint for exploration, fluid drainage, or removal of foreign body</t>
  </si>
  <si>
    <t xml:space="preserve"> Incision of collar bone joint for exploration, fluid drainage, or removal of foreign body</t>
  </si>
  <si>
    <t xml:space="preserve"> Biopsy of surface tissue of shoulder</t>
  </si>
  <si>
    <t xml:space="preserve"> Biopsy of deep tissue of shoulder</t>
  </si>
  <si>
    <t xml:space="preserve"> Removal of growth under skin of shoulder area, 3.0 cm or more</t>
  </si>
  <si>
    <t xml:space="preserve"> Removal of growth of muscle of shoulder, 5.0 cm or more</t>
  </si>
  <si>
    <t xml:space="preserve"> Removal of growth under skin of shoulder area, less than 3.0 cm</t>
  </si>
  <si>
    <t xml:space="preserve"> Removal of growth of muscle of shoulder, less than 5.0 cm</t>
  </si>
  <si>
    <t xml:space="preserve"> Extensive removal of growth of shoulder, less than 5.0 cm</t>
  </si>
  <si>
    <t xml:space="preserve"> Extensive removal of growth of shoulder, 5.0 cm or more</t>
  </si>
  <si>
    <t xml:space="preserve"> Incision and biopsy of shoulder joint</t>
  </si>
  <si>
    <t xml:space="preserve"> Incision to repair joints between shoulder, chest and collar bones</t>
  </si>
  <si>
    <t xml:space="preserve"> Removal of shoulder joint lining</t>
  </si>
  <si>
    <t xml:space="preserve"> Removal of lining of joint between collar and chest bones</t>
  </si>
  <si>
    <t xml:space="preserve"> Incision of shoulder joint for exam</t>
  </si>
  <si>
    <t xml:space="preserve"> Partial removal of collar bone</t>
  </si>
  <si>
    <t xml:space="preserve"> Removal of collar bone</t>
  </si>
  <si>
    <t xml:space="preserve"> Partial removal or repair of shoulder bone near collar bone</t>
  </si>
  <si>
    <t xml:space="preserve"> Removal of cyst or growth of collar bone or shoulder blade</t>
  </si>
  <si>
    <t xml:space="preserve"> Removal of cyst or growth of collar bone or shoulder blade with self bone graft</t>
  </si>
  <si>
    <t xml:space="preserve"> Removal of cyst or growth of collar bone or shoulder blade with donor bone graft</t>
  </si>
  <si>
    <t xml:space="preserve"> Removal of cyst or growth of top part of upper arm bone</t>
  </si>
  <si>
    <t xml:space="preserve"> Removal of cyst or growth of top part of upper arm bone with self bone graft</t>
  </si>
  <si>
    <t xml:space="preserve"> Removal of cyst or growth of top of upper arm bone with donor bone graft</t>
  </si>
  <si>
    <t xml:space="preserve"> Removal of dead bone fragment from collar bone</t>
  </si>
  <si>
    <t xml:space="preserve"> Removal of dead bone fragment from shoulder blade</t>
  </si>
  <si>
    <t xml:space="preserve"> Removal of dead bone fragment from top of upper arm bone</t>
  </si>
  <si>
    <t xml:space="preserve"> Partial removal of infected collar bone</t>
  </si>
  <si>
    <t xml:space="preserve"> Partial removal of infected shoulder blade</t>
  </si>
  <si>
    <t xml:space="preserve"> Partial removal of infected top of upper arm bone</t>
  </si>
  <si>
    <t xml:space="preserve"> Partial removal of shoulder blade</t>
  </si>
  <si>
    <t xml:space="preserve"> Removal of shoulder blade</t>
  </si>
  <si>
    <t xml:space="preserve"> Removal of foreign body of shoulder joint, accessed beneath the skin</t>
  </si>
  <si>
    <t xml:space="preserve"> Removal of foreign body of shoulder joint, accessed beneath the tissue or muscle</t>
  </si>
  <si>
    <t xml:space="preserve"> Removal of ball or socket prosthesis from shoulder</t>
  </si>
  <si>
    <t xml:space="preserve"> Injection of contrast for imaging of shoulder joint</t>
  </si>
  <si>
    <t xml:space="preserve"> Relocation of one muscle of shoulder or upper arm</t>
  </si>
  <si>
    <t xml:space="preserve"> Relocation of multiple muscles of shoulder or upper arm</t>
  </si>
  <si>
    <t xml:space="preserve"> Reshaping and relocation of shoulder blade bone</t>
  </si>
  <si>
    <t xml:space="preserve"> Incision of shoulder tendon</t>
  </si>
  <si>
    <t xml:space="preserve"> Incision of shoulder multiple tendons through same incision</t>
  </si>
  <si>
    <t xml:space="preserve"> Repair of acute torn shoulder rotator cuff</t>
  </si>
  <si>
    <t xml:space="preserve"> Repair of chronic torn shoulder rotator cuff</t>
  </si>
  <si>
    <t xml:space="preserve"> Release of collar bone and shoulder ligament</t>
  </si>
  <si>
    <t xml:space="preserve"> Repair of complete tear of shoulder rotator cuff with release of pressure on collar bone</t>
  </si>
  <si>
    <t xml:space="preserve"> Anchoring of biceps tendon</t>
  </si>
  <si>
    <t xml:space="preserve"> Removal or relocation of biceps tendon</t>
  </si>
  <si>
    <t xml:space="preserve"> Reattachment of shoulder joint capsule without bone transfer</t>
  </si>
  <si>
    <t xml:space="preserve"> Reattachment of shoulder joint capsule and cartilage without bone transfer with repair of shoulder rim</t>
  </si>
  <si>
    <t xml:space="preserve"> Repair of shoulder joint capsule and shoulder blade with bone block</t>
  </si>
  <si>
    <t xml:space="preserve"> Reattachment of shoulder joint capsule with bone transfer (coracoid bone)</t>
  </si>
  <si>
    <t xml:space="preserve"> Repair of shoulder joint capsule in the back of the joint</t>
  </si>
  <si>
    <t xml:space="preserve"> Repair and tightening of shoulder joint capsule</t>
  </si>
  <si>
    <t xml:space="preserve"> Partial replacement of shoulder joint</t>
  </si>
  <si>
    <t xml:space="preserve"> Prosthetic repair of shoulder joint, total shoulder</t>
  </si>
  <si>
    <t xml:space="preserve"> Incision or partial removal of collar bone</t>
  </si>
  <si>
    <t xml:space="preserve"> Incision or partial removal of collar bone with bone graft</t>
  </si>
  <si>
    <t xml:space="preserve"> Stabilization of collar bone with device</t>
  </si>
  <si>
    <t xml:space="preserve"> Stabilization of top of upper arm bone with device</t>
  </si>
  <si>
    <t xml:space="preserve"> Closed treatment of broken collar bone</t>
  </si>
  <si>
    <t xml:space="preserve"> Closed treatment of broken collar bone with manipulation</t>
  </si>
  <si>
    <t xml:space="preserve"> Treatment of broken collar bone</t>
  </si>
  <si>
    <t xml:space="preserve"> Closed treatment of dislocated joint between collar and chest bone</t>
  </si>
  <si>
    <t xml:space="preserve"> Closed treatment of dislocated joint between collar and chest bone with manipulation</t>
  </si>
  <si>
    <t xml:space="preserve"> Treatment of dislocated joint between collar and chest bones</t>
  </si>
  <si>
    <t xml:space="preserve"> Treatment of dislocated joint between collar and chest bones with tissue graft</t>
  </si>
  <si>
    <t xml:space="preserve"> Closed treatment of dislocated joint between collar bone and shoulder</t>
  </si>
  <si>
    <t xml:space="preserve"> Closed treatment of dislocated joint between collar bone and shoulder with manipulation</t>
  </si>
  <si>
    <t xml:space="preserve"> Treatment of dislocated joint between collar bone and shoulder</t>
  </si>
  <si>
    <t xml:space="preserve"> Treatment of dislocated joint between collar bone and shoulder with tissue graft</t>
  </si>
  <si>
    <t xml:space="preserve"> Closed treatment of broken shoulder blade</t>
  </si>
  <si>
    <t xml:space="preserve"> Closed treatment of broken shoulder blade with manipulation</t>
  </si>
  <si>
    <t xml:space="preserve"> Treatment of broken shoulder blade</t>
  </si>
  <si>
    <t xml:space="preserve"> Closed treatment of broken top of upper arm bone</t>
  </si>
  <si>
    <t xml:space="preserve"> Closed treatment of broken top of upper arm bone with manipulation</t>
  </si>
  <si>
    <t xml:space="preserve"> Treatment of broken top of upper arm bone</t>
  </si>
  <si>
    <t xml:space="preserve"> Treatment of broken upper arm bone with replacement</t>
  </si>
  <si>
    <t xml:space="preserve"> Closed treatment of upper arm bone broken at shoulder joint</t>
  </si>
  <si>
    <t xml:space="preserve"> Closed treatment of upper arm bone broken at shoulder joint with manipulation</t>
  </si>
  <si>
    <t xml:space="preserve"> Treatment of upper arm bone, broken at shoulder joint</t>
  </si>
  <si>
    <t xml:space="preserve"> Closed treatment of dislocated shoulder with manipulation</t>
  </si>
  <si>
    <t xml:space="preserve"> Closed treatment of dislocated shoulder with manipulation under anesthesia</t>
  </si>
  <si>
    <t xml:space="preserve"> Treatment of dislocated shoulder</t>
  </si>
  <si>
    <t xml:space="preserve"> Closed treatment of dislocated shoulder and broken upper arm bone at shoulder joint with manipulation</t>
  </si>
  <si>
    <t xml:space="preserve"> Treatment of dislocated shoulder and upper arm bone, broken at shoulder joint</t>
  </si>
  <si>
    <t xml:space="preserve"> Closed treatment of dislocated shoulder and broken neck of upper arm bone with manipulation</t>
  </si>
  <si>
    <t xml:space="preserve"> Treatment of dislocated shoulder and broken neck of upper arm bone</t>
  </si>
  <si>
    <t xml:space="preserve"> Manipulation of shoulder joint under anesthesia</t>
  </si>
  <si>
    <t xml:space="preserve"> Fusion of bones of shoulder joint</t>
  </si>
  <si>
    <t xml:space="preserve"> Fusion of shoulder joint bone with self bone graft</t>
  </si>
  <si>
    <t xml:space="preserve"> Revision of scar or wound closure following removal of arm and shoulder blade at shoulder joint</t>
  </si>
  <si>
    <t xml:space="preserve"> Other procedure on shoulder</t>
  </si>
  <si>
    <t xml:space="preserve"> Drainage of deep abscess or blood accumulation of upper arm or elbow</t>
  </si>
  <si>
    <t xml:space="preserve"> Drainage of fluid filled sac in elbow joint</t>
  </si>
  <si>
    <t xml:space="preserve"> Incision of upper arm or elbow bone</t>
  </si>
  <si>
    <t xml:space="preserve"> Incision of elbow joint for exploration, fluid drainage, or removal of foreign body</t>
  </si>
  <si>
    <t xml:space="preserve"> Incision of elbow with release of joint capsule</t>
  </si>
  <si>
    <t xml:space="preserve"> Biopsy of surface tissue of upper arm or elbow</t>
  </si>
  <si>
    <t xml:space="preserve"> Biopsy of deep tissue of upper arm or elbow</t>
  </si>
  <si>
    <t xml:space="preserve"> Removal of growth under skin of upper arm or elbow, 3.0 cm or more</t>
  </si>
  <si>
    <t xml:space="preserve"> Removal of growth of muscle of upper arm or elbow, 5.0 cm or more</t>
  </si>
  <si>
    <t xml:space="preserve"> Removal of growth under skin of upper arm or elbow, less than 3.0 cm</t>
  </si>
  <si>
    <t xml:space="preserve"> Removal of growth of muscle of upper arm or elbow, less than 5.0 cm</t>
  </si>
  <si>
    <t xml:space="preserve"> Extensive removal of growth of upper arm or elbow, less than 5.0 cm</t>
  </si>
  <si>
    <t xml:space="preserve"> Extensive removal of growth of upper arm or elbow, 5.0 cm or more</t>
  </si>
  <si>
    <t xml:space="preserve"> Incision of elbow with biopsy of joint lining</t>
  </si>
  <si>
    <t xml:space="preserve"> Incision and exploration of elbow joint</t>
  </si>
  <si>
    <t xml:space="preserve"> Removal of elbow joint lining</t>
  </si>
  <si>
    <t xml:space="preserve"> Removal of fluid-filled sac of elbow</t>
  </si>
  <si>
    <t xml:space="preserve"> Removal of cyst or growth of upper arm bone</t>
  </si>
  <si>
    <t xml:space="preserve"> Removal of cyst or growth of upper arm bone and self bone graft</t>
  </si>
  <si>
    <t xml:space="preserve"> Removal of cyst or growth of upper arm bone and donor bone graft</t>
  </si>
  <si>
    <t xml:space="preserve"> Removal of cyst or growth of elbow or upper forearm bone</t>
  </si>
  <si>
    <t xml:space="preserve"> Removal of cyst or growth of elbow or upper forearm bone and self bone graft</t>
  </si>
  <si>
    <t xml:space="preserve"> Removal of cyst or growth of elbow or upper forearm bone with bone graft</t>
  </si>
  <si>
    <t xml:space="preserve"> Removal of forearm bone at elbow joint</t>
  </si>
  <si>
    <t xml:space="preserve"> Removal of dead upper arm bone for bone infection in the main portion and lower portion or the bone</t>
  </si>
  <si>
    <t xml:space="preserve"> Removal of dead forearm bone at elbow joint</t>
  </si>
  <si>
    <t xml:space="preserve"> Removal of dead elbow bone</t>
  </si>
  <si>
    <t xml:space="preserve"> Partial removal of infected upper arm bone</t>
  </si>
  <si>
    <t xml:space="preserve"> Partial removal of infected forearm bone at elbow</t>
  </si>
  <si>
    <t xml:space="preserve"> Partial removal of infected elbow bone</t>
  </si>
  <si>
    <t xml:space="preserve"> Extensive removal of bony growth and tissue from elbow to increase elbow motion</t>
  </si>
  <si>
    <t xml:space="preserve"> Extensive removal of growth of upper arm bone</t>
  </si>
  <si>
    <t xml:space="preserve"> Extensive removal of growth of inner forearm bone</t>
  </si>
  <si>
    <t xml:space="preserve"> Removal of elbow joint bones</t>
  </si>
  <si>
    <t xml:space="preserve"> Removal of elbow joint prosthesis</t>
  </si>
  <si>
    <t xml:space="preserve"> Removal of forearm bone prosthesis at elbow joint</t>
  </si>
  <si>
    <t xml:space="preserve"> Removal of foreign body of upper arm or elbow area, accessed beneath the skin</t>
  </si>
  <si>
    <t xml:space="preserve"> Removal of foreign body, upper arm or elbow area</t>
  </si>
  <si>
    <t xml:space="preserve"> Injection of contrast for imaging of elbow joint</t>
  </si>
  <si>
    <t xml:space="preserve"> Manipulation of elbow under anesthesia</t>
  </si>
  <si>
    <t xml:space="preserve"> Relocation of muscle or tendon of upper arm or elbow</t>
  </si>
  <si>
    <t xml:space="preserve"> Lengthening of tendon of upper arm or elbow</t>
  </si>
  <si>
    <t xml:space="preserve"> Incision of tendon located from elbow to shoulder, open procedure</t>
  </si>
  <si>
    <t xml:space="preserve"> Relocation of tendon from elbow to shoulder with muscle transfer</t>
  </si>
  <si>
    <t xml:space="preserve"> Relocation of forearm tendons</t>
  </si>
  <si>
    <t xml:space="preserve"> Relocation of forearm tendons with advancement of the extensor tendons</t>
  </si>
  <si>
    <t xml:space="preserve"> Release of upper arm tendon</t>
  </si>
  <si>
    <t xml:space="preserve"> Anchoring of biceps tendon at elbow</t>
  </si>
  <si>
    <t xml:space="preserve"> Repair of tendon or muscle of upper arm or elbow</t>
  </si>
  <si>
    <t xml:space="preserve"> Reinsertion of torn upper arm tendon</t>
  </si>
  <si>
    <t xml:space="preserve"> Repair of ligament of thumb side of elbow</t>
  </si>
  <si>
    <t xml:space="preserve"> Repair of ligament of thumb side of elbow with tendon graft</t>
  </si>
  <si>
    <t xml:space="preserve"> Repair of ligament of small finger side of elbow</t>
  </si>
  <si>
    <t xml:space="preserve"> Repair of ligament of small finger side of elbow with tendon graft</t>
  </si>
  <si>
    <t xml:space="preserve"> Incision of elbow tendon</t>
  </si>
  <si>
    <t xml:space="preserve"> Incision of elbow tendon with removal of tissue</t>
  </si>
  <si>
    <t xml:space="preserve"> Incision and repair of elbow tendon with removal of tissue or bone</t>
  </si>
  <si>
    <t xml:space="preserve"> Repair of elbow joint with tissue graft</t>
  </si>
  <si>
    <t xml:space="preserve"> Repair of elbow joint with replacement of lower portion of upper arm bone</t>
  </si>
  <si>
    <t xml:space="preserve"> Repair of elbow joint with implant with and repair of ligament</t>
  </si>
  <si>
    <t xml:space="preserve"> Prosthetic repair of elbow joint</t>
  </si>
  <si>
    <t xml:space="preserve"> Joint repair (arthroplasty) forearm bone on the thumb side (radius) at the elbow without an implant</t>
  </si>
  <si>
    <t xml:space="preserve"> Joint repair (arthroplasty) forearm bone on the thumb side (radius) at the elbow with and implant</t>
  </si>
  <si>
    <t xml:space="preserve"> Revision of total elbow repair (arthroplasty), upper arm or forearm components</t>
  </si>
  <si>
    <t xml:space="preserve"> Revision of total elbow repair (arthroplasty), upper arm and forearm components</t>
  </si>
  <si>
    <t xml:space="preserve"> Incision or partial removal of upper arm bone</t>
  </si>
  <si>
    <t xml:space="preserve"> Incision or partial removal of upper arm bone with insertion of rod</t>
  </si>
  <si>
    <t xml:space="preserve"> Reconstruction of upper arm bone</t>
  </si>
  <si>
    <t xml:space="preserve"> Repair of nonhealed broken upper arm bone</t>
  </si>
  <si>
    <t xml:space="preserve"> Repair of nonhealed broken upper arm bone with self bone graft</t>
  </si>
  <si>
    <t xml:space="preserve"> Repair of growth plate of upper arm bone</t>
  </si>
  <si>
    <t xml:space="preserve"> Incision of tissue of forearm muscle with exploration of artery</t>
  </si>
  <si>
    <t xml:space="preserve"> Stabilization of upper arm bone with device</t>
  </si>
  <si>
    <t xml:space="preserve"> Closed treatment of broken middle part of upper arm bone</t>
  </si>
  <si>
    <t xml:space="preserve"> Closed treatment of broken middle part of upper arm bone with manipulation</t>
  </si>
  <si>
    <t xml:space="preserve"> Treatment of broken middle part of upper arm bone with placement of stabilizing device (plate/screws)</t>
  </si>
  <si>
    <t xml:space="preserve"> Treatment of broken middle part of upper arm bone with placement of stabilizing device (implant)</t>
  </si>
  <si>
    <t xml:space="preserve"> Closed treatment of upper arm bone broken at elbow</t>
  </si>
  <si>
    <t xml:space="preserve"> Closed treatment of upper arm bone broken at elbow with manipulation</t>
  </si>
  <si>
    <t xml:space="preserve"> Placement of stabilizing device to upper arm broken at elbow</t>
  </si>
  <si>
    <t xml:space="preserve"> Treatment of upper arm bone broken at elbow</t>
  </si>
  <si>
    <t xml:space="preserve"> Treatment of broken upper arm bone at elbow with extension</t>
  </si>
  <si>
    <t xml:space="preserve"> Closed treatment of broken outer part of upper arm bone at elbow</t>
  </si>
  <si>
    <t xml:space="preserve"> Closed treatment of broken outer part of upper arm bone at elbow with manipulation</t>
  </si>
  <si>
    <t xml:space="preserve"> Placement of stabilizing device for broken outer part of upper arm at elbow</t>
  </si>
  <si>
    <t xml:space="preserve"> Treatment of broken outer part of upper arm bone at elbow</t>
  </si>
  <si>
    <t xml:space="preserve"> Closed treatment of broken elbow</t>
  </si>
  <si>
    <t xml:space="preserve"> Closed treatment of broken elbow with manipulation</t>
  </si>
  <si>
    <t xml:space="preserve"> Treatment of broken elbow</t>
  </si>
  <si>
    <t xml:space="preserve"> Placement of stabilizing device for broken elbow with manipulation</t>
  </si>
  <si>
    <t xml:space="preserve"> Treatment of broken or dislocated upper or forearm bones at elbow</t>
  </si>
  <si>
    <t xml:space="preserve"> Treatment of broken or dislocated upper or forearm bones at elbow with implant</t>
  </si>
  <si>
    <t xml:space="preserve"> Repair of dislocated elbow</t>
  </si>
  <si>
    <t xml:space="preserve"> Repair of dislocated elbow under anesthesia</t>
  </si>
  <si>
    <t xml:space="preserve"> Treatment of dislocated elbow</t>
  </si>
  <si>
    <t xml:space="preserve"> Closed treatment of broken and dislocated forearm bones at elbow with manipulation</t>
  </si>
  <si>
    <t xml:space="preserve"> Treatment of broken and dislocated forearm bones at elbow</t>
  </si>
  <si>
    <t xml:space="preserve"> Closed treatment of dislocated forearm bone on thumb side at elbow with manipulation, child</t>
  </si>
  <si>
    <t xml:space="preserve"> Closed treatment of broken forearm bone on thumb side at elbow</t>
  </si>
  <si>
    <t xml:space="preserve"> Closed treatment of broken forearm bone on thumb side at elbow with manipulation</t>
  </si>
  <si>
    <t xml:space="preserve"> Treatment of broken forearm bone on thumb side at elbow</t>
  </si>
  <si>
    <t xml:space="preserve"> Treatment of broken forearm bone on thumb side at elbow with prosthesis</t>
  </si>
  <si>
    <t xml:space="preserve"> Closed treatment of broken forearm bone on small finger side at elbow</t>
  </si>
  <si>
    <t xml:space="preserve"> Closed treatment of broken forearm bone on small finger side at elbow with manipulation</t>
  </si>
  <si>
    <t xml:space="preserve"> Treatment of broken forearm bone on small finger side at elbow</t>
  </si>
  <si>
    <t xml:space="preserve"> Fusion of elbow joint without bone graft from the patient</t>
  </si>
  <si>
    <t xml:space="preserve"> Fusion of elbow joint with bone graft from the patient</t>
  </si>
  <si>
    <t xml:space="preserve"> Secondary closure or revision of scar of previous upper arm bone amputation</t>
  </si>
  <si>
    <t xml:space="preserve"> Lengthening of remaining amputated arm bone</t>
  </si>
  <si>
    <t xml:space="preserve"> Incision or the tendon covering on the top side of the wrist</t>
  </si>
  <si>
    <t xml:space="preserve"> Incision or the tendon covering on the palm side of the wrist</t>
  </si>
  <si>
    <t xml:space="preserve"> Incision of tissue of forearm and/or wrist muscle compartment on one side of the forearm to relieve pressure, without removal of tissue</t>
  </si>
  <si>
    <t xml:space="preserve"> Incision to relieve pressure in top or palm side of wrist compartment with removal of damaged tissue</t>
  </si>
  <si>
    <t xml:space="preserve"> Incision of tissue of forearm and/or wrist muscle compartment on both sides of the forearm to relieve pressure, without removal of tissue</t>
  </si>
  <si>
    <t xml:space="preserve"> Incision to relieve pressure in top and palm side of wrist compartment with removal of damaged tissue</t>
  </si>
  <si>
    <t xml:space="preserve"> Drainage of deep abscess or blood accumulation of forearm or wrist</t>
  </si>
  <si>
    <t xml:space="preserve"> Drainage of fluid filled sac in wrist joint</t>
  </si>
  <si>
    <t xml:space="preserve"> Incision of forearm or wrist bone</t>
  </si>
  <si>
    <t xml:space="preserve"> Incision of wrist joint for exploration, fluid drainage, or removal of foreign body</t>
  </si>
  <si>
    <t xml:space="preserve"> Biopsy of surface tissue of forearm or wrist</t>
  </si>
  <si>
    <t xml:space="preserve"> Biopsy of deep tissue of forearm and/or wrist</t>
  </si>
  <si>
    <t xml:space="preserve"> Removal of growth under skin of forearm or wrist, 3.0 cm or more</t>
  </si>
  <si>
    <t xml:space="preserve"> Removal of growth of muscle of forearm or wrist, 3.0 cm or more</t>
  </si>
  <si>
    <t xml:space="preserve"> Removal of growth under skin of forearm or wrist, less than 3.0 cm</t>
  </si>
  <si>
    <t xml:space="preserve"> Removal of growth of muscle of forearm or wrist, less than 3.0 cm</t>
  </si>
  <si>
    <t xml:space="preserve"> Extensive removal of growth of forearm or wrist, less than 3.0 cm</t>
  </si>
  <si>
    <t xml:space="preserve"> Extensive removal of growth of forearm or wrist, 3.0 cm or more</t>
  </si>
  <si>
    <t xml:space="preserve"> Incision to repair or release capsule of wrist joint</t>
  </si>
  <si>
    <t xml:space="preserve"> Incision of joint capsule of wrist</t>
  </si>
  <si>
    <t xml:space="preserve"> Incision and exploration of wrist joint</t>
  </si>
  <si>
    <t xml:space="preserve"> Incision into wrist joint with removal of joint lining tissue</t>
  </si>
  <si>
    <t xml:space="preserve"> Incision to repair wrist joint with repair of cartilage</t>
  </si>
  <si>
    <t xml:space="preserve"> Removal of tendon of forearm and/or wrist</t>
  </si>
  <si>
    <t xml:space="preserve"> Removal of growth of tendon covering of forearm or wrist</t>
  </si>
  <si>
    <t xml:space="preserve"> Removal of first cyst of wrist</t>
  </si>
  <si>
    <t xml:space="preserve"> Removal of recurrent cyst of wrist</t>
  </si>
  <si>
    <t xml:space="preserve"> Extensive removal of growth of soft tissue structures in palm side of wrist</t>
  </si>
  <si>
    <t xml:space="preserve"> Extensive removal of growth of soft tissue structures in top side of wrist</t>
  </si>
  <si>
    <t xml:space="preserve"> Removal of lining of tendon covering of wrist</t>
  </si>
  <si>
    <t xml:space="preserve"> Removal of tendon lining on top side of wrist and end of forearm bone at wrist</t>
  </si>
  <si>
    <t xml:space="preserve"> Removal of cyst or growth of lower forearm bone</t>
  </si>
  <si>
    <t xml:space="preserve"> Removal of cyst or growth of lower forearm bone with self bone graft</t>
  </si>
  <si>
    <t xml:space="preserve"> Removal of cyst or growth of lower forearm bone with bone graft</t>
  </si>
  <si>
    <t xml:space="preserve"> Removal of cyst or growth of wrist bone</t>
  </si>
  <si>
    <t xml:space="preserve"> Removal of cyst or growth of wrist bone with self bone graft</t>
  </si>
  <si>
    <t xml:space="preserve"> Removal of cyst or growth of wrist bone with bone graft</t>
  </si>
  <si>
    <t xml:space="preserve"> Removal of fragment of dead forearm or wrist bone on small finger side</t>
  </si>
  <si>
    <t xml:space="preserve"> Removal of diseased part of forearm bone on small finger side</t>
  </si>
  <si>
    <t xml:space="preserve"> Removal of diseased part of forearm bone on thumb side</t>
  </si>
  <si>
    <t xml:space="preserve"> Extensive removal of growth of forearm bone (radius or ulna)</t>
  </si>
  <si>
    <t xml:space="preserve"> Removal of wrist bone</t>
  </si>
  <si>
    <t xml:space="preserve"> Removal of multiple wrist bones</t>
  </si>
  <si>
    <t xml:space="preserve"> Partial removal of wrist bone near thumb</t>
  </si>
  <si>
    <t xml:space="preserve"> Removal or partial removal of lower end of forearm bone on small finger side at wrist</t>
  </si>
  <si>
    <t xml:space="preserve"> Injection of contrast for imaging of wrist</t>
  </si>
  <si>
    <t xml:space="preserve"> Removal of deep foreign body in forearm or wrist</t>
  </si>
  <si>
    <t xml:space="preserve"> Removal of wrist prosthesis</t>
  </si>
  <si>
    <t xml:space="preserve"> Removal of wrist prosthesis, complicated</t>
  </si>
  <si>
    <t xml:space="preserve"> Manipulation of wrist under anesthesia</t>
  </si>
  <si>
    <t xml:space="preserve"> Primary repair of tendon or muscle of palm side of forearm or wrist</t>
  </si>
  <si>
    <t xml:space="preserve"> Secondary repair of tendon or muscle of palm side of forearm or wrist</t>
  </si>
  <si>
    <t xml:space="preserve"> Repair of forearm and/or wrist tendon or muscle on the underside of the wrist (flexor) with graft</t>
  </si>
  <si>
    <t xml:space="preserve"> Primary repair of tendon or muscle of top side of forearm or wrist</t>
  </si>
  <si>
    <t xml:space="preserve"> Repair of forearm and/or wrist tendon or muscle on the top of the wrist (extensor), secondary</t>
  </si>
  <si>
    <t xml:space="preserve"> Repair of tendon or muscle on top side of forearm or wrist with graft</t>
  </si>
  <si>
    <t xml:space="preserve"> Repair of forearm and/or wrist tendon covering with graft</t>
  </si>
  <si>
    <t xml:space="preserve"> Lengthening or shortening of tendon of forearm and/or wrist</t>
  </si>
  <si>
    <t xml:space="preserve"> Incision of tendon of forearm and/or wrist, open procedure</t>
  </si>
  <si>
    <t xml:space="preserve"> Removal of scar tissue to release tendon of forearm or wrist</t>
  </si>
  <si>
    <t xml:space="preserve"> Anchoring of flexing tendon of fingers to wrist bone</t>
  </si>
  <si>
    <t xml:space="preserve"> Anchoring of extending tendon of fingers to wrist bone</t>
  </si>
  <si>
    <t xml:space="preserve"> Relocation of tendon of forearm and/or wrist</t>
  </si>
  <si>
    <t xml:space="preserve"> Relocation of tendon of forearm and/or wrist with grafts</t>
  </si>
  <si>
    <t xml:space="preserve"> Repair of tendon of forearm and/or wrist</t>
  </si>
  <si>
    <t xml:space="preserve"> Release and relocation of tendons of forearm or wrist</t>
  </si>
  <si>
    <t xml:space="preserve"> Reconstruction of wrist joint</t>
  </si>
  <si>
    <t xml:space="preserve"> Repair of wrist joint</t>
  </si>
  <si>
    <t xml:space="preserve"> Advancement of tendons of outer forearm at wrist joint</t>
  </si>
  <si>
    <t xml:space="preserve"> Repair of tendons of outer forearm at wrist joint</t>
  </si>
  <si>
    <t xml:space="preserve"> Incision or partial removal of forearm bone on thumb side near hand</t>
  </si>
  <si>
    <t xml:space="preserve"> Incision or partial removal of forearm bone on thumb side near elbow or in middle</t>
  </si>
  <si>
    <t xml:space="preserve"> Incision or partial removal of forearm bone on small finger side</t>
  </si>
  <si>
    <t xml:space="preserve"> Incision or partial removal of both forearm bones</t>
  </si>
  <si>
    <t xml:space="preserve"> Multiple incisions or removal of parts of forearm bone</t>
  </si>
  <si>
    <t xml:space="preserve"> Multiple incisions or removal of parts of both forearm bones with insertion of rod in bone</t>
  </si>
  <si>
    <t xml:space="preserve"> Shortening of one of the forearm bones</t>
  </si>
  <si>
    <t xml:space="preserve"> Lengthening of one of the forearm bones with patient-derived bone graft</t>
  </si>
  <si>
    <t xml:space="preserve"> Shortening of both bones of forearm</t>
  </si>
  <si>
    <t xml:space="preserve"> Lengthening of both bones of forearm with patient-derived bone graft</t>
  </si>
  <si>
    <t xml:space="preserve"> Shortening of wrist bone</t>
  </si>
  <si>
    <t xml:space="preserve"> Repair non-healed fracture of forearm bone</t>
  </si>
  <si>
    <t xml:space="preserve"> Repair non-healed fracture of forearm bone with patient-derived bone graft</t>
  </si>
  <si>
    <t xml:space="preserve"> Treatment of both nonhealed broken forearm bones</t>
  </si>
  <si>
    <t xml:space="preserve"> Treatment of both nonhealed broken forearm bones with self bone graft</t>
  </si>
  <si>
    <t xml:space="preserve"> Repair of forearm bone</t>
  </si>
  <si>
    <t xml:space="preserve"> Repair of defect of both forearm bones with self bones graft</t>
  </si>
  <si>
    <t xml:space="preserve"> Insertion of vascular bone graft into wrist bone</t>
  </si>
  <si>
    <t xml:space="preserve"> Repair of non-healed wrist bone other than (scaphoid or navicular)</t>
  </si>
  <si>
    <t xml:space="preserve"> Repair of non-healed wrist bone, scaphoid or navicular at the base of the thumb</t>
  </si>
  <si>
    <t xml:space="preserve"> Arthroplasty or replacement of the end of the forearm bone on the thumb side at the wrist level</t>
  </si>
  <si>
    <t xml:space="preserve"> Arthroplasty or replacement of the end of the forearm bone on the small finger side at the wrist level</t>
  </si>
  <si>
    <t xml:space="preserve"> Arthroplasty or replacement of wrist bone, one wrist bone (scaphoid or navicular bone)</t>
  </si>
  <si>
    <t xml:space="preserve"> Arthroplasty or replacement of wrist bone, one wrist bone (lunate bone)</t>
  </si>
  <si>
    <t xml:space="preserve"> Arthroplasty or replacement of wrist bone, one wrist bone (trapezium bone)</t>
  </si>
  <si>
    <t xml:space="preserve"> Arthroplasty or replacement of the entire wrist joint</t>
  </si>
  <si>
    <t xml:space="preserve"> Removal of bone joints between wrist and fingers</t>
  </si>
  <si>
    <t xml:space="preserve"> Revision of wrist joint replacement with removal of existing prosthesis</t>
  </si>
  <si>
    <t xml:space="preserve"> Stapling or removal of growth plate of forearm bone</t>
  </si>
  <si>
    <t xml:space="preserve"> Stapling or removal of growth plate of both forearm bones</t>
  </si>
  <si>
    <t xml:space="preserve"> Stabilization of forearm bone on thumb side with device</t>
  </si>
  <si>
    <t xml:space="preserve"> Stabilization of forearm bone on small finger side with device</t>
  </si>
  <si>
    <t xml:space="preserve"> Stabilization of both forearm bones with device</t>
  </si>
  <si>
    <t xml:space="preserve"> Closed treatment of broken midpart of forearm bone on thumb side</t>
  </si>
  <si>
    <t xml:space="preserve"> Closed treatment of broken midpart of forearm bone on thumb side with manipulation</t>
  </si>
  <si>
    <t xml:space="preserve"> Treatment of broken midpart of forearm bone on thumb side</t>
  </si>
  <si>
    <t xml:space="preserve"> Closed treatment of broken midpart of forearm bone on thumb side and dislocated wrist joint</t>
  </si>
  <si>
    <t xml:space="preserve"> Treatment of broken midpart of forearm bone on thumb side and closed treatment of dislocated wrist joint</t>
  </si>
  <si>
    <t xml:space="preserve"> Treatment of broken midpart of forearm bone on thumb side and dislocated wrist joint with repair of cartilage</t>
  </si>
  <si>
    <t xml:space="preserve"> Closed treatment of broken midpart of forearm bone on small finger side</t>
  </si>
  <si>
    <t xml:space="preserve"> Closed treatment of broken midpart of forearm bone on small finger side with manipulation</t>
  </si>
  <si>
    <t xml:space="preserve"> Treatment of broken midpart of forearm bone on small finger side</t>
  </si>
  <si>
    <t xml:space="preserve"> Closed treatment of broken midpart of both forearm bones</t>
  </si>
  <si>
    <t xml:space="preserve"> Closed treatment of broken midpart of both forearm bones with manipulation</t>
  </si>
  <si>
    <t xml:space="preserve"> Treatment of broken midpart of both forearm bones with placement of stabilizing device to bone</t>
  </si>
  <si>
    <t xml:space="preserve"> Treatment of broken midpart of both forearm bones with placement of stabilizing device on both bones</t>
  </si>
  <si>
    <t xml:space="preserve"> Closed treatment of broken forearm (radius) bone at the wrist area on the thumb side of the wrist without manipulation</t>
  </si>
  <si>
    <t xml:space="preserve"> Closed treatment of broken or growth plate separate of forearm bone at wrist with manipulation</t>
  </si>
  <si>
    <t xml:space="preserve"> Placement of stabilizing device for broken forearm bone on thumb side at wrist</t>
  </si>
  <si>
    <t xml:space="preserve"> Treatment of broken forearm bone on thumb side of wrist, above wrist, with placement of stabilizing device</t>
  </si>
  <si>
    <t xml:space="preserve"> Treatment of 2 broken lower forearm bone pieces on thumb side inside wrist joint with placement of stabilizing device</t>
  </si>
  <si>
    <t xml:space="preserve"> Treatment of 3 or more broken lower forearm bone pieces on thumb side inside wrist joint with placement of stabilizing device</t>
  </si>
  <si>
    <t xml:space="preserve"> Closed treatment of broken wrist bone near base of thumb</t>
  </si>
  <si>
    <t xml:space="preserve"> Closed treatment of broken wrist bone near base of thumb with manipulation</t>
  </si>
  <si>
    <t xml:space="preserve"> Treatment of broken wrist bone located near base of thumb</t>
  </si>
  <si>
    <t xml:space="preserve"> Closed treatment of other broken wrist bone</t>
  </si>
  <si>
    <t xml:space="preserve"> Closed treatment of other broken wrist bone with manipulation</t>
  </si>
  <si>
    <t xml:space="preserve"> Treatment of other broken wrist bones</t>
  </si>
  <si>
    <t xml:space="preserve"> Closed treatment of broken base of forearm bone on small finger side at wrist</t>
  </si>
  <si>
    <t xml:space="preserve"> Placement of stabilizing device for broken base of forearm bone on small finger side at wrist</t>
  </si>
  <si>
    <t xml:space="preserve"> Treatment of broken base of forearm bone on small finger side at wrist</t>
  </si>
  <si>
    <t xml:space="preserve"> Closed treatment of dislocated wrist bones with manipulation</t>
  </si>
  <si>
    <t xml:space="preserve"> Treatment of dislocated wrist bones</t>
  </si>
  <si>
    <t xml:space="preserve"> Placement of stabilizing device for dislocated forearm bones at wrist</t>
  </si>
  <si>
    <t xml:space="preserve"> Closed treatment of dislocated forearm bone at wrist with manipulation</t>
  </si>
  <si>
    <t xml:space="preserve"> Treatment of dislocated forearm bones at wrist</t>
  </si>
  <si>
    <t xml:space="preserve"> Closed treatment of broken and dislocated wrist bones with manipulation</t>
  </si>
  <si>
    <t xml:space="preserve"> Treatment of broken and dislocated wrist bones</t>
  </si>
  <si>
    <t xml:space="preserve"> Closed treatment of dislocated wrist (lunate) bone with manipulation</t>
  </si>
  <si>
    <t xml:space="preserve"> Treatment of broken wrist (lunate) bone</t>
  </si>
  <si>
    <t xml:space="preserve"> Complete fusion of wrist joint</t>
  </si>
  <si>
    <t xml:space="preserve"> Fusion of wrist joint with bone graft</t>
  </si>
  <si>
    <t xml:space="preserve"> Fusion of wrist joint with graft from hip or other bone</t>
  </si>
  <si>
    <t xml:space="preserve"> Fusion of part of wrist joint</t>
  </si>
  <si>
    <t xml:space="preserve"> Fusion of part of wrist joint with patient-derived bone graft</t>
  </si>
  <si>
    <t xml:space="preserve"> Fusion of both forearm bones at wrist</t>
  </si>
  <si>
    <t xml:space="preserve"> Revision of scar or wound closure of previous amputation at forearm bones</t>
  </si>
  <si>
    <t xml:space="preserve"> Re-amputation of remaining arm at forearm bone</t>
  </si>
  <si>
    <t xml:space="preserve"> Revision of scar or wound closure following removal of hand at wrist joint</t>
  </si>
  <si>
    <t xml:space="preserve"> Revision of scar or wound closure of previous amputation at midhand bones</t>
  </si>
  <si>
    <t xml:space="preserve"> Re-amputation of remaining hand at midhand bones</t>
  </si>
  <si>
    <t xml:space="preserve"> Simple drainage of abscess of finger</t>
  </si>
  <si>
    <t xml:space="preserve"> Complicated drainage of abscess in finger</t>
  </si>
  <si>
    <t xml:space="preserve"> Drainage of tendon of finger and/or palm</t>
  </si>
  <si>
    <t xml:space="preserve"> Drainage of fluid filled sac in palm</t>
  </si>
  <si>
    <t xml:space="preserve"> Drainage of multiple fluid filled sacs in palm</t>
  </si>
  <si>
    <t xml:space="preserve"> Incision of hand or finger bone</t>
  </si>
  <si>
    <t xml:space="preserve"> Release of pressure on tissues of fingers and/or hand</t>
  </si>
  <si>
    <t xml:space="preserve"> Incision of tissue of hand to release pressure</t>
  </si>
  <si>
    <t xml:space="preserve"> Release of tissue of palm</t>
  </si>
  <si>
    <t xml:space="preserve"> Partial release of connective tissue of palm</t>
  </si>
  <si>
    <t xml:space="preserve"> Incision of tendon covering of finger</t>
  </si>
  <si>
    <t xml:space="preserve"> Incision of finger tendon</t>
  </si>
  <si>
    <t xml:space="preserve"> Incision of wrist joint at finger for exploration, fluid drainage, or removal of foreign body</t>
  </si>
  <si>
    <t xml:space="preserve"> Incision of lower finger joint for exploration, fluid drainage, or removal of foreign body</t>
  </si>
  <si>
    <t xml:space="preserve"> Incision of finger joint for exploration, fluid drainage, or removal of foreign body</t>
  </si>
  <si>
    <t xml:space="preserve"> Incision of wrist joint at finger with biopsy</t>
  </si>
  <si>
    <t xml:space="preserve"> Incision of joint at base of finger with biopsy</t>
  </si>
  <si>
    <t xml:space="preserve"> Incision of finger joint with biopsy</t>
  </si>
  <si>
    <t xml:space="preserve"> Removal (1.5 centimeters or greater) tissue beneath the skin growth of hand or finger</t>
  </si>
  <si>
    <t xml:space="preserve"> Removal of growth of muscle of hand or finger, 1.5 cm or more</t>
  </si>
  <si>
    <t xml:space="preserve"> Removal (less than 1.5 centimeters) tissue beneath the skin growth of hand or finger</t>
  </si>
  <si>
    <t xml:space="preserve"> Removal of growth of muscle of hand or finger, less than 1.5 cm</t>
  </si>
  <si>
    <t xml:space="preserve"> Extensive removal of growth of hand or finger, less than 3.0 cm</t>
  </si>
  <si>
    <t xml:space="preserve"> Extensive removal of growth of hand or finger, 3.0 cm or more</t>
  </si>
  <si>
    <t xml:space="preserve"> Removal of connective tissue of palm</t>
  </si>
  <si>
    <t xml:space="preserve"> Removal of connective tissue of palm and release of finger, first digit</t>
  </si>
  <si>
    <t xml:space="preserve"> Removal of connective tissue of palm and release of finger, each additional digit</t>
  </si>
  <si>
    <t xml:space="preserve"> Removal of wrist joint lining</t>
  </si>
  <si>
    <t xml:space="preserve"> Repair of hand joint</t>
  </si>
  <si>
    <t xml:space="preserve"> Removal of joint lining and repair of tendon on the topside of finger</t>
  </si>
  <si>
    <t xml:space="preserve"> Repair of tendon, finger, and/or palm of hand</t>
  </si>
  <si>
    <t xml:space="preserve"> Removal of growth of tendon finger or hand</t>
  </si>
  <si>
    <t xml:space="preserve"> Removal of tendon of palm</t>
  </si>
  <si>
    <t xml:space="preserve"> Removal of tendon of finger</t>
  </si>
  <si>
    <t xml:space="preserve"> Removal of bone at base of thumb or finger</t>
  </si>
  <si>
    <t xml:space="preserve"> Removal of cyst or growth from hand bone</t>
  </si>
  <si>
    <t xml:space="preserve"> Removal of cyst or growth from hand bone with self bone graft</t>
  </si>
  <si>
    <t xml:space="preserve"> Removal of cyst or growth of finger bone</t>
  </si>
  <si>
    <t xml:space="preserve"> Removal of cyst or growth of finger bone with self bone graft</t>
  </si>
  <si>
    <t xml:space="preserve"> Partial removal of hand bone</t>
  </si>
  <si>
    <t xml:space="preserve"> Partial removal of finger bone nearest hand or middle of finger</t>
  </si>
  <si>
    <t xml:space="preserve"> Partial removal of finger bone at end of finger</t>
  </si>
  <si>
    <t xml:space="preserve"> Extensive removal of growth of hand bone</t>
  </si>
  <si>
    <t xml:space="preserve"> Extensive removal of growth of finger</t>
  </si>
  <si>
    <t xml:space="preserve"> Extensive removal of growth at end of finger bone</t>
  </si>
  <si>
    <t xml:space="preserve"> Removal of implant from finger or hand</t>
  </si>
  <si>
    <t xml:space="preserve"> Manipulation of finger joint under anesthesia</t>
  </si>
  <si>
    <t xml:space="preserve"> Manipulation of finger for connective tissue release following enzyme injection</t>
  </si>
  <si>
    <t xml:space="preserve"> Repair of finger tendon of under side of hand other than upper most part of palm and fingers</t>
  </si>
  <si>
    <t xml:space="preserve"> Repair of finger tendon on under side of hand with a graft not in zone 2</t>
  </si>
  <si>
    <t xml:space="preserve"> Primary repair of finger tendon on underside of the hand without a graft in zone 2</t>
  </si>
  <si>
    <t xml:space="preserve"> Secondary repair of finger tendon on underside of hand without a graft in zone 2</t>
  </si>
  <si>
    <t xml:space="preserve"> Secondary repair of finger tendon on underside of hand with a graft in zone 2</t>
  </si>
  <si>
    <t xml:space="preserve"> Repair of tendon deep in underside of finger</t>
  </si>
  <si>
    <t xml:space="preserve"> Secondary repair of tendon deep in underside of finger with a graft</t>
  </si>
  <si>
    <t xml:space="preserve"> Secondary repair of tendon deep in underside of finger</t>
  </si>
  <si>
    <t xml:space="preserve"> Repair of tendon on underside of finger or hand with implanted rod</t>
  </si>
  <si>
    <t xml:space="preserve"> Removal of synthetic rod and insertion of tendon graft in hand or finger</t>
  </si>
  <si>
    <t xml:space="preserve"> Repair of tendon on top of hand</t>
  </si>
  <si>
    <t xml:space="preserve"> Repair of tendon on top of hand with graft</t>
  </si>
  <si>
    <t xml:space="preserve"> Removal of tendon from top of hand or finger with rod insertion</t>
  </si>
  <si>
    <t xml:space="preserve"> Removal of rod with tendon graft at top of hand or finger</t>
  </si>
  <si>
    <t xml:space="preserve"> Repair of tendon on top side of finger</t>
  </si>
  <si>
    <t xml:space="preserve"> Repair of tendon of top side of finger with graft</t>
  </si>
  <si>
    <t xml:space="preserve"> Secondary repair of tendon of top of finger using tissue</t>
  </si>
  <si>
    <t xml:space="preserve"> Secondary repair of tendon of upper side of finger with graft</t>
  </si>
  <si>
    <t xml:space="preserve"> Closed treatment of tendon of upper side of finger</t>
  </si>
  <si>
    <t xml:space="preserve"> Repair of tendon on upper side of end of finger</t>
  </si>
  <si>
    <t xml:space="preserve"> Repair of tendon on upper side of end of finger with graft</t>
  </si>
  <si>
    <t xml:space="preserve"> Repair of tendon on upper side of hand</t>
  </si>
  <si>
    <t xml:space="preserve"> Release of tendon of palm or finger</t>
  </si>
  <si>
    <t xml:space="preserve"> Release of tendon of palm and finger</t>
  </si>
  <si>
    <t xml:space="preserve"> Release of tendon of top of hand or finger</t>
  </si>
  <si>
    <t xml:space="preserve"> Release of tendon extending from finger to forearm</t>
  </si>
  <si>
    <t xml:space="preserve"> Incision of tendon of palm</t>
  </si>
  <si>
    <t xml:space="preserve"> Incision of tendon of finger</t>
  </si>
  <si>
    <t xml:space="preserve"> Incision of tendon at top of hand or finger</t>
  </si>
  <si>
    <t xml:space="preserve"> Suture of tendon to first joint of finger</t>
  </si>
  <si>
    <t xml:space="preserve"> Suture of tendon to joint of finger near top of finger</t>
  </si>
  <si>
    <t xml:space="preserve"> Lengthening of tendon on upper side of hand or finger</t>
  </si>
  <si>
    <t xml:space="preserve"> Shortening of tendon of upper side of hand or finger</t>
  </si>
  <si>
    <t xml:space="preserve"> Lengthening of tendon of palm side of finger or hand</t>
  </si>
  <si>
    <t xml:space="preserve"> Shortening of tendon of palm side of hand or finger</t>
  </si>
  <si>
    <t xml:space="preserve"> Transfer of tendon to back of hand</t>
  </si>
  <si>
    <t xml:space="preserve"> Transfer of tendon to back of hand with graft</t>
  </si>
  <si>
    <t xml:space="preserve"> Transfer of tendon to palm</t>
  </si>
  <si>
    <t xml:space="preserve"> Transfer of tendon to palm with graft</t>
  </si>
  <si>
    <t xml:space="preserve"> Transfer of tendon from ring finger to thumb</t>
  </si>
  <si>
    <t xml:space="preserve"> Transfer of tendon to thumb with graft</t>
  </si>
  <si>
    <t xml:space="preserve"> Transfer of tendon in palm to thumb</t>
  </si>
  <si>
    <t xml:space="preserve"> Transfer of tendon to thumb, palm, or wrist</t>
  </si>
  <si>
    <t xml:space="preserve"> Transfer of tendon to ring and small fingers</t>
  </si>
  <si>
    <t xml:space="preserve"> Transfer of tendons of hand, all 4 fingers</t>
  </si>
  <si>
    <t xml:space="preserve"> Correction of claw finger</t>
  </si>
  <si>
    <t xml:space="preserve"> Repair of ligament surrounding finger tendon</t>
  </si>
  <si>
    <t xml:space="preserve"> Repair of ligament surrounding finger tendon with graft</t>
  </si>
  <si>
    <t xml:space="preserve"> Release of muscles of palm near thumb</t>
  </si>
  <si>
    <t xml:space="preserve"> Transfer of finger tendon</t>
  </si>
  <si>
    <t xml:space="preserve"> Repair of joint capsule of hand and palm, 1 finger</t>
  </si>
  <si>
    <t xml:space="preserve"> Repair of joint capsule of hand and palm, 2 fingers</t>
  </si>
  <si>
    <t xml:space="preserve"> Repair of joint capsule of hand and palm, 3-4 fingers</t>
  </si>
  <si>
    <t xml:space="preserve"> Incision or removal of joint capsule between hand and finger</t>
  </si>
  <si>
    <t xml:space="preserve"> Repair of joint capsule of finger</t>
  </si>
  <si>
    <t xml:space="preserve"> Repair of joint connecting hand and finger bones with implant</t>
  </si>
  <si>
    <t xml:space="preserve"> Repair of joint between hand and finger bones with prosthesis</t>
  </si>
  <si>
    <t xml:space="preserve"> Replacement of finger joint</t>
  </si>
  <si>
    <t xml:space="preserve"> Replacement of finger joint with prosthesis</t>
  </si>
  <si>
    <t xml:space="preserve"> Repair of ligament of finger or hand and finger joint</t>
  </si>
  <si>
    <t xml:space="preserve"> Repair of ligament of finger or hand to finger joint with graft</t>
  </si>
  <si>
    <t xml:space="preserve"> Repair of ligament of hand to finger joint with local tissue</t>
  </si>
  <si>
    <t xml:space="preserve"> Repair of ligament of finger joint with graft</t>
  </si>
  <si>
    <t xml:space="preserve"> Repair of nonhealed hand or finger bone</t>
  </si>
  <si>
    <t xml:space="preserve"> Repair of joint between finger and palm</t>
  </si>
  <si>
    <t xml:space="preserve"> Surgical creation of thumb</t>
  </si>
  <si>
    <t xml:space="preserve"> Transfer of finger</t>
  </si>
  <si>
    <t xml:space="preserve"> Repair of webbed finger with skin flaps</t>
  </si>
  <si>
    <t xml:space="preserve"> Repair of webbed finger with skin flaps and grafts</t>
  </si>
  <si>
    <t xml:space="preserve"> Complex repair of each webbed finger</t>
  </si>
  <si>
    <t xml:space="preserve"> Incision or removal of hand bone</t>
  </si>
  <si>
    <t xml:space="preserve"> Partial removal of finger bone</t>
  </si>
  <si>
    <t xml:space="preserve"> Lengthening of hand or finger bone</t>
  </si>
  <si>
    <t xml:space="preserve"> Repair of deformed hand</t>
  </si>
  <si>
    <t xml:space="preserve"> Removal of extra finger</t>
  </si>
  <si>
    <t xml:space="preserve"> Repair of enlarged finger</t>
  </si>
  <si>
    <t xml:space="preserve"> Repair of hand muscle</t>
  </si>
  <si>
    <t xml:space="preserve"> Release of hand muscle</t>
  </si>
  <si>
    <t xml:space="preserve"> Removal of constricting ring of skin of finger</t>
  </si>
  <si>
    <t xml:space="preserve"> Closed treatment of broken hand bone</t>
  </si>
  <si>
    <t xml:space="preserve"> Closed treatment of broken hand bone with manipulation</t>
  </si>
  <si>
    <t xml:space="preserve"> Closed treatment of broken hand bone with manipulation and placement of external stabilizing device</t>
  </si>
  <si>
    <t xml:space="preserve"> Treatment of broken finger bone with stabilizing device accessed through skin</t>
  </si>
  <si>
    <t xml:space="preserve"> Treatment of broken midhand bone</t>
  </si>
  <si>
    <t xml:space="preserve"> Closed treatment of dislocated thumb at wrist with manipulation</t>
  </si>
  <si>
    <t xml:space="preserve"> Closed treatment of broken thumb at wrist with manipulation</t>
  </si>
  <si>
    <t xml:space="preserve"> Placement of stabilizing device for broken thumb at wrist with manipulation</t>
  </si>
  <si>
    <t xml:space="preserve"> Treatment of broken thumb at wrist</t>
  </si>
  <si>
    <t xml:space="preserve"> Closed treatment of dislocated hand bone at wrist joint with manipulation</t>
  </si>
  <si>
    <t xml:space="preserve"> Closed treatment of dislocated hand bone at wrist joint with manipulation under anesthesia</t>
  </si>
  <si>
    <t xml:space="preserve"> Placement of stabilizing device for dislocated hand bone at wrist joint with manipulation</t>
  </si>
  <si>
    <t xml:space="preserve"> Treatment of broken hand bone at wrist</t>
  </si>
  <si>
    <t xml:space="preserve"> Complicated treatment of dislocated midhand bone at wrist</t>
  </si>
  <si>
    <t xml:space="preserve"> Closed treatment of dislocated hand joint at base of finger with manipulation</t>
  </si>
  <si>
    <t xml:space="preserve"> Closed treatment of dislocated hand joint at base of finger with manipulation under anesthesia</t>
  </si>
  <si>
    <t xml:space="preserve"> Placement of stabilizing device for dislocated hand joint at base of finger with manipulation</t>
  </si>
  <si>
    <t xml:space="preserve"> Treatment of dislocated hand joint at base of finger</t>
  </si>
  <si>
    <t xml:space="preserve"> Closed treatment of broken finger or thumb at midportion or part near hand</t>
  </si>
  <si>
    <t xml:space="preserve"> Closed treatment of broken finger or thumb at midportion or part near hand with manipulation</t>
  </si>
  <si>
    <t xml:space="preserve"> Placement of stabilizing device for broken finger or thumb at midportion or part near hand with manipulation</t>
  </si>
  <si>
    <t xml:space="preserve"> Treatment of broken finger at midportion or part near hand</t>
  </si>
  <si>
    <t xml:space="preserve"> Closed treatment of broken finger or hand at base of finger</t>
  </si>
  <si>
    <t xml:space="preserve"> Closed treatment of broken finger or hand at base of finger with manipulation</t>
  </si>
  <si>
    <t xml:space="preserve"> Treatment of broken finger or hand at base of finger</t>
  </si>
  <si>
    <t xml:space="preserve"> Closed treatment of broken end of finger or thumb</t>
  </si>
  <si>
    <t xml:space="preserve"> Closed treatment of broken end of finger or thumb with manipulation</t>
  </si>
  <si>
    <t xml:space="preserve"> Placement of stabilizing device for broken end of finger or thumb</t>
  </si>
  <si>
    <t xml:space="preserve"> Treatment of broken end of finger or thumb</t>
  </si>
  <si>
    <t xml:space="preserve"> Closed treatment of dislocated finger joint with manipulation</t>
  </si>
  <si>
    <t xml:space="preserve"> Closed treatment of dislocated finger joint with manipulation under anesthesia</t>
  </si>
  <si>
    <t xml:space="preserve"> Placement of stabilizing device for dislocated finger joint with manipulation</t>
  </si>
  <si>
    <t xml:space="preserve"> Treatment of dislocated finger joint</t>
  </si>
  <si>
    <t xml:space="preserve"> Fusion of thumb</t>
  </si>
  <si>
    <t xml:space="preserve"> Fusion of thumb at wrist</t>
  </si>
  <si>
    <t xml:space="preserve"> Fusion of thumb at wrist with bone graft</t>
  </si>
  <si>
    <t xml:space="preserve"> Fusion of hand joint</t>
  </si>
  <si>
    <t xml:space="preserve"> Fusion of finger at hand joint with self bone graft</t>
  </si>
  <si>
    <t xml:space="preserve"> Fusion of joint between finger and hand</t>
  </si>
  <si>
    <t xml:space="preserve"> Fusion of finger joint at hand with self bone graft</t>
  </si>
  <si>
    <t xml:space="preserve"> Fusion of finger joint, initial joint</t>
  </si>
  <si>
    <t xml:space="preserve"> Fusion of finger joint, each additional joint</t>
  </si>
  <si>
    <t xml:space="preserve"> Fusion of finger joint with self bone graft, initial joint</t>
  </si>
  <si>
    <t xml:space="preserve"> Fusion of finger joint with self bone graft, each additional joint</t>
  </si>
  <si>
    <t xml:space="preserve"> Amputation of finger or thumb</t>
  </si>
  <si>
    <t xml:space="preserve"> Amputation of finger or thumb with direct closure</t>
  </si>
  <si>
    <t xml:space="preserve"> Amputation of finger or thumb with tissue flap</t>
  </si>
  <si>
    <t xml:space="preserve"> Other procedure on hands or fingers</t>
  </si>
  <si>
    <t xml:space="preserve"> Drainage of deep abscess or blood accumulation of pelvis or hip near joint</t>
  </si>
  <si>
    <t xml:space="preserve"> Drainage of infected fluid-filled sac near pelvis or hip joint</t>
  </si>
  <si>
    <t xml:space="preserve"> Incision of hip tendon through skin</t>
  </si>
  <si>
    <t xml:space="preserve"> Incision of hip tendon</t>
  </si>
  <si>
    <t xml:space="preserve"> Incision of hip tendon with removal of nerve</t>
  </si>
  <si>
    <t xml:space="preserve"> Incision of tendon of hip (abductor and/or extensor)</t>
  </si>
  <si>
    <t xml:space="preserve"> Incision of hip joint for exploration, fluid drainage, or removal of foreign body</t>
  </si>
  <si>
    <t xml:space="preserve"> Removal of hip or pelvic nerve</t>
  </si>
  <si>
    <t xml:space="preserve"> Biopsy of surface tissue of pelvis and hip</t>
  </si>
  <si>
    <t xml:space="preserve"> Biopsy of deep tissue of pelvis and hip</t>
  </si>
  <si>
    <t xml:space="preserve"> Removal of growth under skin of pelvis and hip, 3.0 cm or more</t>
  </si>
  <si>
    <t xml:space="preserve"> Removal of growth of muscle of pelvis and hip, 5.0 cm or more</t>
  </si>
  <si>
    <t xml:space="preserve"> Removal of growth under skin of pelvis and hip, less than 3.0 cm</t>
  </si>
  <si>
    <t xml:space="preserve"> Removal of growth of soft tissue of pelvis and hip, less than 5.0 cm</t>
  </si>
  <si>
    <t xml:space="preserve"> Extensive removal of growth of pelvis and hip, less than 5.0 cm</t>
  </si>
  <si>
    <t xml:space="preserve"> Biopsy of joint between lower spine and pelvis</t>
  </si>
  <si>
    <t xml:space="preserve"> Biopsy of hip joint</t>
  </si>
  <si>
    <t xml:space="preserve"> Extensive removal of growth of pelvis and hip, 5.0 cm or more</t>
  </si>
  <si>
    <t xml:space="preserve"> Removal of fluid-filled sac (bursa) of pelvis</t>
  </si>
  <si>
    <t xml:space="preserve"> Removal of fluid-filled sac (bursa) or calcium deposit of pelvis</t>
  </si>
  <si>
    <t xml:space="preserve"> Removal of cyst or growth of hip, pubic, or head of thigh bone with self bone graft</t>
  </si>
  <si>
    <t xml:space="preserve"> Removal of deep cyst or growth of hip, pubic, or head of thigh bone with self bone graft</t>
  </si>
  <si>
    <t xml:space="preserve"> Removal of cyst or growth of hip, pubic, or head of thigh bone with self bone graft obtained through different incision</t>
  </si>
  <si>
    <t xml:space="preserve"> Removal of tailbone</t>
  </si>
  <si>
    <t xml:space="preserve"> Removal of foreign body in tissue of pelvis or hip, accessed beneath the skin</t>
  </si>
  <si>
    <t xml:space="preserve"> Removal of foreign body in tissue or muscle of pelvis or hip</t>
  </si>
  <si>
    <t xml:space="preserve"> Injection of contrast for imaging of hip joint</t>
  </si>
  <si>
    <t xml:space="preserve"> Injection of contrast for imaging of hip under anesthesia</t>
  </si>
  <si>
    <t xml:space="preserve"> Injection of anesthetic or steroid into joint between lower spine and hip bone using imaging guidance</t>
  </si>
  <si>
    <t xml:space="preserve"> Release of upper hamstring muscle</t>
  </si>
  <si>
    <t xml:space="preserve"> Transfer of tendon to pelvic bone</t>
  </si>
  <si>
    <t xml:space="preserve"> Transfer of abdominal muscle to thigh bone at hip joint</t>
  </si>
  <si>
    <t xml:space="preserve"> Transfer of muscle to hip</t>
  </si>
  <si>
    <t xml:space="preserve"> Transfer of muscle to thigh bone at hip joint</t>
  </si>
  <si>
    <t xml:space="preserve"> Transfer of muscle to upper thigh bone</t>
  </si>
  <si>
    <t xml:space="preserve"> Replacement of thigh bone and hip joint with prosthesis</t>
  </si>
  <si>
    <t xml:space="preserve"> Treatment of growth plate at top of thigh with pins inserted through skin'</t>
  </si>
  <si>
    <t xml:space="preserve"> Repair of growth plate in head of thigh bone</t>
  </si>
  <si>
    <t xml:space="preserve"> Closed treatment of broken and/or dislocated pelvis and/or sacrum</t>
  </si>
  <si>
    <t xml:space="preserve"> Closed treatment of broken and/or dislocated pelvis and/or sacrum with manipulation</t>
  </si>
  <si>
    <t xml:space="preserve"> Closed treatment of broken tailbone</t>
  </si>
  <si>
    <t xml:space="preserve"> Treatment of broken tailbone</t>
  </si>
  <si>
    <t xml:space="preserve"> Closed treatment of broken hip socket</t>
  </si>
  <si>
    <t xml:space="preserve"> Closed treatment of broken upper thigh bone</t>
  </si>
  <si>
    <t xml:space="preserve"> Placement of stabilizing device for upper end of broken thigh bone</t>
  </si>
  <si>
    <t xml:space="preserve"> Closed treatment of broken below neck of thigh bone</t>
  </si>
  <si>
    <t xml:space="preserve"> Closed treatment of broken below head of thigh bone</t>
  </si>
  <si>
    <t xml:space="preserve"> Closed treatment of dislocated hip</t>
  </si>
  <si>
    <t xml:space="preserve"> Closed treatment of dislocated hip under anesthesia</t>
  </si>
  <si>
    <t xml:space="preserve"> Closed Treatment of spontaneous dislocated hip</t>
  </si>
  <si>
    <t xml:space="preserve"> Treatment of spontaneous dislocated hip under anesthesia</t>
  </si>
  <si>
    <t xml:space="preserve"> Closed treatment of dislocated hip prosthesis</t>
  </si>
  <si>
    <t xml:space="preserve"> Closed treatment of dislocated hip prosthesis under anesthesia</t>
  </si>
  <si>
    <t xml:space="preserve"> Closed treatment of broken head of thigh bone</t>
  </si>
  <si>
    <t xml:space="preserve"> Manipulation of hip joint under general anesthesia</t>
  </si>
  <si>
    <t xml:space="preserve"> Fusion of pelvic joint including joint implant using imaging guidance</t>
  </si>
  <si>
    <t xml:space="preserve"> Fusion of pelvic joint using imaging guidance</t>
  </si>
  <si>
    <t xml:space="preserve"> Other procedure on pelvis or hip joint</t>
  </si>
  <si>
    <t xml:space="preserve"> Drainage of deep abscess or blood accumulation of thigh or knee</t>
  </si>
  <si>
    <t xml:space="preserve"> Incision of connective tissue between thigh and knee</t>
  </si>
  <si>
    <t xml:space="preserve"> Incision of tendon of thigh or hamstring muscle</t>
  </si>
  <si>
    <t xml:space="preserve"> Incision of multiple tendons of thigh or hamstring muscle</t>
  </si>
  <si>
    <t xml:space="preserve"> Incision of knee joint for exploration, fluid drainage, or removal of foreign body</t>
  </si>
  <si>
    <t xml:space="preserve"> Biopsy of surface tissue of thigh or knee</t>
  </si>
  <si>
    <t xml:space="preserve"> Biopsy of deep tissue of thigh or knee</t>
  </si>
  <si>
    <t xml:space="preserve"> Removal of nerve of hamstring muscle</t>
  </si>
  <si>
    <t xml:space="preserve"> Removal of nerve of calf muscle</t>
  </si>
  <si>
    <t xml:space="preserve"> Removal of growth under skin of thigh or knee, 3.0 cm or more</t>
  </si>
  <si>
    <t xml:space="preserve"> Removal of growth of muscle of thigh or knee, 5.0 cm or less</t>
  </si>
  <si>
    <t xml:space="preserve"> Extensive removal of growth of thigh or knee, less than 5.0 cm</t>
  </si>
  <si>
    <t xml:space="preserve"> Biopsy of membrane covering knee joint</t>
  </si>
  <si>
    <t xml:space="preserve"> Incision of knee joint for exploration, biopsy, or removal of foreign body</t>
  </si>
  <si>
    <t xml:space="preserve"> Incision of knee joint with removal of cartilage of inner or outer side of knee</t>
  </si>
  <si>
    <t xml:space="preserve"> Incision of knee joint with removal of cartilage of inner and outer sides of knee</t>
  </si>
  <si>
    <t xml:space="preserve"> Incision of knee joint with removal of cartilage of front or back of knee</t>
  </si>
  <si>
    <t xml:space="preserve"> Incision of knee joint with removal of cartilage of front and back of knee</t>
  </si>
  <si>
    <t xml:space="preserve"> Removal of growth under skin of thigh or knee, less than 3.0 cm</t>
  </si>
  <si>
    <t xml:space="preserve"> Removal of growth of muscle of thigh or knee, 5.0 cm or more</t>
  </si>
  <si>
    <t xml:space="preserve"> Removal of fluid-filled sac from joint at front of knee</t>
  </si>
  <si>
    <t xml:space="preserve"> Removal of cyst of back of knee</t>
  </si>
  <si>
    <t xml:space="preserve"> Removal of growth of knee cartilage or capsule</t>
  </si>
  <si>
    <t xml:space="preserve"> Removal of kneecap</t>
  </si>
  <si>
    <t xml:space="preserve"> Removal of cyst or growth of thigh bone</t>
  </si>
  <si>
    <t xml:space="preserve"> Removal of cyst or growth of thigh bone with donor bone graft</t>
  </si>
  <si>
    <t xml:space="preserve"> Removal of cyst or growth of thigh bone with self bone graft</t>
  </si>
  <si>
    <t xml:space="preserve"> Removal of cyst or growth of thigh bone with placement of stabilizing device</t>
  </si>
  <si>
    <t xml:space="preserve"> Partial removal of thigh and/or lower leg bones</t>
  </si>
  <si>
    <t xml:space="preserve"> Extensive removal of growth of thigh or knee, 5.0 cm or more</t>
  </si>
  <si>
    <t xml:space="preserve"> Injection of contrast for imaging of knee joint</t>
  </si>
  <si>
    <t xml:space="preserve"> Removal of foreign body deep in tissue of thigh or knee</t>
  </si>
  <si>
    <t xml:space="preserve"> Primary suture of tendon below knee</t>
  </si>
  <si>
    <t xml:space="preserve"> Secondary suture of tendon below knee</t>
  </si>
  <si>
    <t xml:space="preserve"> Primary suture of ruptured muscle of thigh</t>
  </si>
  <si>
    <t xml:space="preserve"> Secondary suture of ruptured muscle of thigh</t>
  </si>
  <si>
    <t xml:space="preserve"> Repair of hamstring tendon</t>
  </si>
  <si>
    <t xml:space="preserve"> Repair of multiple hamstring tendons in leg</t>
  </si>
  <si>
    <t xml:space="preserve"> Repair of multiple hamstring tendons of both legs</t>
  </si>
  <si>
    <t xml:space="preserve"> Lengthening of hamstring tendon</t>
  </si>
  <si>
    <t xml:space="preserve"> Lengthening of multiple hamstring tendons in leg</t>
  </si>
  <si>
    <t xml:space="preserve"> Lengthening of multiple hamstring tendons in both legs</t>
  </si>
  <si>
    <t xml:space="preserve"> Transfer of thigh tendon</t>
  </si>
  <si>
    <t xml:space="preserve"> Transfer of thigh tendons</t>
  </si>
  <si>
    <t xml:space="preserve"> Transfer of tendon or muscle in hamstring to femur</t>
  </si>
  <si>
    <t xml:space="preserve"> Incision and repair of knee cartilage</t>
  </si>
  <si>
    <t xml:space="preserve"> Primary repair of torn ligament or joint capsule at outside part of knee</t>
  </si>
  <si>
    <t xml:space="preserve"> Repair of torn ligament and/or joint capsule at front of knee</t>
  </si>
  <si>
    <t xml:space="preserve"> Repair of torn ligaments or joint capsule at front and sides of knee</t>
  </si>
  <si>
    <t xml:space="preserve"> Implantation of self cartilage into knee joint</t>
  </si>
  <si>
    <t xml:space="preserve"> Implantation of donor cartilage cells into knee joint</t>
  </si>
  <si>
    <t xml:space="preserve"> Implantation of self cartilage cells into knee bone</t>
  </si>
  <si>
    <t xml:space="preserve"> Repair of upper end of shin bone at knee joint</t>
  </si>
  <si>
    <t xml:space="preserve"> Repair of dislocating kneecap</t>
  </si>
  <si>
    <t xml:space="preserve"> Repair of dislocating kneecap with realignment</t>
  </si>
  <si>
    <t xml:space="preserve"> Reconstruction of dislocating kneecap with removal</t>
  </si>
  <si>
    <t xml:space="preserve"> Release of ligaments of knee joint</t>
  </si>
  <si>
    <t xml:space="preserve"> Reconstruction of ligaments outside knee joint</t>
  </si>
  <si>
    <t xml:space="preserve"> Reconstruction ligaments inside knee joint</t>
  </si>
  <si>
    <t xml:space="preserve"> Reconstruction of ligaments inside and outside knee joint</t>
  </si>
  <si>
    <t xml:space="preserve"> Repair of muscle group above knee joint</t>
  </si>
  <si>
    <t xml:space="preserve"> Incision of back portion of knee joint capsule</t>
  </si>
  <si>
    <t xml:space="preserve"> Repair of kneecap</t>
  </si>
  <si>
    <t xml:space="preserve"> Repair of kneecap with prosthesis</t>
  </si>
  <si>
    <t xml:space="preserve"> Repair of lower part of knee joint</t>
  </si>
  <si>
    <t xml:space="preserve"> Repair of lower part of knee joint with prosthesis and removal of joint lining</t>
  </si>
  <si>
    <t xml:space="preserve"> Repair of end of thigh or lower leg bone at knee joint with prosthesis</t>
  </si>
  <si>
    <t xml:space="preserve"> Knee replacement with repair of end of thigh or lower leg bone and removal of knee joint lining</t>
  </si>
  <si>
    <t xml:space="preserve"> Replacement of knee joint on side of knee</t>
  </si>
  <si>
    <t xml:space="preserve"> Replacement of knee joint, both sides of knee</t>
  </si>
  <si>
    <t xml:space="preserve"> Removal of growth plate at lower end of thigh bone</t>
  </si>
  <si>
    <t xml:space="preserve"> Removal of growth plate of both lower leg bones</t>
  </si>
  <si>
    <t xml:space="preserve"> Removal of growth plate of leg and thigh bones</t>
  </si>
  <si>
    <t xml:space="preserve"> Removal of growth plate of leg or thigh bones</t>
  </si>
  <si>
    <t xml:space="preserve"> Incision of connective tissue of thigh and/or knee to relieve pressure</t>
  </si>
  <si>
    <t xml:space="preserve"> Incision of tissue of thigh and/or knee with tissue removal to relieve pressure</t>
  </si>
  <si>
    <t xml:space="preserve"> Multiple incisions of connective tissue of thigh and/or knee to relieve pressure</t>
  </si>
  <si>
    <t xml:space="preserve"> Multiple incisions of connective tissue of thigh and/or knee with tissue removal to relieve pressure</t>
  </si>
  <si>
    <t xml:space="preserve"> Closed treatment of broken thigh bone</t>
  </si>
  <si>
    <t xml:space="preserve"> Closed treatment of broken thigh bone at lower end</t>
  </si>
  <si>
    <t xml:space="preserve"> Closed treatment of broken thigh bone at midportion with manipulation</t>
  </si>
  <si>
    <t xml:space="preserve"> Closed treatment of broken thigh bone at far end with manipulation</t>
  </si>
  <si>
    <t xml:space="preserve"> Closed treatment of broken inside or outside portion of lower end of thigh bone</t>
  </si>
  <si>
    <t xml:space="preserve"> Treatment of broken thigh bone at far end with placement of stabilizing device</t>
  </si>
  <si>
    <t xml:space="preserve"> Closed treatment of broken thigh bone at knee area with manipulation</t>
  </si>
  <si>
    <t xml:space="preserve"> Treatment of broken side of lower end of thigh bone</t>
  </si>
  <si>
    <t xml:space="preserve"> Closed treatment of thigh bone growth plate broken at end of thigh bone</t>
  </si>
  <si>
    <t xml:space="preserve"> Closed treatment of growth plate broken at end of thigh bone with manipulation</t>
  </si>
  <si>
    <t xml:space="preserve"> Closed treatment of broken kneecap</t>
  </si>
  <si>
    <t xml:space="preserve"> Treatment of broken kneecap with placement of stabilizing device and/or removal of kneecap</t>
  </si>
  <si>
    <t xml:space="preserve"> Closed treatment of broken shin bone</t>
  </si>
  <si>
    <t xml:space="preserve"> Closed treatment of broken shin bone with traction</t>
  </si>
  <si>
    <t xml:space="preserve"> Closed treatment of broken top of shin bone at knee</t>
  </si>
  <si>
    <t xml:space="preserve"> Treatment of broken shin bone at knee</t>
  </si>
  <si>
    <t xml:space="preserve"> Closed treatment of dislocated knee</t>
  </si>
  <si>
    <t xml:space="preserve"> Closed treatment of dislocated knee under anesthesia</t>
  </si>
  <si>
    <t xml:space="preserve"> Treatment of dislocated knee with ligament repair</t>
  </si>
  <si>
    <t xml:space="preserve"> Closed treatment of dislocated kneecap</t>
  </si>
  <si>
    <t xml:space="preserve"> Closed treatment of dislocated kneecap under anesthesia</t>
  </si>
  <si>
    <t xml:space="preserve"> Treatment of dislocated kneecap</t>
  </si>
  <si>
    <t xml:space="preserve"> Manipulation of knee joint under anesthesia</t>
  </si>
  <si>
    <t xml:space="preserve"> Secondary closure or revision of scar at previous thigh amputation</t>
  </si>
  <si>
    <t xml:space="preserve"> Other procedure on thigh or knee</t>
  </si>
  <si>
    <t xml:space="preserve"> Incision of connective tissue of front or side of lower leg to relieve pressure</t>
  </si>
  <si>
    <t xml:space="preserve"> Incision of connective tissue of back of lower leg to relieve pressure</t>
  </si>
  <si>
    <t xml:space="preserve"> Incision of connective tissue of front and/or side and back of lower leg to relieve pressure</t>
  </si>
  <si>
    <t xml:space="preserve"> Drainage of deep abscess or blood accumulation of leg or ankle</t>
  </si>
  <si>
    <t xml:space="preserve"> Drainage of infected fluid-filled sac (bursa) of leg or ankle</t>
  </si>
  <si>
    <t xml:space="preserve"> Incision of Achilles tendon using local anesthetic</t>
  </si>
  <si>
    <t xml:space="preserve"> Incision of Achilles tendon under anesthesia</t>
  </si>
  <si>
    <t xml:space="preserve"> Incision of leg or ankle bone</t>
  </si>
  <si>
    <t xml:space="preserve"> Incision of ankle joint for exploration, fluid drainage, or removal of foreign body</t>
  </si>
  <si>
    <t xml:space="preserve"> Incision of ankle joint with release of joint lining</t>
  </si>
  <si>
    <t xml:space="preserve"> Biopsy of surface tissue of leg or ankle</t>
  </si>
  <si>
    <t xml:space="preserve"> Biopsy of deep tissue of leg or ankle</t>
  </si>
  <si>
    <t xml:space="preserve"> Extensive removal of growth of leg or ankle, less than 5.0 cm</t>
  </si>
  <si>
    <t xml:space="preserve"> Extensive removal of growth of leg or ankle, 5.0 cm or more</t>
  </si>
  <si>
    <t xml:space="preserve"> Removal of growth under skin of leg or ankle, less than 3.0 cm</t>
  </si>
  <si>
    <t xml:space="preserve"> Removal of growth of muscle of leg or ankle, less than 5.0 cm</t>
  </si>
  <si>
    <t xml:space="preserve"> Incision and exploration of ankle joint</t>
  </si>
  <si>
    <t xml:space="preserve"> Removal of membrane covering of ankle joint</t>
  </si>
  <si>
    <t xml:space="preserve"> Removal of membrane covering ankle joint and tendon</t>
  </si>
  <si>
    <t xml:space="preserve"> Removal of growth of leg and/or ankle tendon lining or capsule</t>
  </si>
  <si>
    <t xml:space="preserve"> Removal of growth under skin of leg or ankle, 3.0 cm or more</t>
  </si>
  <si>
    <t xml:space="preserve"> Removal of growth of muscle of leg or ankle, 5.0 cm or more</t>
  </si>
  <si>
    <t xml:space="preserve"> Removal of cyst or growth of lower leg bone</t>
  </si>
  <si>
    <t xml:space="preserve"> Removal of cyst or growth of lower leg bone with self bone graft</t>
  </si>
  <si>
    <t xml:space="preserve"> Removal of cyst or growth of lower leg bone with bone graft</t>
  </si>
  <si>
    <t xml:space="preserve"> Partial removal of shin bone</t>
  </si>
  <si>
    <t xml:space="preserve"> Partial removal of outer lower leg bone</t>
  </si>
  <si>
    <t xml:space="preserve"> Extensive removal of growth of heel bone</t>
  </si>
  <si>
    <t xml:space="preserve"> Injection for X-ray imaging of ankle</t>
  </si>
  <si>
    <t xml:space="preserve"> Repair of ruptured Achilles tendon</t>
  </si>
  <si>
    <t xml:space="preserve"> Repair of ruptured Achilles tendon with graft</t>
  </si>
  <si>
    <t xml:space="preserve"> Secondary repair of ruptured Achilles tendon</t>
  </si>
  <si>
    <t xml:space="preserve"> Repair of connective tissue defect of leg</t>
  </si>
  <si>
    <t xml:space="preserve"> Primary repair of tendon on back of leg</t>
  </si>
  <si>
    <t xml:space="preserve"> Secondary repair of tendon on back of leg</t>
  </si>
  <si>
    <t xml:space="preserve"> Primary repair of tendon on front of leg</t>
  </si>
  <si>
    <t xml:space="preserve"> Secondary repair of tendon on front of leg</t>
  </si>
  <si>
    <t xml:space="preserve"> Repair of dislocating lower leg tendons without a cut through the lower leg bone on the outside of the leg (fibula)</t>
  </si>
  <si>
    <t xml:space="preserve"> Repair of dislocated lower leg tendons by incision or partial removal of lower leg bone</t>
  </si>
  <si>
    <t xml:space="preserve"> Release of leg and/or ankle tendon</t>
  </si>
  <si>
    <t xml:space="preserve"> Release of multiple leg and/or ankle tendons</t>
  </si>
  <si>
    <t xml:space="preserve"> Lengthening or shortening of tendon of leg or ankle</t>
  </si>
  <si>
    <t xml:space="preserve"> Lengthening or shortening of multiple tendons of leg or ankle</t>
  </si>
  <si>
    <t xml:space="preserve"> Lengthening of calf muscle</t>
  </si>
  <si>
    <t xml:space="preserve"> Transfer of tendon and muscle rerouting at lower leg or ankle</t>
  </si>
  <si>
    <t xml:space="preserve"> Transfer of deep tendon of foot with muscle rerouting</t>
  </si>
  <si>
    <t xml:space="preserve"> Transfer of tendon with muscle rerouting at foot, each additional tendon</t>
  </si>
  <si>
    <t xml:space="preserve"> Primary repair of disrupted ankle ligament</t>
  </si>
  <si>
    <t xml:space="preserve"> Primary repair of disruption of both ankle ligaments</t>
  </si>
  <si>
    <t xml:space="preserve"> Secondary repair of disrupted collateral ligament of ankle</t>
  </si>
  <si>
    <t xml:space="preserve"> Reconstruction of ankle joint</t>
  </si>
  <si>
    <t xml:space="preserve"> Reconstruction of ankle joint with prosthesis</t>
  </si>
  <si>
    <t xml:space="preserve"> Removal of ankle implant</t>
  </si>
  <si>
    <t xml:space="preserve"> Incision or partial removal of shin bone</t>
  </si>
  <si>
    <t xml:space="preserve"> Incision or partial removal of lower leg bone</t>
  </si>
  <si>
    <t xml:space="preserve"> Incision or partial removal of shin and outer lower leg bones</t>
  </si>
  <si>
    <t xml:space="preserve"> Repair of nonhealed broken shin bone</t>
  </si>
  <si>
    <t xml:space="preserve"> Repair of nonhealed broken shin bone with bone graft</t>
  </si>
  <si>
    <t xml:space="preserve"> Repair of nonhealed broken outer lower leg bone with placement of stabilizing device</t>
  </si>
  <si>
    <t xml:space="preserve"> Scraping or stapling of shin bone growth plate of lower leg bone at ankle</t>
  </si>
  <si>
    <t xml:space="preserve"> Fusion of lower outer leg bone growth plate</t>
  </si>
  <si>
    <t xml:space="preserve"> Fusion of lower end of growth plate of lower leg bone</t>
  </si>
  <si>
    <t xml:space="preserve"> Fusion of lower and upper ends of growth plates of lower leg bones</t>
  </si>
  <si>
    <t xml:space="preserve"> Fusion of lower and upper ends of growth plates of lower leg and thigh bones</t>
  </si>
  <si>
    <t xml:space="preserve"> Placement of stabilizing device for shin bone</t>
  </si>
  <si>
    <t xml:space="preserve"> Closed treatment of broken middle part of shin bone</t>
  </si>
  <si>
    <t xml:space="preserve"> Closed treatment of middle part of broken shin bone with manipulation</t>
  </si>
  <si>
    <t xml:space="preserve"> Placement of stabilizing device for broken middle part of shin bone</t>
  </si>
  <si>
    <t xml:space="preserve"> Treatment broken middle part of shin bone with plate or screws</t>
  </si>
  <si>
    <t xml:space="preserve"> Treatment of broken part of shin bone with rod</t>
  </si>
  <si>
    <t xml:space="preserve"> Closed treatment of inside portion of shin bone at ankle</t>
  </si>
  <si>
    <t xml:space="preserve"> Closed treatment of inside portion of shin bone at ankle with manipulation</t>
  </si>
  <si>
    <t xml:space="preserve"> Treatment of inside portion of broken shin bone at ankle</t>
  </si>
  <si>
    <t xml:space="preserve"> Closed treatment of back portion of shin bone at ankle</t>
  </si>
  <si>
    <t xml:space="preserve"> Closed treatment of back portion of shin bone at ankle with manipulation</t>
  </si>
  <si>
    <t xml:space="preserve"> Treatment of broken back portion of shin bone at ankle</t>
  </si>
  <si>
    <t xml:space="preserve"> Closed treatment of broken middle or upper end of outside lower leg bone</t>
  </si>
  <si>
    <t xml:space="preserve"> Closed treatment of broken middle or upper end of outside lower leg bone with manipulation</t>
  </si>
  <si>
    <t xml:space="preserve"> Treatment of broken upper or middle part of outer lower leg bone</t>
  </si>
  <si>
    <t xml:space="preserve"> Closed treatment of broken outside lower leg bone at ankle</t>
  </si>
  <si>
    <t xml:space="preserve"> Closed treatment of broken outside lower leg bone at ankle with manipulation</t>
  </si>
  <si>
    <t xml:space="preserve"> Treatment of broken outer lower leg bone at ankle</t>
  </si>
  <si>
    <t xml:space="preserve"> Closed treatment of 2 broken lower leg bones at ankle</t>
  </si>
  <si>
    <t xml:space="preserve"> Closed treatment of 2 broken lower leg bones at ankle with manipulation</t>
  </si>
  <si>
    <t xml:space="preserve"> Treatment of both broken lower leg bones at ankle</t>
  </si>
  <si>
    <t xml:space="preserve"> Closed treatment of 3 broken lower leg bones at ankle</t>
  </si>
  <si>
    <t xml:space="preserve"> Closed treatment of 3 broken lower leg bones at ankle with manipulation</t>
  </si>
  <si>
    <t xml:space="preserve"> Treatment of 3 broken lower leg bones at ankle</t>
  </si>
  <si>
    <t xml:space="preserve"> Treatment of 3 broken lower leg bones at ankle with fixation of posterior lip</t>
  </si>
  <si>
    <t xml:space="preserve"> Closed treatment of broken shin bone at lower weight bearing joint</t>
  </si>
  <si>
    <t xml:space="preserve"> Closed treatment of broken shin bone at lower weight bearing joint with manipulation and/or traction</t>
  </si>
  <si>
    <t xml:space="preserve"> Treatment of broken outer lower leg bone at lower weight bearing joint</t>
  </si>
  <si>
    <t xml:space="preserve"> Treatment of broken shin bone at lower weight bearing joint</t>
  </si>
  <si>
    <t xml:space="preserve"> Treatment of broken lower weight bearing joint of both lower leg bones</t>
  </si>
  <si>
    <t xml:space="preserve"> Treatment of ligament tear at ankle joint</t>
  </si>
  <si>
    <t xml:space="preserve"> Closed treatment of dislocated knee joint</t>
  </si>
  <si>
    <t xml:space="preserve"> Closed treatment of dislocated knee joint under anesthesia</t>
  </si>
  <si>
    <t xml:space="preserve"> Treatment of dislocated knee joint</t>
  </si>
  <si>
    <t xml:space="preserve"> Closed treatment of dislocated ankle</t>
  </si>
  <si>
    <t xml:space="preserve"> Closed treatment of dislocated ankle under anesthesia</t>
  </si>
  <si>
    <t xml:space="preserve"> Treatment of dislocated ankle</t>
  </si>
  <si>
    <t xml:space="preserve"> Treatment of dislocated ankle with repair or placement of stabilizing device</t>
  </si>
  <si>
    <t xml:space="preserve"> Manipulation of ankle under general anesthesia</t>
  </si>
  <si>
    <t xml:space="preserve"> Fusion of ankle joint, open procedure</t>
  </si>
  <si>
    <t xml:space="preserve"> Fusion of lower leg bone at knee or ankle joint</t>
  </si>
  <si>
    <t xml:space="preserve"> Secondary closure or revision of scar of lower leg bone amputation</t>
  </si>
  <si>
    <t xml:space="preserve"> Re-amputation of lower leg</t>
  </si>
  <si>
    <t xml:space="preserve"> Removal of foot at ankle joint</t>
  </si>
  <si>
    <t xml:space="preserve"> Incision of connective tissue of lower leg to relieve pressure with removal of muscle and/or nerve</t>
  </si>
  <si>
    <t xml:space="preserve"> Incision of connective tissue at back of lower leg to relieve pressure with removal of muscle and/or nerve</t>
  </si>
  <si>
    <t xml:space="preserve"> Incision of connective tissue at front and/or side and back of lower leg to relieve pressure with removal of muscle and/or nerve</t>
  </si>
  <si>
    <t xml:space="preserve"> Drainage of fluid filled sac in foot</t>
  </si>
  <si>
    <t xml:space="preserve"> Drainage of fluid filled sac below connective tissue in foot joint</t>
  </si>
  <si>
    <t xml:space="preserve"> Drainage of fluid filled sacs beneath connective tissue in multiple foot joints</t>
  </si>
  <si>
    <t xml:space="preserve"> Incision of foot bone</t>
  </si>
  <si>
    <t xml:space="preserve"> Incision of connective tissue of foot and/or toe</t>
  </si>
  <si>
    <t xml:space="preserve"> Repair of toe tendon</t>
  </si>
  <si>
    <t xml:space="preserve"> Repair of multiple toe tendons</t>
  </si>
  <si>
    <t xml:space="preserve"> Incision of foot at ankle joint for exploration, fluid drainage, or removal of foreign body</t>
  </si>
  <si>
    <t xml:space="preserve"> Incision of midfoot joint for exploration, fluid drainage, or removal of foreign body</t>
  </si>
  <si>
    <t xml:space="preserve"> Incision of toe joint for exploration, fluid drainage, or removal of foreign body</t>
  </si>
  <si>
    <t xml:space="preserve"> Release of nerve between tissue and ankle bone</t>
  </si>
  <si>
    <t xml:space="preserve"> Removal (1.5 centimeters or greater) tissue growth beneath the skin of foot or toe</t>
  </si>
  <si>
    <t xml:space="preserve"> Removal of growth of muscle of foot or toe, 1.5 cm or more</t>
  </si>
  <si>
    <t xml:space="preserve"> Removal (less than 1.5 centimeters) tissue growth beneath the skin of foot or toe</t>
  </si>
  <si>
    <t xml:space="preserve"> Removal of growth of muscle of foot or toe, less than 1.5 cm</t>
  </si>
  <si>
    <t xml:space="preserve"> Extensive removal of growth of foot or toe, less than 3.0 cm</t>
  </si>
  <si>
    <t xml:space="preserve"> Extensive removal of growth of foot or toe, 3.0 cm or more</t>
  </si>
  <si>
    <t xml:space="preserve"> Biopsy through a joint opening in the midfoot</t>
  </si>
  <si>
    <t xml:space="preserve"> Incision of midfoot joint with biopsy</t>
  </si>
  <si>
    <t xml:space="preserve"> Incision of toe joint with biopsy</t>
  </si>
  <si>
    <t xml:space="preserve"> Removal of nerve of foot muscle</t>
  </si>
  <si>
    <t xml:space="preserve"> Partial removal of connective tissue at sole of foot</t>
  </si>
  <si>
    <t xml:space="preserve"> Removal of connective tissue at sole of foot</t>
  </si>
  <si>
    <t xml:space="preserve"> Removal of foot bone joint lining at ankle</t>
  </si>
  <si>
    <t xml:space="preserve"> Removal of joint lining of toe joint at foot</t>
  </si>
  <si>
    <t xml:space="preserve"> Removal of fibrous nerve growth from between toes</t>
  </si>
  <si>
    <t xml:space="preserve"> Removal of lining of tendon on under surface of foot</t>
  </si>
  <si>
    <t xml:space="preserve"> Removal of lining of tendon on upper surface of foot</t>
  </si>
  <si>
    <t xml:space="preserve"> Removal of growth of tendon covering or joint capsule of foot</t>
  </si>
  <si>
    <t xml:space="preserve"> Removal of growth of tendon covering or joint capsule of toes</t>
  </si>
  <si>
    <t xml:space="preserve"> Removal of cyst or growth of heel or ankle bone</t>
  </si>
  <si>
    <t xml:space="preserve"> Removal of cyst or growth of heel or ankle bone with self bone graft</t>
  </si>
  <si>
    <t xml:space="preserve"> Removal of cyst or growth of heel or ankle bone with donor bone graft</t>
  </si>
  <si>
    <t xml:space="preserve"> Removal of cyst or growth of foot bone</t>
  </si>
  <si>
    <t xml:space="preserve"> Removal of cyst or growth of foot bone with self bone graft</t>
  </si>
  <si>
    <t xml:space="preserve"> Removal of cyst or growth of foot bone with bone graft</t>
  </si>
  <si>
    <t xml:space="preserve"> Removal of cyst or growth of toe bone</t>
  </si>
  <si>
    <t xml:space="preserve"> Removal of bunion at fifth toe joint</t>
  </si>
  <si>
    <t xml:space="preserve"> Removal of foot bone at great toe joint</t>
  </si>
  <si>
    <t xml:space="preserve"> Removal of toe bone at second, third, or fourth joints</t>
  </si>
  <si>
    <t xml:space="preserve"> Complete removal of foot bone at fifth toe joint</t>
  </si>
  <si>
    <t xml:space="preserve"> Complete removal of second to fifth foot bones</t>
  </si>
  <si>
    <t xml:space="preserve"> Removal of abnormal bones at ankle joint</t>
  </si>
  <si>
    <t xml:space="preserve"> Removal of heel bone</t>
  </si>
  <si>
    <t xml:space="preserve"> Removal of heel bone spur</t>
  </si>
  <si>
    <t xml:space="preserve"> Partial removal of infected foot or heel bone</t>
  </si>
  <si>
    <t xml:space="preserve"> Partial removal of foot or heel bone</t>
  </si>
  <si>
    <t xml:space="preserve"> Partial removal of toe bone</t>
  </si>
  <si>
    <t xml:space="preserve"> Removal of toe bone at foot</t>
  </si>
  <si>
    <t xml:space="preserve"> Removal of ankle joint bone</t>
  </si>
  <si>
    <t xml:space="preserve"> Removal of foot bone</t>
  </si>
  <si>
    <t xml:space="preserve"> Removal of toe</t>
  </si>
  <si>
    <t xml:space="preserve"> Removal of end of toe at joint</t>
  </si>
  <si>
    <t xml:space="preserve"> Partial removal of toe at joint</t>
  </si>
  <si>
    <t xml:space="preserve"> Extensive removal of growth of middle portion of foot bone</t>
  </si>
  <si>
    <t xml:space="preserve"> Extensive removal of growth of foot bone</t>
  </si>
  <si>
    <t xml:space="preserve"> Extensive removal of growth of toe bone</t>
  </si>
  <si>
    <t xml:space="preserve"> Removal of foreign body of foot tissue, accessed beneath the skin</t>
  </si>
  <si>
    <t xml:space="preserve"> Removal of foreign body of foot tissue, deep</t>
  </si>
  <si>
    <t xml:space="preserve"> Complicated removal of foreign body in foot</t>
  </si>
  <si>
    <t xml:space="preserve"> Repair of tendon on sole of foot</t>
  </si>
  <si>
    <t xml:space="preserve"> Secondary repair of tendon on sole of foot with graft</t>
  </si>
  <si>
    <t xml:space="preserve"> Repair of tendon of top side of foot</t>
  </si>
  <si>
    <t xml:space="preserve"> Repair of tendon on top side of foot with graft</t>
  </si>
  <si>
    <t xml:space="preserve"> Removal of scar tissue of tendon on bottom side of foot</t>
  </si>
  <si>
    <t xml:space="preserve"> Removal of scar tissue of multiple foot tendons</t>
  </si>
  <si>
    <t xml:space="preserve"> Removal of scar tissue of tendon on top side of foot</t>
  </si>
  <si>
    <t xml:space="preserve"> Removal of scar tissue of multiple tendons at top of foot</t>
  </si>
  <si>
    <t xml:space="preserve"> Incision to lengthen foot tendon</t>
  </si>
  <si>
    <t xml:space="preserve"> Incision to lengthen toe tendon</t>
  </si>
  <si>
    <t xml:space="preserve"> Incision to release foot tendon</t>
  </si>
  <si>
    <t xml:space="preserve"> Reconstruction of ankle tendon with removal of extra ankle joint bone</t>
  </si>
  <si>
    <t xml:space="preserve"> Release or lengthening of tendon in foot</t>
  </si>
  <si>
    <t xml:space="preserve"> Incision of connective tissue and muscle of sole of foot</t>
  </si>
  <si>
    <t xml:space="preserve"> Incision of ankle joint capsule to correct foot deformity</t>
  </si>
  <si>
    <t xml:space="preserve"> Incision of ankle joint capsule and lengthening of tendon</t>
  </si>
  <si>
    <t xml:space="preserve"> Extensive repair of foot defect with tendon lengthening and relief of tension in foot</t>
  </si>
  <si>
    <t xml:space="preserve"> Release of capsule of midfoot</t>
  </si>
  <si>
    <t xml:space="preserve"> Incision of joint capsule of foot and toe</t>
  </si>
  <si>
    <t xml:space="preserve"> Incision of toe joint capsule</t>
  </si>
  <si>
    <t xml:space="preserve"> Creation of webbing between toes</t>
  </si>
  <si>
    <t xml:space="preserve"> Correction of toe joint deformity</t>
  </si>
  <si>
    <t xml:space="preserve"> Correction of fifth toe joint deformity</t>
  </si>
  <si>
    <t xml:space="preserve"> Removal of foot bone spur</t>
  </si>
  <si>
    <t xml:space="preserve"> Correction of rigid deformity of first joint of big toe</t>
  </si>
  <si>
    <t xml:space="preserve"> Correction of rigid deformity of first joint of big toe using implant</t>
  </si>
  <si>
    <t xml:space="preserve"> Correction of bunion</t>
  </si>
  <si>
    <t xml:space="preserve"> Correction of bunion with alignment correction of midfoot bone toward ankle</t>
  </si>
  <si>
    <t xml:space="preserve"> Correction of bunion with alignment correction of midfoot bone toward toe area</t>
  </si>
  <si>
    <t xml:space="preserve"> Correction of bunion with forefoot and midfoot bone fusion</t>
  </si>
  <si>
    <t xml:space="preserve"> Correction of bunion with alignment correction of big toe</t>
  </si>
  <si>
    <t xml:space="preserve"> Correction of bunion with 2 areas of realignment</t>
  </si>
  <si>
    <t xml:space="preserve"> Incision or partial removal of heel bone</t>
  </si>
  <si>
    <t xml:space="preserve"> Incision or partial removal of ankle bone</t>
  </si>
  <si>
    <t xml:space="preserve"> Incision or partial removal of foot bone</t>
  </si>
  <si>
    <t xml:space="preserve"> Incision or partial removal of foot bone with bone graft</t>
  </si>
  <si>
    <t xml:space="preserve"> Incision or partial removal of big toe bone to straighten toe</t>
  </si>
  <si>
    <t xml:space="preserve"> Incision or partial removal of big toe bone with self bone graft to straighten toe</t>
  </si>
  <si>
    <t xml:space="preserve"> Incision or partial removal of foot bone (other than big toe) to straighten toe</t>
  </si>
  <si>
    <t xml:space="preserve"> Incision or partial removal of multiple foot bones to straighten toes</t>
  </si>
  <si>
    <t xml:space="preserve"> Incision or partial removal of big toe bone at first toe bone level to straighten toe</t>
  </si>
  <si>
    <t xml:space="preserve"> Incision or partial removal of toe bone to straighten toe</t>
  </si>
  <si>
    <t xml:space="preserve"> Reconstruction of soft tissue angular deformity of toe</t>
  </si>
  <si>
    <t xml:space="preserve"> Removal of small bone underlying long bone of foot at big toe joint</t>
  </si>
  <si>
    <t xml:space="preserve"> Repair of nonhealed broken midfoot bone</t>
  </si>
  <si>
    <t xml:space="preserve"> Repair of nonhealed broken forefoot bone</t>
  </si>
  <si>
    <t xml:space="preserve"> Reconstruction of abnormal toe</t>
  </si>
  <si>
    <t xml:space="preserve"> Reconstruction of abnormal toe with bone removal</t>
  </si>
  <si>
    <t xml:space="preserve"> Removal of extra toes with reconstruction</t>
  </si>
  <si>
    <t xml:space="preserve"> Removal of congenital web space deformity of toes</t>
  </si>
  <si>
    <t xml:space="preserve"> Reconstruction of congenital foot defect</t>
  </si>
  <si>
    <t xml:space="preserve"> Closed treatment of broken heel bone</t>
  </si>
  <si>
    <t xml:space="preserve"> Closed treatment of broken heel bone with manipulation</t>
  </si>
  <si>
    <t xml:space="preserve"> Placement of stabilizing device for broken heel bone with manipulation</t>
  </si>
  <si>
    <t xml:space="preserve"> Treatment of broken heel bone</t>
  </si>
  <si>
    <t xml:space="preserve"> Treatment of broken heel bone with graft</t>
  </si>
  <si>
    <t xml:space="preserve"> Closed treatment of broken ankle joint bone</t>
  </si>
  <si>
    <t xml:space="preserve"> Closed treatment of broken ankle joint bone with manipulation</t>
  </si>
  <si>
    <t xml:space="preserve"> Placement of stabilizing device for broken ankle joint with manipulation</t>
  </si>
  <si>
    <t xml:space="preserve"> Treatment of broken bone between foot and ankle</t>
  </si>
  <si>
    <t xml:space="preserve"> Implantation of self cartilage cells into foot joint with graft</t>
  </si>
  <si>
    <t xml:space="preserve"> Treatment of broken foot bone at ankle</t>
  </si>
  <si>
    <t xml:space="preserve"> Treatment of broken foot bone at ankle with manipulation</t>
  </si>
  <si>
    <t xml:space="preserve"> Placement of stabilizing device for broken foot joint with manipulation</t>
  </si>
  <si>
    <t xml:space="preserve"> Treatment of broken hind portion of foot</t>
  </si>
  <si>
    <t xml:space="preserve"> Closed treatment of broken bone in forefoot or midfoot</t>
  </si>
  <si>
    <t xml:space="preserve"> Closed treatment of broken foot with manipulation</t>
  </si>
  <si>
    <t xml:space="preserve"> Placement of stabilizing device for broken foot bone with manipulation</t>
  </si>
  <si>
    <t xml:space="preserve"> Treatment of broken midportion of foot</t>
  </si>
  <si>
    <t xml:space="preserve"> Closed treatment of broken great toe</t>
  </si>
  <si>
    <t xml:space="preserve"> Closed treatment of broken great toe with manipulation</t>
  </si>
  <si>
    <t xml:space="preserve"> Placement of stabilizing device for broken big toe with manipulation</t>
  </si>
  <si>
    <t xml:space="preserve"> Treatment of broken great toe</t>
  </si>
  <si>
    <t xml:space="preserve"> Closed treatment of broken toe</t>
  </si>
  <si>
    <t xml:space="preserve"> Closed treatment of broken toe with manipulation</t>
  </si>
  <si>
    <t xml:space="preserve"> Treatment of broken toe</t>
  </si>
  <si>
    <t xml:space="preserve"> Closed treatment of broken small bone in tendon attached to great toe</t>
  </si>
  <si>
    <t xml:space="preserve"> Treatment of broken small bone in tendon attached to great toe</t>
  </si>
  <si>
    <t xml:space="preserve"> Closed treatment of dislocated ankle joint bone</t>
  </si>
  <si>
    <t xml:space="preserve"> Closed treatment of dislocated midfoot joint bone under anesthesia</t>
  </si>
  <si>
    <t xml:space="preserve"> Placement of stabilizing device for dislocated midfoot joint with manipulation</t>
  </si>
  <si>
    <t xml:space="preserve"> Treatment of dislocated midfoot or hindfoot bones</t>
  </si>
  <si>
    <t xml:space="preserve"> Closed treatment of dislocated ankle joint</t>
  </si>
  <si>
    <t xml:space="preserve"> Closed treatment of dislocated ankle joint under anesthesia</t>
  </si>
  <si>
    <t xml:space="preserve"> Placement of stabilizing device for dislocated ankle joint with manipulation</t>
  </si>
  <si>
    <t xml:space="preserve"> Treatment of dislocated ankle joint</t>
  </si>
  <si>
    <t xml:space="preserve"> Closed treatment of dislocated midfoot joint</t>
  </si>
  <si>
    <t xml:space="preserve"> Closed treatment of dislocated midfoot joint under anesthesia</t>
  </si>
  <si>
    <t xml:space="preserve"> Placement of stabilizing device for dislocated midfoot with manipulation</t>
  </si>
  <si>
    <t xml:space="preserve"> Treatment of dislocated midfoot bone</t>
  </si>
  <si>
    <t xml:space="preserve"> Closed treatment of dislocated joint between toe and foot</t>
  </si>
  <si>
    <t xml:space="preserve"> Closed treatment of dislocated joint between toe and foot under anesthesia</t>
  </si>
  <si>
    <t xml:space="preserve"> Placement of stabilizing device for dislocated joint between toe and foot with manipulation</t>
  </si>
  <si>
    <t xml:space="preserve"> Treatment of dislocated joint between toe and foot</t>
  </si>
  <si>
    <t xml:space="preserve"> Closed treatment of dislocated joint in toe</t>
  </si>
  <si>
    <t xml:space="preserve"> Closed treatment of dislocated joint in toe under anesthesia</t>
  </si>
  <si>
    <t xml:space="preserve"> Placement of stabilizing device for dislocated toe joint</t>
  </si>
  <si>
    <t xml:space="preserve"> Treatment of dislocated toe joint</t>
  </si>
  <si>
    <t xml:space="preserve"> Fusion of all bones of ankle and hindfoot</t>
  </si>
  <si>
    <t xml:space="preserve"> Fusion of 3 bones of ankle</t>
  </si>
  <si>
    <t xml:space="preserve"> Fusion of foot below ankle</t>
  </si>
  <si>
    <t xml:space="preserve"> Fusion of multiple foot joints</t>
  </si>
  <si>
    <t xml:space="preserve"> Fusion of multiple foot joints with bone incision to correct a foot deformity</t>
  </si>
  <si>
    <t xml:space="preserve"> Fusion of upper part of foot and lengthening of tendon</t>
  </si>
  <si>
    <t xml:space="preserve"> Fusion of foot in midfoot region</t>
  </si>
  <si>
    <t xml:space="preserve"> Fusion of big toe at joint with foot</t>
  </si>
  <si>
    <t xml:space="preserve"> Fusion of big toe between toe joints</t>
  </si>
  <si>
    <t xml:space="preserve"> Fusion of big toe between toe joints with tendon transfer</t>
  </si>
  <si>
    <t xml:space="preserve"> Amputation of foot across instep</t>
  </si>
  <si>
    <t xml:space="preserve"> Amputation of toe and midfoot bone</t>
  </si>
  <si>
    <t xml:space="preserve"> Amputation of toe at joint between forefoot and toes</t>
  </si>
  <si>
    <t xml:space="preserve"> Amputation of toe at toe joint</t>
  </si>
  <si>
    <t xml:space="preserve"> Shock wave therapy to arch of foot using ultrasound guidance under anesthesia</t>
  </si>
  <si>
    <t xml:space="preserve"> Application of halo type body cast</t>
  </si>
  <si>
    <t xml:space="preserve"> Application of jacket type body cast</t>
  </si>
  <si>
    <t xml:space="preserve"> Application of jacket type body cast including head</t>
  </si>
  <si>
    <t xml:space="preserve"> Application of shoulder to hip body cast</t>
  </si>
  <si>
    <t xml:space="preserve"> Application of shoulder to hip body cast including head</t>
  </si>
  <si>
    <t xml:space="preserve"> Application of shoulder to hip body cast and thigh</t>
  </si>
  <si>
    <t xml:space="preserve"> Application of shoulder to hip body cast and both thighs</t>
  </si>
  <si>
    <t xml:space="preserve"> Application of figure-of-eight cast</t>
  </si>
  <si>
    <t xml:space="preserve"> Application of shoulder spica cast</t>
  </si>
  <si>
    <t xml:space="preserve"> Application of plaster Velpeau cast to upper forearm and shoulder</t>
  </si>
  <si>
    <t xml:space="preserve"> Application of shoulder to hand cast</t>
  </si>
  <si>
    <t xml:space="preserve"> Application of elbow to finger cast</t>
  </si>
  <si>
    <t xml:space="preserve"> Application of hand and lower forearm cast</t>
  </si>
  <si>
    <t xml:space="preserve"> Application of finger cast</t>
  </si>
  <si>
    <t xml:space="preserve"> Application of lower and upper arm splint</t>
  </si>
  <si>
    <t xml:space="preserve"> Application of nonmoveable forearm to hand splint</t>
  </si>
  <si>
    <t xml:space="preserve"> Application of moveable or hinged forearm to hand splint</t>
  </si>
  <si>
    <t xml:space="preserve"> Application of nonmoveable finger splint</t>
  </si>
  <si>
    <t xml:space="preserve"> Application of hinged finger splint</t>
  </si>
  <si>
    <t xml:space="preserve"> Placement of strapping to chest</t>
  </si>
  <si>
    <t xml:space="preserve"> Placement of strapping to shoulder</t>
  </si>
  <si>
    <t xml:space="preserve"> Placement of strapping to elbow or wrist</t>
  </si>
  <si>
    <t xml:space="preserve"> Placement of strapping to hand or finger</t>
  </si>
  <si>
    <t xml:space="preserve"> Application of hip spica cast on leg</t>
  </si>
  <si>
    <t xml:space="preserve"> Application of hip spica cast on both legs, or on leg and part of other leg</t>
  </si>
  <si>
    <t xml:space="preserve"> Application of long leg cast from thigh to toe</t>
  </si>
  <si>
    <t xml:space="preserve"> Application of walking cast covering thigh to toe</t>
  </si>
  <si>
    <t xml:space="preserve"> Application of long leg brace-type cast from thigh to toe</t>
  </si>
  <si>
    <t xml:space="preserve"> Application of thigh to lower leg cylinder cast</t>
  </si>
  <si>
    <t xml:space="preserve"> Application of short leg cast</t>
  </si>
  <si>
    <t xml:space="preserve"> Application of walking cast covering below knee to toe</t>
  </si>
  <si>
    <t xml:space="preserve"> Application of kneecap tendon bearing cast</t>
  </si>
  <si>
    <t xml:space="preserve"> Addition of walker to previously applied cast</t>
  </si>
  <si>
    <t xml:space="preserve"> Application of walking cast covering foot, ankle, and lower leg</t>
  </si>
  <si>
    <t xml:space="preserve"> Application of leg cast and manipulation of foot to treat deformity</t>
  </si>
  <si>
    <t xml:space="preserve"> Application of long leg splint from thigh to ankle or toe</t>
  </si>
  <si>
    <t xml:space="preserve"> Application of short leg splint from calf to foot</t>
  </si>
  <si>
    <t xml:space="preserve"> Placement of strapping to hip</t>
  </si>
  <si>
    <t xml:space="preserve"> Placement of strapping to knee</t>
  </si>
  <si>
    <t xml:space="preserve"> Placement of strapping to ankle or foot</t>
  </si>
  <si>
    <t xml:space="preserve"> Placement of strapping to toes</t>
  </si>
  <si>
    <t xml:space="preserve"> Strapping, Unna boot</t>
  </si>
  <si>
    <t xml:space="preserve"> Application of vein wound compression bandages on lower leg, ankle, and foot</t>
  </si>
  <si>
    <t xml:space="preserve"> Application of vein wound compression bandages on upper arm, forearm, hand, and fingers</t>
  </si>
  <si>
    <t xml:space="preserve"> Removal or cutting of gauntlet, boot, or body cast</t>
  </si>
  <si>
    <t xml:space="preserve"> Removal or cutting of full arm or leg cast</t>
  </si>
  <si>
    <t xml:space="preserve"> Removal or cutting of shoulder, hip spica, or jacket cast</t>
  </si>
  <si>
    <t xml:space="preserve"> Repair of spica, body cast, or jacket</t>
  </si>
  <si>
    <t xml:space="preserve"> Exam of skin surface by creation of opening in cast</t>
  </si>
  <si>
    <t xml:space="preserve"> Insertion of wedge in cast</t>
  </si>
  <si>
    <t xml:space="preserve"> Insertion of wedge in clubfoot cast</t>
  </si>
  <si>
    <t xml:space="preserve"> Diagnostic exam of jaw joint using an endoscope</t>
  </si>
  <si>
    <t xml:space="preserve"> Exam of jaw joint using an endoscope</t>
  </si>
  <si>
    <t xml:space="preserve"> Diagnostic exam of shoulder using an endoscope</t>
  </si>
  <si>
    <t xml:space="preserve"> Repair of shoulder joint capsule using an endoscope</t>
  </si>
  <si>
    <t xml:space="preserve"> Repair of shoulder socket using an endoscope</t>
  </si>
  <si>
    <t xml:space="preserve"> Removal of loose or foreign body in shoulder joint using an endoscope</t>
  </si>
  <si>
    <t xml:space="preserve"> Partial removal of shoulder joint lining using an endoscope</t>
  </si>
  <si>
    <t xml:space="preserve"> Removal of entire shoulder joint lining using an endoscope</t>
  </si>
  <si>
    <t xml:space="preserve"> Limited removal of abnormal shoulder joint tissue using endoscope</t>
  </si>
  <si>
    <t xml:space="preserve"> Removal of extensive shoulder joint tissue using an endoscope</t>
  </si>
  <si>
    <t xml:space="preserve"> Partial removal of collar bone at shoulder using an endoscope</t>
  </si>
  <si>
    <t xml:space="preserve"> Removal of shoulder scar tissue using an endoscope</t>
  </si>
  <si>
    <t xml:space="preserve"> Shaving of part of shoulder bone and repair of ligament using an endoscope</t>
  </si>
  <si>
    <t xml:space="preserve"> Repair of shoulder rotator cuff using an endoscope</t>
  </si>
  <si>
    <t xml:space="preserve"> Release of tendon connecting biceps muscle and shoulder using an endoscope</t>
  </si>
  <si>
    <t xml:space="preserve"> Diagnostic exam of elbow joint using an endoscope</t>
  </si>
  <si>
    <t xml:space="preserve"> Removal of loose or foreign body in elbow joint using an endoscope</t>
  </si>
  <si>
    <t xml:space="preserve"> Partial removal of elbow joint lining using an endoscope</t>
  </si>
  <si>
    <t xml:space="preserve"> Removal of entire elbow joint lining using an endoscope</t>
  </si>
  <si>
    <t xml:space="preserve"> Removal of elbow joint tissue using an endoscope</t>
  </si>
  <si>
    <t xml:space="preserve"> Removal of extensive damaged tissue from elbow joint using an endoscope</t>
  </si>
  <si>
    <t xml:space="preserve"> Diagnostic exam of wrist using an endoscope</t>
  </si>
  <si>
    <t xml:space="preserve"> Diagnostic exam, washing, and drainage of infected wrist using an endoscope</t>
  </si>
  <si>
    <t xml:space="preserve"> Partial removal of wrist joint lining using an endoscope</t>
  </si>
  <si>
    <t xml:space="preserve"> Removal of entire wrist joint lining using an endoscope</t>
  </si>
  <si>
    <t xml:space="preserve"> Removal or repair of wrist cartilage using an endoscope</t>
  </si>
  <si>
    <t xml:space="preserve"> Placement of internal stabilizing device using an endoscope to treat broken or unstable wrist</t>
  </si>
  <si>
    <t xml:space="preserve"> Release of wrist ligament using an endoscope</t>
  </si>
  <si>
    <t xml:space="preserve"> Treatment of broken knee joint using an endoscope</t>
  </si>
  <si>
    <t xml:space="preserve"> Treatment of broken knee joint with placement of stabilizing device using an endoscope</t>
  </si>
  <si>
    <t xml:space="preserve"> Treatment of broken upper portion of lower leg bone on side using an endoscope</t>
  </si>
  <si>
    <t xml:space="preserve"> Treatment of broken upper portion of lower leg bone on both sides using an endoscope</t>
  </si>
  <si>
    <t xml:space="preserve"> Diagnostic exam of hip using an endoscope</t>
  </si>
  <si>
    <t xml:space="preserve"> Removal of loose or foreign body in hip joint using an endoscope</t>
  </si>
  <si>
    <t xml:space="preserve"> Removal or shaving of hip joint socket cartilage using an endoscope</t>
  </si>
  <si>
    <t xml:space="preserve"> Removal of hip joint lining using an endoscope</t>
  </si>
  <si>
    <t xml:space="preserve"> Repair of knee cartilage and bone with patient-derived healthy cartilage transplant using an endoscope</t>
  </si>
  <si>
    <t xml:space="preserve"> Repair of knee cartilage and bone with donor cartilage graft using an endoscope</t>
  </si>
  <si>
    <t xml:space="preserve"> Repair of knee cartilage with donor cartilage graft using an endoscope</t>
  </si>
  <si>
    <t xml:space="preserve"> Diagnostic exam of knee using an endoscope</t>
  </si>
  <si>
    <t xml:space="preserve"> Exam, washing, and drainage of infected knee joint using an endoscope</t>
  </si>
  <si>
    <t xml:space="preserve"> Release of ligaments at outer side of knee joint using an endoscope</t>
  </si>
  <si>
    <t xml:space="preserve"> Removal of loose or foreign body in knee joint using an endoscope</t>
  </si>
  <si>
    <t xml:space="preserve"> Partial removal of knee joint lining using an endoscope</t>
  </si>
  <si>
    <t xml:space="preserve"> Removal of joint lining from multiple knee joint compartments using an endoscope</t>
  </si>
  <si>
    <t xml:space="preserve"> Removal or shaving of knee joint cartilage using an endoscope</t>
  </si>
  <si>
    <t xml:space="preserve"> Repair of knee joint with drilling and or scraping of joint using an endoscope</t>
  </si>
  <si>
    <t xml:space="preserve"> Removal of both knee cartilages using an endoscope</t>
  </si>
  <si>
    <t xml:space="preserve"> Removal of knee cartilage using an endoscope</t>
  </si>
  <si>
    <t xml:space="preserve"> Repair of inside or outside knee joint cartilage using an endoscope</t>
  </si>
  <si>
    <t xml:space="preserve"> Repair of inside and outside knee joint cartilage using an endoscope</t>
  </si>
  <si>
    <t xml:space="preserve"> Removal of scar tissue from knee using an endoscope</t>
  </si>
  <si>
    <t xml:space="preserve"> Repair of knee joint with bone graft using an endoscope</t>
  </si>
  <si>
    <t xml:space="preserve"> Repair of knee joint by drilling cartilage using an endoscope</t>
  </si>
  <si>
    <t xml:space="preserve"> Repair of knee joint with bone graft and internal stabilizing device using an endoscope</t>
  </si>
  <si>
    <t xml:space="preserve"> Repair of anterior cruciate ligament of knee using an endoscope</t>
  </si>
  <si>
    <t xml:space="preserve"> Repair of posterior cruciate ligament of knee using an endoscope</t>
  </si>
  <si>
    <t xml:space="preserve"> Removal of shin and/or ankle bone defect using an endoscope</t>
  </si>
  <si>
    <t xml:space="preserve"> Removal of large shin or ankle bone defect using an endoscope</t>
  </si>
  <si>
    <t xml:space="preserve"> Repair of fibrous tissue of arch of foot using an endoscope</t>
  </si>
  <si>
    <t xml:space="preserve"> Removal of loose or foreign body in ankle using an endoscope</t>
  </si>
  <si>
    <t xml:space="preserve"> Partial removal of ankle joint lining using an endoscope</t>
  </si>
  <si>
    <t xml:space="preserve"> Removal of limited dead or infected tissue using an endoscope</t>
  </si>
  <si>
    <t xml:space="preserve"> Removal of extensive dead or infected tissue using an endoscope</t>
  </si>
  <si>
    <t xml:space="preserve"> Fusion of ankle joint using an endoscope</t>
  </si>
  <si>
    <t xml:space="preserve"> Biopsy of lining of joint of finger using an endoscope</t>
  </si>
  <si>
    <t xml:space="preserve"> Removal of dead or infected finger joint tissue using an endoscope</t>
  </si>
  <si>
    <t xml:space="preserve"> Treatment of displaced finger joint ligament using an endoscope</t>
  </si>
  <si>
    <t xml:space="preserve"> Removal of loose or foreign body in ankle joint at heel bones using an endoscope</t>
  </si>
  <si>
    <t xml:space="preserve"> Removal of lining of ankle joint using an endoscope</t>
  </si>
  <si>
    <t xml:space="preserve"> Removal of dead or infected ankle joint tissue using an endoscope</t>
  </si>
  <si>
    <t xml:space="preserve"> Fusion of foot joint using an endoscope</t>
  </si>
  <si>
    <t xml:space="preserve"> Reshaping of thigh bone at hip joint using an endoscope</t>
  </si>
  <si>
    <t xml:space="preserve"> Reshaping of hip socket using an endoscope</t>
  </si>
  <si>
    <t xml:space="preserve"> Repair of hip joint socket cartilage using an endoscope</t>
  </si>
  <si>
    <t xml:space="preserve"> Drainage of abscess or blood accumulation of nose</t>
  </si>
  <si>
    <t xml:space="preserve"> Drainage of abscess or blood accumulation of nasal cartilage</t>
  </si>
  <si>
    <t xml:space="preserve"> Biopsy of lining of nose</t>
  </si>
  <si>
    <t xml:space="preserve"> Simple removal of nasal polyp</t>
  </si>
  <si>
    <t xml:space="preserve"> Extensive removal of nasal polyp</t>
  </si>
  <si>
    <t xml:space="preserve"> Removal or destruction of growth of nose through nose</t>
  </si>
  <si>
    <t xml:space="preserve"> Removal or destruction of growth of nose</t>
  </si>
  <si>
    <t xml:space="preserve"> Removal or scraping of skin on nose</t>
  </si>
  <si>
    <t xml:space="preserve"> Simple removal of cyst and skin growth of nose</t>
  </si>
  <si>
    <t xml:space="preserve"> Removal of growth under nasal bone or cartilage</t>
  </si>
  <si>
    <t xml:space="preserve"> Removal of nasal air passage</t>
  </si>
  <si>
    <t xml:space="preserve"> Removal of nasal air passage under lining tissue</t>
  </si>
  <si>
    <t xml:space="preserve"> Partial removal of nose</t>
  </si>
  <si>
    <t xml:space="preserve"> Removal of nose</t>
  </si>
  <si>
    <t xml:space="preserve"> Injection of medication into nasal air passage</t>
  </si>
  <si>
    <t xml:space="preserve"> Irrigation and drainage of sinus</t>
  </si>
  <si>
    <t xml:space="preserve"> Insertion of implant to close nasal passage</t>
  </si>
  <si>
    <t xml:space="preserve"> Removal of foreign body in nose</t>
  </si>
  <si>
    <t xml:space="preserve"> Removal of foreign body in nose under anesthesia</t>
  </si>
  <si>
    <t xml:space="preserve"> Removal of foreign body in nose by incision</t>
  </si>
  <si>
    <t xml:space="preserve"> Reshaping of tip of nose</t>
  </si>
  <si>
    <t xml:space="preserve"> Reshaping of bone, cartilage, and/or tip of nose</t>
  </si>
  <si>
    <t xml:space="preserve"> Reshaping of bony cartilage dividing nasal passages</t>
  </si>
  <si>
    <t xml:space="preserve"> Revision to reshape nose or small amount of tip of nose after previous repair</t>
  </si>
  <si>
    <t xml:space="preserve"> Revision to reshape nasal bones after previous repair</t>
  </si>
  <si>
    <t xml:space="preserve"> Revision to reshape nasal bones and tip of nose after previous repair</t>
  </si>
  <si>
    <t xml:space="preserve"> Revision of congenital nasal defect to lengthen tip of nose</t>
  </si>
  <si>
    <t xml:space="preserve"> Revision of congenital nasal defect with lengthening of tip of nose</t>
  </si>
  <si>
    <t xml:space="preserve"> Repair of nasal passage</t>
  </si>
  <si>
    <t xml:space="preserve"> Repair of collapsed nostril using implant in side of nose</t>
  </si>
  <si>
    <t xml:space="preserve"> Repair of collapsed nasal valve</t>
  </si>
  <si>
    <t xml:space="preserve"> Reshaping of nasal cartilage</t>
  </si>
  <si>
    <t xml:space="preserve"> Repair of nasal passage through nose</t>
  </si>
  <si>
    <t xml:space="preserve"> Repair of nasal passages through palate</t>
  </si>
  <si>
    <t xml:space="preserve"> Release of nasal scar tissue</t>
  </si>
  <si>
    <t xml:space="preserve"> Repair of abnormal drainage tract between nasal sinuses</t>
  </si>
  <si>
    <t xml:space="preserve"> Repair of abnormal drainage tract between mouth and nasal cavity</t>
  </si>
  <si>
    <t xml:space="preserve"> Reconstruction of lining of nasal passage with graft</t>
  </si>
  <si>
    <t xml:space="preserve"> Repair of openings of nasal cartilage</t>
  </si>
  <si>
    <t xml:space="preserve"> Destruction of soft tissue of nasal passages</t>
  </si>
  <si>
    <t xml:space="preserve"> Destruction of surface soft tissue of nasal passages</t>
  </si>
  <si>
    <t xml:space="preserve"> Simple control of nose bleed</t>
  </si>
  <si>
    <t xml:space="preserve"> Complex control of nose bleed</t>
  </si>
  <si>
    <t xml:space="preserve"> Initial control of nose bleed and insertion of packing</t>
  </si>
  <si>
    <t xml:space="preserve"> Subsequent control of nosebleed and insertion of packing</t>
  </si>
  <si>
    <t xml:space="preserve"> Tying of ethmoidal artery ethmoidal for control of nose bleed</t>
  </si>
  <si>
    <t xml:space="preserve"> Tying of internal nasal artery for control of nose bleed</t>
  </si>
  <si>
    <t xml:space="preserve"> Therapeutic fracture of nasal passages</t>
  </si>
  <si>
    <t xml:space="preserve"> Other procedure on nose</t>
  </si>
  <si>
    <t xml:space="preserve"> Irrigation of nasal sinus</t>
  </si>
  <si>
    <t xml:space="preserve"> Irrigation of sphenoid nasal sinus</t>
  </si>
  <si>
    <t xml:space="preserve"> Incision of nasal sinus through nose</t>
  </si>
  <si>
    <t xml:space="preserve"> Creation of window into nasal sinus</t>
  </si>
  <si>
    <t xml:space="preserve"> Removal of nasal sinus polyp</t>
  </si>
  <si>
    <t xml:space="preserve"> Incision through sinus at cheek bone to reach nerve and blood vessel</t>
  </si>
  <si>
    <t xml:space="preserve"> Incision of sphenoid nasal sinus</t>
  </si>
  <si>
    <t xml:space="preserve"> Removal of nasal polyps</t>
  </si>
  <si>
    <t xml:space="preserve"> Simple incision of frontal nasal sinus</t>
  </si>
  <si>
    <t xml:space="preserve"> Incision of nasal sinus of side of face</t>
  </si>
  <si>
    <t xml:space="preserve"> Insertion of material to stop growth of nasal sinus lining through eyebrow</t>
  </si>
  <si>
    <t xml:space="preserve"> Insertion of material to stop growth of nasal sinus lining through forehead</t>
  </si>
  <si>
    <t xml:space="preserve"> Insertion of material to stop growth of nasal sinus lining with bone flap through eyebrow</t>
  </si>
  <si>
    <t xml:space="preserve"> Insertion of material to stop growth of nasal sinus lining with bone flap through forehead</t>
  </si>
  <si>
    <t xml:space="preserve"> Incision of eyebrow and placement of bone flap to drain frontal nasal sinus</t>
  </si>
  <si>
    <t xml:space="preserve"> Incision of forehead and placement of bone flap to drain frontal nasal sinus</t>
  </si>
  <si>
    <t xml:space="preserve"> Removal of tissue or growths in 3 or more nasal sinuses on side of face</t>
  </si>
  <si>
    <t xml:space="preserve"> Partial removal of nasal sinus</t>
  </si>
  <si>
    <t xml:space="preserve"> Removal of nasal sinus from within nasal passage</t>
  </si>
  <si>
    <t xml:space="preserve"> Removal of nasal sinus from outside nasal passage</t>
  </si>
  <si>
    <t xml:space="preserve"> Removal of nasal sinus</t>
  </si>
  <si>
    <t xml:space="preserve"> Diagnostic exam of nasal passages using an endoscope</t>
  </si>
  <si>
    <t xml:space="preserve"> Exam of nasal passage and sinus using an endoscope</t>
  </si>
  <si>
    <t xml:space="preserve"> Exam of nasal passage and sphenoid sinus using an endoscope</t>
  </si>
  <si>
    <t xml:space="preserve"> Biopsy or removal of nasal polyp or tissue using an endoscope</t>
  </si>
  <si>
    <t xml:space="preserve"> Control of bleeding of nose using an endoscope</t>
  </si>
  <si>
    <t xml:space="preserve"> Incision of tear duct using an endoscope</t>
  </si>
  <si>
    <t xml:space="preserve"> Removal of nasal breathing passages using an endoscope</t>
  </si>
  <si>
    <t xml:space="preserve"> Tying of sphenopalatine artery using an endoscope</t>
  </si>
  <si>
    <t xml:space="preserve"> Destruction of nasal nerve by heat using an endoscope</t>
  </si>
  <si>
    <t xml:space="preserve"> Destruction of nasal nerve by freezing using an endoscope</t>
  </si>
  <si>
    <t xml:space="preserve"> Complete exam of nose and sinuses using an endoscope</t>
  </si>
  <si>
    <t xml:space="preserve"> Partial removal of nasal sinus using an endoscope</t>
  </si>
  <si>
    <t xml:space="preserve"> Removal of nasal sinus using an endoscope</t>
  </si>
  <si>
    <t xml:space="preserve"> Incision of nasal sinus using an endoscope</t>
  </si>
  <si>
    <t xml:space="preserve"> Exam of nose and sinus with removal of nasal sinus using an endoscope</t>
  </si>
  <si>
    <t xml:space="preserve"> Removal of tissue from sphenoid sinus using an endoscope</t>
  </si>
  <si>
    <t xml:space="preserve"> Removal of nasal sinus tissue using an endoscope</t>
  </si>
  <si>
    <t xml:space="preserve"> Exploration of nasal sinus using an endoscope</t>
  </si>
  <si>
    <t xml:space="preserve"> Incision of sphenoid nasal sinus using an endoscope</t>
  </si>
  <si>
    <t xml:space="preserve"> Removal of sphenoid nasal sinus tissue using an endoscope</t>
  </si>
  <si>
    <t xml:space="preserve"> Decompression of medial or inferior wall of eye socket using an endoscope</t>
  </si>
  <si>
    <t xml:space="preserve"> Decompression of medial and inferior wall of eye socket using an endoscope</t>
  </si>
  <si>
    <t xml:space="preserve"> Decompression of optic nerve using an endoscope</t>
  </si>
  <si>
    <t xml:space="preserve"> Dilation of nasal sinus using an endoscope</t>
  </si>
  <si>
    <t xml:space="preserve"> Dilation of frontal nasal sinus using an endoscope</t>
  </si>
  <si>
    <t xml:space="preserve"> Dilation of sphenoid nasal sinus using an endoscope</t>
  </si>
  <si>
    <t xml:space="preserve"> Dilation of sphenoid and frontal nasal sinus using an endoscope</t>
  </si>
  <si>
    <t xml:space="preserve"> Removal of vocal cord growth or cartilage attachment</t>
  </si>
  <si>
    <t xml:space="preserve"> Removal or repair of voice box cartilage</t>
  </si>
  <si>
    <t xml:space="preserve"> Removal of cartilage attaching tongue</t>
  </si>
  <si>
    <t xml:space="preserve"> Emergent insertion of breathing tube into windpipe using an endoscope</t>
  </si>
  <si>
    <t xml:space="preserve"> Change of breathing tube in windpipe</t>
  </si>
  <si>
    <t xml:space="preserve"> Diagnostic exam of voice box using an endoscope with mirror</t>
  </si>
  <si>
    <t xml:space="preserve"> Biopsy of voice box using an endoscope with mirror</t>
  </si>
  <si>
    <t xml:space="preserve"> Removal of foreign body in voice box using an endoscope with mirror</t>
  </si>
  <si>
    <t xml:space="preserve"> Removal of growth of voice box using an endoscope with mirror</t>
  </si>
  <si>
    <t xml:space="preserve"> Injection of vocal cord using an endoscope with mirror</t>
  </si>
  <si>
    <t xml:space="preserve"> Aspiration of voice box using an endoscope</t>
  </si>
  <si>
    <t xml:space="preserve"> Diagnostic exam of voice box using an endoscope, newborn</t>
  </si>
  <si>
    <t xml:space="preserve"> Diagnostic exam of voice box using an endoscope</t>
  </si>
  <si>
    <t xml:space="preserve"> Diagnostic exam of voice box using an endoscope with operating microscope or telescope</t>
  </si>
  <si>
    <t xml:space="preserve"> Insertion of device to close opening of voice box using an endoscope</t>
  </si>
  <si>
    <t xml:space="preserve"> Initial dilation of voice box using an endoscope</t>
  </si>
  <si>
    <t xml:space="preserve"> Subsequent dilation of voice box using an endoscope</t>
  </si>
  <si>
    <t xml:space="preserve"> Removal of foreign body in voice box using an endoscope</t>
  </si>
  <si>
    <t xml:space="preserve"> Removal of foreign body in voice box using an endoscope with operating microscope or telescope</t>
  </si>
  <si>
    <t xml:space="preserve"> Biopsy of voice box using an endoscope</t>
  </si>
  <si>
    <t xml:space="preserve"> Biopsy of voice box using an endoscope with operating microscope or telescope</t>
  </si>
  <si>
    <t xml:space="preserve"> Removal of growth of throat and/or stripping of vocal cords using an endoscope</t>
  </si>
  <si>
    <t xml:space="preserve"> Removal of growth of tongue and/or stripping of vocal cord using an endoscope with operating microscope or telescope</t>
  </si>
  <si>
    <t xml:space="preserve"> Removal of vocal cord growths and reconstruction with local tissue flap using an endoscope with operating microscope or telescope</t>
  </si>
  <si>
    <t xml:space="preserve"> Removal of vocal cord growths and reconstruction with graft using an endoscope with operating microscope or telescope</t>
  </si>
  <si>
    <t xml:space="preserve"> Repair of narrowed voice box with graft (younger than 12 years)</t>
  </si>
  <si>
    <t xml:space="preserve"> Repair of narrowed voice box with graft (12 years or older)</t>
  </si>
  <si>
    <t xml:space="preserve"> Repair of narrowed voice box with graft and placement of indwelling stent (younger than 12 years)</t>
  </si>
  <si>
    <t xml:space="preserve"> Repair of narrowed voice box with graft and placement of indwelling stent (12 years or older)</t>
  </si>
  <si>
    <t xml:space="preserve"> Removal of voice box cartilage using an endoscope</t>
  </si>
  <si>
    <t xml:space="preserve"> Removal of voice box cartilage using an endoscope with operating microscope or telescope</t>
  </si>
  <si>
    <t xml:space="preserve"> Injection into vocal cords using an endoscope</t>
  </si>
  <si>
    <t xml:space="preserve"> Injection into vocal cords using an endoscope with operating microscope or telescope</t>
  </si>
  <si>
    <t xml:space="preserve"> Removal or destruction of growth of side of voice box using an endoscope</t>
  </si>
  <si>
    <t xml:space="preserve"> Injection of drug into side of voice box using an endoscope</t>
  </si>
  <si>
    <t xml:space="preserve"> Injection of substance to augment voice box using an endoscope</t>
  </si>
  <si>
    <t xml:space="preserve"> Diagnostic exam of voice box using a flexible endoscope</t>
  </si>
  <si>
    <t xml:space="preserve"> Biopsy of voice box using a flexible endoscope</t>
  </si>
  <si>
    <t xml:space="preserve"> Removal of foreign body in voice box using a flexible endoscope</t>
  </si>
  <si>
    <t xml:space="preserve"> Removal of growth of voice box using an endoscope</t>
  </si>
  <si>
    <t xml:space="preserve"> Exam to assess movement of vocal cord flaps using an endoscope</t>
  </si>
  <si>
    <t xml:space="preserve"> Repair of congenital vocal cord defect with insertion of indwelling stent</t>
  </si>
  <si>
    <t xml:space="preserve"> Incision of voice box to repair fracture</t>
  </si>
  <si>
    <t xml:space="preserve"> Repair of split of voice box</t>
  </si>
  <si>
    <t xml:space="preserve"> Relocation of nerve and muscle to restore voice box function</t>
  </si>
  <si>
    <t xml:space="preserve"> Repair of side of voice box by moving vocal cord to middle</t>
  </si>
  <si>
    <t xml:space="preserve"> Partial removal of windpipe and cartilage</t>
  </si>
  <si>
    <t xml:space="preserve"> Incision of windpipe for insertion of breathing tube (older than 2 years)</t>
  </si>
  <si>
    <t xml:space="preserve"> Incision of windpipe for insertion of breathing tube (2 years or younger)</t>
  </si>
  <si>
    <t xml:space="preserve"> Emergent incision of windpipe through neck for insertion of breathing tube</t>
  </si>
  <si>
    <t xml:space="preserve"> Emergent incision of windpipe for insertion of breathing tube</t>
  </si>
  <si>
    <t xml:space="preserve"> Creation of permanent opening of windpipe for breathing</t>
  </si>
  <si>
    <t xml:space="preserve"> Creation of opening of windpipe and insertion of speech prosthesis</t>
  </si>
  <si>
    <t xml:space="preserve"> Puncture of windpipe for aspiration and/or injection</t>
  </si>
  <si>
    <t xml:space="preserve"> Simple revision of permanent opening of windpipe for breathing</t>
  </si>
  <si>
    <t xml:space="preserve"> Revision of permanent opening of windpipe for breathing with flap rotation</t>
  </si>
  <si>
    <t xml:space="preserve"> Exam of windpipe and lung airways through permanent windpipe opening using an endoscope</t>
  </si>
  <si>
    <t xml:space="preserve"> Diagnostic exam of lung airway using an endoscope</t>
  </si>
  <si>
    <t xml:space="preserve"> Exam of lung airways using an endoscope</t>
  </si>
  <si>
    <t xml:space="preserve"> Irrigation and suction of lung airways to obtain cells using an endoscope</t>
  </si>
  <si>
    <t xml:space="preserve"> Biopsy of lung airway using an endoscope</t>
  </si>
  <si>
    <t xml:space="preserve"> Placement of radiation therapy markers into lung airways using an endoscope</t>
  </si>
  <si>
    <t xml:space="preserve"> Computer-assisted image-guided navigation of lung airways using an endoscope</t>
  </si>
  <si>
    <t xml:space="preserve"> Biopsy of lobe of lung using an endoscope, 1 lobe</t>
  </si>
  <si>
    <t xml:space="preserve"> Needle biopsy of windpipe cartilage, airway, and/or lung using an endoscope</t>
  </si>
  <si>
    <t xml:space="preserve"> Dilation of windpipe cartilage or treatment of broken windpipe cartilage using an endoscope</t>
  </si>
  <si>
    <t xml:space="preserve"> Placement of stent into windpipe using an endoscope</t>
  </si>
  <si>
    <t xml:space="preserve"> Biopsy of lobe of lung using an endoscope, each additional lobe</t>
  </si>
  <si>
    <t xml:space="preserve"> Needle biopsy of lobe of lung using an endoscope, each additional lobe</t>
  </si>
  <si>
    <t xml:space="preserve"> Exam of lung airways with repair of air leak using an endoscope</t>
  </si>
  <si>
    <t xml:space="preserve"> Removal of foreign body in lung airways using an endoscope</t>
  </si>
  <si>
    <t xml:space="preserve"> Placement of stent in lung airway using an endoscope, first stent</t>
  </si>
  <si>
    <t xml:space="preserve"> Placement of stent in lung airway using an endoscope, each additional stent</t>
  </si>
  <si>
    <t xml:space="preserve"> Revision of previously inserted lung airway stent using an endoscope</t>
  </si>
  <si>
    <t xml:space="preserve"> Removal of growth of lung airways using an endoscope</t>
  </si>
  <si>
    <t xml:space="preserve"> Destruction of growth or narrowing of lung airway using an endoscope</t>
  </si>
  <si>
    <t xml:space="preserve"> Placement of tube for radiation delivery in lung airway using an endoscope</t>
  </si>
  <si>
    <t xml:space="preserve"> Aspiration of initial secretion of lung airway using an endoscope</t>
  </si>
  <si>
    <t xml:space="preserve"> Aspiration of subsequent secretions of lung airway using an endoscope during same hospital stay</t>
  </si>
  <si>
    <t xml:space="preserve"> Assessment of initial lobe of lung for air leak and airway sizing with insertion of bronchial valve in lung airway using an endoscope</t>
  </si>
  <si>
    <t xml:space="preserve"> Removal of bronchial valves of lung airways of lobe of lung using an endoscope, initial lobe</t>
  </si>
  <si>
    <t xml:space="preserve"> Removal of bronchial valves of lung airways of lobe of lung using an endoscope, each additional lobe</t>
  </si>
  <si>
    <t xml:space="preserve"> Assessment of air leak and airway sizing with insertion of bronchial valve in lung airway using an endoscope, each additional lobe</t>
  </si>
  <si>
    <t xml:space="preserve"> Exam of lung airways and sampling of lymph nodes using an endoscope and ultrasound guidance, 1-2 lymph nodes</t>
  </si>
  <si>
    <t xml:space="preserve"> Exam of lung airways and sampling of lymph nodes using an endoscope and ultrasound guidance, 3 or more lymph nodes</t>
  </si>
  <si>
    <t xml:space="preserve"> Exam of lung airways with diagnostic or therapeutic procedure on growths using an endoscope and ultrasound</t>
  </si>
  <si>
    <t xml:space="preserve"> Insertion of tube into airway of lung for biopsy</t>
  </si>
  <si>
    <t xml:space="preserve"> Insertion of tube into airway for aspiration of secretions</t>
  </si>
  <si>
    <t xml:space="preserve"> Insertion of needle wire dilator or indwelling tube for oxygen therapy</t>
  </si>
  <si>
    <t xml:space="preserve"> Repair of windpipe cartilage through neck</t>
  </si>
  <si>
    <t xml:space="preserve"> Creation of drainage tract from throat to windpipe</t>
  </si>
  <si>
    <t xml:space="preserve"> Removal of growth of windpipe cartilage</t>
  </si>
  <si>
    <t xml:space="preserve"> Closure of permanent windpipe opening or abnormal drainage tract</t>
  </si>
  <si>
    <t xml:space="preserve"> Closure of permanent windpipe opening or abnormal drainage tract with plastic repair</t>
  </si>
  <si>
    <t xml:space="preserve"> Revision of permanent windpipe opening scar</t>
  </si>
  <si>
    <t xml:space="preserve"> Needle biopsy of lining of lung</t>
  </si>
  <si>
    <t xml:space="preserve"> Core needle biopsy of lung or center cavity of chest (mediastinum), accessed through skin</t>
  </si>
  <si>
    <t xml:space="preserve"> Insertion of indwelling tube for drainage of lung fluid</t>
  </si>
  <si>
    <t xml:space="preserve"> Removal of fluid from between lung and chest cavity</t>
  </si>
  <si>
    <t xml:space="preserve"> Removal of indwelling tube in lining of lung</t>
  </si>
  <si>
    <t xml:space="preserve"> Insertion of device in chest cavity for radiation therapy guidance</t>
  </si>
  <si>
    <t xml:space="preserve"> Aspiration of fluid from chest cavity</t>
  </si>
  <si>
    <t xml:space="preserve"> Aspiration of fluid from chest cavity using imaging guidance</t>
  </si>
  <si>
    <t xml:space="preserve"> Drainage of fluid from chest cavity with insertion of indwelling tube</t>
  </si>
  <si>
    <t xml:space="preserve"> Drainage of fluid from chest cavity with insertion of indwelling tube using imaging guidance</t>
  </si>
  <si>
    <t xml:space="preserve"> Diagnostic exam of lungs, heart sac, chest cavity, or lung lining using an endoscope</t>
  </si>
  <si>
    <t xml:space="preserve"> Biopsy of heart sac using an endoscope</t>
  </si>
  <si>
    <t xml:space="preserve"> Biopsy of tissue of chest using an endoscope</t>
  </si>
  <si>
    <t xml:space="preserve"> Injection of air into chest cavity to collapse lung</t>
  </si>
  <si>
    <t xml:space="preserve"> Destruction of growth of lung using extreme cold</t>
  </si>
  <si>
    <t xml:space="preserve"> Destruction of growth of lung using radiofrequency</t>
  </si>
  <si>
    <t xml:space="preserve"> Drainage of heart sac using imaging guidance</t>
  </si>
  <si>
    <t xml:space="preserve"> Insertion of pacemaker and upper heart chamber electrode</t>
  </si>
  <si>
    <t xml:space="preserve"> Insertion of pacemaker and lower heart chamber electrode</t>
  </si>
  <si>
    <t xml:space="preserve"> Insertion of pacemaker and upper and lower heart chamber electrode</t>
  </si>
  <si>
    <t xml:space="preserve"> Insertion of temporary pacemaker lead in single heart chamber</t>
  </si>
  <si>
    <t xml:space="preserve"> Insertion of temporary pacemaker lead in upper and lower heart chambers</t>
  </si>
  <si>
    <t xml:space="preserve"> Insertion of pacemaker pulse generator with existing single lead</t>
  </si>
  <si>
    <t xml:space="preserve"> Insertion of pacemaker pulse generator with existing dual leads</t>
  </si>
  <si>
    <t xml:space="preserve"> Insertion of 2 chamber pacemaker system</t>
  </si>
  <si>
    <t xml:space="preserve"> Repositioning of pacemaker or defibrillator electrode</t>
  </si>
  <si>
    <t xml:space="preserve"> Insertion of 1 electrode for permanent pacemaker or defibrillator</t>
  </si>
  <si>
    <t xml:space="preserve"> Insertion of 2 electrodes for permanent pacemaker or defibrillator</t>
  </si>
  <si>
    <t xml:space="preserve"> Repair of electrode for permanent pacemaker or defibrillator</t>
  </si>
  <si>
    <t xml:space="preserve"> Repair of 2 electrodes for permanent pacemaker or defibrillator</t>
  </si>
  <si>
    <t xml:space="preserve"> Insertion of pacemaker pulse generator with existing multiple leads</t>
  </si>
  <si>
    <t xml:space="preserve"> Relocation of pacemaker skin pocket</t>
  </si>
  <si>
    <t xml:space="preserve"> Relocation of defibrillator skin pocket</t>
  </si>
  <si>
    <t xml:space="preserve"> Insertion of left lower heart electrode and attachment to pacemaker or defibrillator</t>
  </si>
  <si>
    <t xml:space="preserve"> Insertion of left lower heart electrode for pacemaker or defibrillator</t>
  </si>
  <si>
    <t xml:space="preserve"> Repositioning of left lower heart electrode</t>
  </si>
  <si>
    <t xml:space="preserve"> Removal and replacement of single lead permanent pacemaker</t>
  </si>
  <si>
    <t xml:space="preserve"> Removal and replacement of dual lead permanent pacemaker</t>
  </si>
  <si>
    <t xml:space="preserve"> Removal and replacement of multiple lead permanent pacemaker</t>
  </si>
  <si>
    <t xml:space="preserve"> Insertion of defibrillator with existing dual leads</t>
  </si>
  <si>
    <t xml:space="preserve"> Insertion of defibrillator with existing multiple leads</t>
  </si>
  <si>
    <t xml:space="preserve"> Removal of permanent pacemaker pulse generator</t>
  </si>
  <si>
    <t xml:space="preserve"> Removal of single electrode from right heart</t>
  </si>
  <si>
    <t xml:space="preserve"> Removal of dual electrodes from right heart</t>
  </si>
  <si>
    <t xml:space="preserve"> Insertion of defibrillator with existing single lead</t>
  </si>
  <si>
    <t xml:space="preserve"> Removal of defibrillator</t>
  </si>
  <si>
    <t xml:space="preserve"> Removal of defibrillator electrodes through vein</t>
  </si>
  <si>
    <t xml:space="preserve"> Insertion of implantable defibrillator system</t>
  </si>
  <si>
    <t xml:space="preserve"> Removal and replacement of single lead defibrillator</t>
  </si>
  <si>
    <t xml:space="preserve"> Removal and replacement of dual lead defibrillator</t>
  </si>
  <si>
    <t xml:space="preserve"> Removal and replacement of multiple lead defibrillator</t>
  </si>
  <si>
    <t xml:space="preserve"> Insertion or replacement of defibrillator with electrode</t>
  </si>
  <si>
    <t xml:space="preserve"> Insertion of defibrillator electrode</t>
  </si>
  <si>
    <t xml:space="preserve"> Repositioning of defibrillator electrode</t>
  </si>
  <si>
    <t xml:space="preserve"> Insertion of permanent leadless pacemaker using imaging guidance</t>
  </si>
  <si>
    <t xml:space="preserve"> Removal of permanent leadless pacemaker using imaging guidance</t>
  </si>
  <si>
    <t xml:space="preserve"> Insertion of phrenic nerve stimulator generator and stimulating lead(s)</t>
  </si>
  <si>
    <t xml:space="preserve"> Insertion of phrenic nerve stimulator sensing lead</t>
  </si>
  <si>
    <t xml:space="preserve"> Removal of phrenic nerve stimulator generator and lead(s)</t>
  </si>
  <si>
    <t xml:space="preserve"> Removal of phrenic nerve stimulator stimulation or sensing lead(s)</t>
  </si>
  <si>
    <t xml:space="preserve"> Removal of phrenic nerve stimulator pulse generator</t>
  </si>
  <si>
    <t xml:space="preserve"> Repositioning of phrenic nerve stimulator lead(s)</t>
  </si>
  <si>
    <t xml:space="preserve"> Insertion of heart rhythm monitor under skin</t>
  </si>
  <si>
    <t xml:space="preserve"> Removal of heart rhythm monitor from under the skin</t>
  </si>
  <si>
    <t xml:space="preserve"> Removal and replacement of phrenic nerve stimulator pulse generator</t>
  </si>
  <si>
    <t xml:space="preserve"> Removal and replacement of phrenic nerve stimulator stimulation or sensing leads</t>
  </si>
  <si>
    <t xml:space="preserve"> Insertion of wireless pressure sensor into lung artery through tube with review by radiologist</t>
  </si>
  <si>
    <t xml:space="preserve"> Repair of mitral valve through the skin, additional prosthesis</t>
  </si>
  <si>
    <t xml:space="preserve"> Replacement of pulmonary valve</t>
  </si>
  <si>
    <t xml:space="preserve"> Harvest of vein using an endoscope</t>
  </si>
  <si>
    <t xml:space="preserve"> Incision of partition between upper chambers of heart to allow blood flow for congenital heart defects, via catheter using imaging guidance</t>
  </si>
  <si>
    <t xml:space="preserve"> Creation of shunt for blood flow within heart for congenital heart defects, via catheter using imaging guidance</t>
  </si>
  <si>
    <t xml:space="preserve"> Creation of additional shunt for blood flow within heart for congenital heart defects, via catheter using imaging guidance</t>
  </si>
  <si>
    <t xml:space="preserve"> Repair of aortic arch with graft</t>
  </si>
  <si>
    <t xml:space="preserve"> Placement of stent in pulmonary artery with normal anatomical connections, on one side of body</t>
  </si>
  <si>
    <t xml:space="preserve"> Placement of stent in pulmonary arteries with normal anatomical connections, on both sides of body</t>
  </si>
  <si>
    <t xml:space="preserve"> Placement of stent in pulmonary artery with abnormal anatomical connections, on one side of body</t>
  </si>
  <si>
    <t xml:space="preserve"> Placement of stent in pulmonary arteries with abnormal anatomical connections, on both sides of body</t>
  </si>
  <si>
    <t xml:space="preserve"> Insertion of right lower heart chamber blood flow assist device via vein accessed through skin, including radiological supervision and interpretation</t>
  </si>
  <si>
    <t xml:space="preserve"> Removal of right lower heart chamber blood flow assist device, accessed through skin</t>
  </si>
  <si>
    <t xml:space="preserve"> Removal of blood clot in artery of upper arm</t>
  </si>
  <si>
    <t xml:space="preserve"> Removal of blood clot in artery of groin and leg</t>
  </si>
  <si>
    <t xml:space="preserve"> Removal of blood clot in artery of lower leg</t>
  </si>
  <si>
    <t xml:space="preserve"> Removal of blood clot in vena cava, pelvic, or thigh vein</t>
  </si>
  <si>
    <t xml:space="preserve"> Removal of blood clot in upper chest vein</t>
  </si>
  <si>
    <t xml:space="preserve"> Removal of blood clot in underarm or upper chest vein</t>
  </si>
  <si>
    <t xml:space="preserve"> Exposure of groin artery for delivery of graft</t>
  </si>
  <si>
    <t xml:space="preserve"> Exposure of major groin artery with creation of conduit</t>
  </si>
  <si>
    <t xml:space="preserve"> Exposure of underarm or upper chest artery for delivery of prosthesis</t>
  </si>
  <si>
    <t xml:space="preserve"> Exposure of underarm or upper chest artery with creation of conduit</t>
  </si>
  <si>
    <t xml:space="preserve"> Repair of aneurysm or arm artery with graft</t>
  </si>
  <si>
    <t xml:space="preserve"> Repair of abnormal artery-vein connection of head and neck</t>
  </si>
  <si>
    <t xml:space="preserve"> Repair of blood vessel of neck</t>
  </si>
  <si>
    <t xml:space="preserve"> Repair of blood vessel of arm</t>
  </si>
  <si>
    <t xml:space="preserve"> Repair of blood vessel of hand or finger</t>
  </si>
  <si>
    <t xml:space="preserve"> Repair of blood vessel of leg</t>
  </si>
  <si>
    <t xml:space="preserve"> Repair of blood vessel of neck with vein graft</t>
  </si>
  <si>
    <t xml:space="preserve"> Repair of blood vessel of arm with vein graft</t>
  </si>
  <si>
    <t xml:space="preserve"> Repair of blood vessel of leg with vein graft</t>
  </si>
  <si>
    <t xml:space="preserve"> Repair of blood vessel of neck with graft</t>
  </si>
  <si>
    <t xml:space="preserve"> Repair of blood vessel of arm with graft</t>
  </si>
  <si>
    <t xml:space="preserve"> Repair of blood vessel of leg with graft</t>
  </si>
  <si>
    <t xml:space="preserve"> Removal of blood clot and portion of artery of upper arm</t>
  </si>
  <si>
    <t xml:space="preserve"> Harvest of upper arm vein segment</t>
  </si>
  <si>
    <t xml:space="preserve"> Harvest of upper leg to thigh vein segment</t>
  </si>
  <si>
    <t xml:space="preserve"> Exploration of arm or leg for bleeding, blood clot, or infection after surgery</t>
  </si>
  <si>
    <t xml:space="preserve"> Removal of blood clot of artery or vein graft</t>
  </si>
  <si>
    <t xml:space="preserve"> Removal of blood clot and revision of artery or vein graft</t>
  </si>
  <si>
    <t xml:space="preserve"> Revision of leg artery bypass with vein patch</t>
  </si>
  <si>
    <t xml:space="preserve"> Revision of leg artery bypass with placement of relocated vein</t>
  </si>
  <si>
    <t xml:space="preserve"> Removal of infected graft of arm or leg</t>
  </si>
  <si>
    <t xml:space="preserve"> Insertion of needle or tube into vein</t>
  </si>
  <si>
    <t xml:space="preserve"> Injection to cause blood clot in diseased or pseudoaneurysm of arm or leg</t>
  </si>
  <si>
    <t xml:space="preserve"> Injection for X-ray imaging procedure into vein of arm or leg</t>
  </si>
  <si>
    <t xml:space="preserve"> Insertion of tube into vena cava</t>
  </si>
  <si>
    <t xml:space="preserve"> Insertion of tube into vein, first order branch</t>
  </si>
  <si>
    <t xml:space="preserve"> Insertion of tube into vein, second order branch</t>
  </si>
  <si>
    <t xml:space="preserve"> Insertion of tube into right heart or main pulmonary artery</t>
  </si>
  <si>
    <t xml:space="preserve"> Insertion of tube into left or right pulmonary artery</t>
  </si>
  <si>
    <t xml:space="preserve"> Insertion of tube into artery of lobe of lung</t>
  </si>
  <si>
    <t xml:space="preserve"> Insertion of needle or tube into artery of neck or brain</t>
  </si>
  <si>
    <t xml:space="preserve"> Insertion of needle or tube into artery of arm or leg</t>
  </si>
  <si>
    <t xml:space="preserve"> Insertion of needle or tube into aorta</t>
  </si>
  <si>
    <t xml:space="preserve"> Insertion of tube into aorta</t>
  </si>
  <si>
    <t xml:space="preserve"> Insertion of tube into chest or arm artery, each first order branch</t>
  </si>
  <si>
    <t xml:space="preserve"> Insertion of tube into chest or arm artery, initial second order branch</t>
  </si>
  <si>
    <t xml:space="preserve"> Insertion of tube into chest or arm artery, initial third order branch</t>
  </si>
  <si>
    <t xml:space="preserve"> Insertion of tube into chest or arm artery, additional second, third order and beyond</t>
  </si>
  <si>
    <t xml:space="preserve"> Insertion of tube into chest aorta for diagnosis or treatment with review by radiologist</t>
  </si>
  <si>
    <t xml:space="preserve"> Insertion of tube into extracranial artery for diagnosis or treatment with review by radiologist</t>
  </si>
  <si>
    <t xml:space="preserve"> Insertion of tube into intracranial artery for diagnosis or treatment with review by radiologist</t>
  </si>
  <si>
    <t xml:space="preserve"> Insertion of tube into internal neck artery for diagnosis or treatment with review by radiologist</t>
  </si>
  <si>
    <t xml:space="preserve"> Insertion of tube into chest artery for diagnosis or treatment with review by radiologist</t>
  </si>
  <si>
    <t xml:space="preserve"> Insertion of tube into brain artery for diagnosis or treatment with review by radiologist</t>
  </si>
  <si>
    <t xml:space="preserve"> Insertion of tube into external neck artery for diagnosis or treatment with review by radiologist</t>
  </si>
  <si>
    <t xml:space="preserve"> Insertion of tube into neck or brain artery for diagnosis or treatment with review by radiologist</t>
  </si>
  <si>
    <t xml:space="preserve"> Insertion of tube into abdominal, pelvic, or leg artery, each first order branch</t>
  </si>
  <si>
    <t xml:space="preserve"> Insertion of tube into abdominal, pelvic, or leg artery, initial second order branch</t>
  </si>
  <si>
    <t xml:space="preserve"> Insertion of tube into abdominal, pelvic, or leg artery, initial third order branch</t>
  </si>
  <si>
    <t xml:space="preserve"> Insertion of tube into abdominal, pelvic, or leg artery, additional second, third, and beyond</t>
  </si>
  <si>
    <t xml:space="preserve"> Insertion of tube into first order main and accessory arteries of kidney for imaging with review by radiologist</t>
  </si>
  <si>
    <t xml:space="preserve"> Insertion of tube into first order main and accessory arteries of both kidneys for imaging with review by radiologist</t>
  </si>
  <si>
    <t xml:space="preserve"> Insertion of tube into second or third order branches of arteries of kidney for imaging with review by radiologist</t>
  </si>
  <si>
    <t xml:space="preserve"> Insertion of tube into second or third order branches of arteries of both kidneys for imaging with review by radiologist</t>
  </si>
  <si>
    <t xml:space="preserve"> Insertion of implantable arterial infusion pump</t>
  </si>
  <si>
    <t xml:space="preserve"> Revision of implanted arterial infusion pump</t>
  </si>
  <si>
    <t xml:space="preserve"> Removal of implanted arterial infusion pump</t>
  </si>
  <si>
    <t xml:space="preserve"> Insertion of needle into upper leg or neck vein (younger than 3 years)</t>
  </si>
  <si>
    <t xml:space="preserve"> Insertion of needle into scalp vein (younger than 3 years)</t>
  </si>
  <si>
    <t xml:space="preserve"> Insertion of needle into vein (younger than 3 years)</t>
  </si>
  <si>
    <t xml:space="preserve"> Insertion of needle into vein (3 years or older)</t>
  </si>
  <si>
    <t xml:space="preserve"> Insertion of needle into vein for collection of blood sample</t>
  </si>
  <si>
    <t xml:space="preserve"> Puncture of skin for collection of blood sample</t>
  </si>
  <si>
    <t xml:space="preserve"> Incision of vein for insertion of needle or tube (younger than 1 year)</t>
  </si>
  <si>
    <t xml:space="preserve"> Incision of vein for insertion of needle or tube (1 year or older)</t>
  </si>
  <si>
    <t xml:space="preserve"> Transfusion of blood or blood products</t>
  </si>
  <si>
    <t xml:space="preserve"> Push blood transfusion (2 years or younger)</t>
  </si>
  <si>
    <t xml:space="preserve"> Exchange blood transfusion, newborn</t>
  </si>
  <si>
    <t xml:space="preserve"> Exchange blood transfusion, other than newborn</t>
  </si>
  <si>
    <t xml:space="preserve"> Partial exchange transfusion, newborn</t>
  </si>
  <si>
    <t xml:space="preserve"> Intrauterine fetal transfusion</t>
  </si>
  <si>
    <t xml:space="preserve"> Injection of chemical agent into single incompetent vein of leg using ultrasound guidance</t>
  </si>
  <si>
    <t xml:space="preserve"> Injection of chemical agent into multiple incompetent veins of same leg using ultrasound guidance</t>
  </si>
  <si>
    <t xml:space="preserve"> Injection of chemical agent into spider vein of arm, leg, or trunk</t>
  </si>
  <si>
    <t xml:space="preserve"> Injection of chemical agent into single incompetent vein</t>
  </si>
  <si>
    <t xml:space="preserve"> Injection of chemical agent into multiple incompetent veins of leg</t>
  </si>
  <si>
    <t xml:space="preserve"> Mechanochemical destruction of first incompetent vein of arm or leg using imaging guidance</t>
  </si>
  <si>
    <t xml:space="preserve"> Mechanochemical destruction of subsequent incompetent veins of arm or leg using imaging guidance</t>
  </si>
  <si>
    <t xml:space="preserve"> Destruction of first incompetent vein of arm or leg using radiofrequency and imaging guidance</t>
  </si>
  <si>
    <t xml:space="preserve"> Destruction of subsequent incompetent veins of arm or leg using radiofrequency and imaging guidance</t>
  </si>
  <si>
    <t xml:space="preserve"> Laser destruction of incompetent vein of arm or leg using imaging guidance</t>
  </si>
  <si>
    <t xml:space="preserve"> Laser destruction of incompetent veins of arm or leg using imaging guidance, subsequent</t>
  </si>
  <si>
    <t xml:space="preserve"> Insertion of tube into portal vein of liver</t>
  </si>
  <si>
    <t xml:space="preserve"> Chemical destruction of first incompetent vein of arm or leg using imaging guidance</t>
  </si>
  <si>
    <t xml:space="preserve"> Chemical destruction of subsequent incompetent veins of arm or leg using imaging guidance</t>
  </si>
  <si>
    <t xml:space="preserve"> Insertion of tube into vein with collection of blood sample</t>
  </si>
  <si>
    <t xml:space="preserve"> Insertion of tube into umbilical vein, newborn</t>
  </si>
  <si>
    <t xml:space="preserve"> Mechanical separation of white blood cells from blood</t>
  </si>
  <si>
    <t xml:space="preserve"> Mechanical separation of red blood cells from blood</t>
  </si>
  <si>
    <t xml:space="preserve"> Mechanical separation of platelet cells from blood</t>
  </si>
  <si>
    <t xml:space="preserve"> Mechanical separation of plasma from blood</t>
  </si>
  <si>
    <t xml:space="preserve"> Mechanical separation of plasma and abnormal antibodies from blood</t>
  </si>
  <si>
    <t xml:space="preserve"> Mechanical separation of white blood cells and platelets from blood</t>
  </si>
  <si>
    <t xml:space="preserve"> Insertion of non-tunneled central venous tube for infusion (younger than 5 years)</t>
  </si>
  <si>
    <t xml:space="preserve"> Insertion of non-tunneled central venous tube for infusion (5 years or older)</t>
  </si>
  <si>
    <t xml:space="preserve"> Insertion of tunneled central venous tube for infusion (younger than 5 years)</t>
  </si>
  <si>
    <t xml:space="preserve"> Insertion of tunneled central venous tube for infusion (5 years or older)</t>
  </si>
  <si>
    <t xml:space="preserve"> Insertion of central venous tube with port (younger than 5 years)</t>
  </si>
  <si>
    <t xml:space="preserve"> Insertion of central venous tube with port (5 years or older)</t>
  </si>
  <si>
    <t xml:space="preserve"> Insertion of central venous tube with pump</t>
  </si>
  <si>
    <t xml:space="preserve"> Insertion of 2 central venous tubes in 2 veins for infusion</t>
  </si>
  <si>
    <t xml:space="preserve"> Insertion of 2 central venous tubes in 2 veins with port</t>
  </si>
  <si>
    <t xml:space="preserve"> Insertion of tube for infusion (younger than 5 years)</t>
  </si>
  <si>
    <t xml:space="preserve"> Insertion of tube for infusion (5 years or older)</t>
  </si>
  <si>
    <t xml:space="preserve"> Insertion of central venous tube with port for infusion (younger than 5 years)</t>
  </si>
  <si>
    <t xml:space="preserve"> Insertion of central venous tube with port for infusion (5 years or older)</t>
  </si>
  <si>
    <t xml:space="preserve"> Insertion of tube for infusion with imaging guidance and review by radiologist, patient younger than 5 years</t>
  </si>
  <si>
    <t xml:space="preserve"> Insertion of tube for infusion with imaging guidance and review by radiologist, patient 5 years or older</t>
  </si>
  <si>
    <t xml:space="preserve"> Repair of central venous tube for infusion</t>
  </si>
  <si>
    <t xml:space="preserve"> Repair of central venous tube for infusion with port or pump</t>
  </si>
  <si>
    <t xml:space="preserve"> Replacement of central venous tube, tube only</t>
  </si>
  <si>
    <t xml:space="preserve"> Replacement of nontunneled central venous tube</t>
  </si>
  <si>
    <t xml:space="preserve"> Replacement of tunneled central venous tube</t>
  </si>
  <si>
    <t xml:space="preserve"> Replacement of tunneled central venous tube with port</t>
  </si>
  <si>
    <t xml:space="preserve"> Replacement of tunneled central venous tube with pump</t>
  </si>
  <si>
    <t xml:space="preserve"> Replacement of peripherally inserted central venous tube (PICC) with review by radiologist</t>
  </si>
  <si>
    <t xml:space="preserve"> Replacement of peripherally inserted central venous tube (PICC) with port</t>
  </si>
  <si>
    <t xml:space="preserve"> Removal of tunneled central venous tube</t>
  </si>
  <si>
    <t xml:space="preserve"> Removal of central venous tube with port or pump</t>
  </si>
  <si>
    <t xml:space="preserve"> Collection of blood sample from implanted device</t>
  </si>
  <si>
    <t xml:space="preserve"> Collection of blood sample from central venous tube</t>
  </si>
  <si>
    <t xml:space="preserve"> Declotting of central venous tube</t>
  </si>
  <si>
    <t xml:space="preserve"> Mechanical removal of obstructive material from central venous tube</t>
  </si>
  <si>
    <t xml:space="preserve"> Mechanical removal of tissue or obstructive material from central venous tube</t>
  </si>
  <si>
    <t xml:space="preserve"> Repositioning of central venous tube using fluoroscopic guidance</t>
  </si>
  <si>
    <t xml:space="preserve"> Contrast injection for imaging to evaluate central venous access device</t>
  </si>
  <si>
    <t xml:space="preserve"> Artery puncture collection of blood sample</t>
  </si>
  <si>
    <t xml:space="preserve"> Insertion of artery tube for blood sampling or infusion through skin</t>
  </si>
  <si>
    <t xml:space="preserve"> Insertion of artery tube for blood sampling or infusion through artery incision</t>
  </si>
  <si>
    <t xml:space="preserve"> Insertion of artery tube for prolonged infusion</t>
  </si>
  <si>
    <t xml:space="preserve"> Insertion of needle for infusion into bone</t>
  </si>
  <si>
    <t xml:space="preserve"> Insertion of tube connecting vein to vein for hemodialysis</t>
  </si>
  <si>
    <t xml:space="preserve"> Insertion of tube connecting artery to vein for hemodialysis</t>
  </si>
  <si>
    <t xml:space="preserve"> Revision or removal of tube connecting artery to vein for hemodialysis</t>
  </si>
  <si>
    <t xml:space="preserve"> Relocation of major upper arm vein with connection to arm artery for hemodialysis</t>
  </si>
  <si>
    <t xml:space="preserve"> Relocation of upper arm surface vein with connection to arm artery for hemodialysis</t>
  </si>
  <si>
    <t xml:space="preserve"> Relocation of forearm vein with connection to arm artery for hemodialysis</t>
  </si>
  <si>
    <t xml:space="preserve"> Relocation of arm vein with connection to arm artery for hemodialysis</t>
  </si>
  <si>
    <t xml:space="preserve"> Creation of artery-vein connection using vein graft for hemodialysis</t>
  </si>
  <si>
    <t xml:space="preserve"> Creation of artery-vein connection using tube graft for hemodialysis</t>
  </si>
  <si>
    <t xml:space="preserve"> Removal of blood clot from hemodialysis graft</t>
  </si>
  <si>
    <t xml:space="preserve"> Revision of hemodialysis graft</t>
  </si>
  <si>
    <t xml:space="preserve"> Revision of hemodialysis graft with removal of blood clot</t>
  </si>
  <si>
    <t xml:space="preserve"> Insertion of hemodialysis shunt in artery or vein</t>
  </si>
  <si>
    <t xml:space="preserve"> Creation of opening between artery and vein in arm with single access to both blood vessels</t>
  </si>
  <si>
    <t xml:space="preserve"> Creation of opening between artery and vein in arm with separate access to each blood vessels</t>
  </si>
  <si>
    <t xml:space="preserve"> Injection for removal of blood clot from external dialysis tube</t>
  </si>
  <si>
    <t xml:space="preserve"> Insertion of balloon tube for removal of blood clot from external dialysis tube</t>
  </si>
  <si>
    <t xml:space="preserve"> Insertion of needle and/or tube into hemodialysis circuit with review by radiologist</t>
  </si>
  <si>
    <t xml:space="preserve"> Insertion of needle and/or tube into hemodialysis circuit and balloon dilation of dialysis segment with review by radiologist</t>
  </si>
  <si>
    <t xml:space="preserve"> Insertion of needle and/or tube into hemodialysis circuit and insertion of stent in dialysis segment with review by radiologist</t>
  </si>
  <si>
    <t xml:space="preserve"> Removal and/or dissolving of blood clot in hemodialysis circuit and balloon dilation of dialysis segment with review by radiologist</t>
  </si>
  <si>
    <t xml:space="preserve"> Removal and/or dissolving of blood clot in hemodialysis circuit and balloon dilation of dialysis segment with imaging review by radiologist, with balloon tube</t>
  </si>
  <si>
    <t xml:space="preserve"> Removal and/or dissolving of blood clot in hemodialysis circuit and balloon dilation of dialysis segment and placement of stent with review by radiologist</t>
  </si>
  <si>
    <t xml:space="preserve"> Balloon dilation of dialysis segment with review by radiologist</t>
  </si>
  <si>
    <t xml:space="preserve"> Insertion of stent in dialysis segment with review by radiologist</t>
  </si>
  <si>
    <t xml:space="preserve"> Permanent blockage of hemodialysis circuit with review by radiologist</t>
  </si>
  <si>
    <t xml:space="preserve"> Primary removal and dissolving of blood clot from artery or artery graft using fluoroscopic guidance, initial vessel</t>
  </si>
  <si>
    <t xml:space="preserve"> Primary removal and dissolving of blood clot from artery or artery graft using fluoroscopic guidance, subsequent vessels</t>
  </si>
  <si>
    <t xml:space="preserve"> Secondary removal and dissolving of blood clot from artery or artery graft using fluoroscopic guidance</t>
  </si>
  <si>
    <t xml:space="preserve"> Removal and dissolving of blood clot from vein using fluoroscopic guidance, initial treatment</t>
  </si>
  <si>
    <t xml:space="preserve"> Removal and dissolving of blood clot from vein using fluoroscopic guidance, repeat treatment on subsequent day</t>
  </si>
  <si>
    <t xml:space="preserve"> Repositioning of vena cava filter with review by radiologist</t>
  </si>
  <si>
    <t xml:space="preserve"> Removal of vena cava filter with review by radiologist</t>
  </si>
  <si>
    <t xml:space="preserve"> Infusion of drug to dissolve blood clot in brain</t>
  </si>
  <si>
    <t xml:space="preserve"> Retrieval of foreign body in blood vessel with review by radiologist</t>
  </si>
  <si>
    <t xml:space="preserve"> Biopsy of blood vessel using tube</t>
  </si>
  <si>
    <t xml:space="preserve"> Insertion of tube into artery for drug infusion for blood clot with review by radiologist, initial treatment day</t>
  </si>
  <si>
    <t xml:space="preserve"> Insertion of tube into vein for drug infusion for blood clot with review by radiologist, initial treatment day</t>
  </si>
  <si>
    <t xml:space="preserve"> Balloon dilation of groin artery, initial vessel</t>
  </si>
  <si>
    <t xml:space="preserve"> Insertion of stent in groin artery, initial vessel</t>
  </si>
  <si>
    <t xml:space="preserve"> Balloon dilation of groin artery, each additional vessel</t>
  </si>
  <si>
    <t xml:space="preserve"> Insertion of stent in groin artery, additional vessel</t>
  </si>
  <si>
    <t xml:space="preserve"> Balloon dilation of artery of leg</t>
  </si>
  <si>
    <t xml:space="preserve"> Removal of plaque in arteries of leg</t>
  </si>
  <si>
    <t xml:space="preserve"> Insertion of stent in arteries of leg</t>
  </si>
  <si>
    <t xml:space="preserve"> Removal of plaque and insertion of stents in arteries of leg</t>
  </si>
  <si>
    <t xml:space="preserve"> Balloon dilation of artery of leg, initial vessel</t>
  </si>
  <si>
    <t xml:space="preserve"> Removal of plaque in artery of leg, initial vessel</t>
  </si>
  <si>
    <t xml:space="preserve"> Insertion of stent in artery of leg, initial vessel</t>
  </si>
  <si>
    <t xml:space="preserve"> Removal of plaque and insertion of stents in artery of leg, initial vessel</t>
  </si>
  <si>
    <t xml:space="preserve"> Balloon dilation of artery of leg, each additional vessel</t>
  </si>
  <si>
    <t xml:space="preserve"> Removal of plaque in artery of leg, each additional vessel</t>
  </si>
  <si>
    <t xml:space="preserve"> Insertion of stent in artery of leg, each additional vessel</t>
  </si>
  <si>
    <t xml:space="preserve"> Removal of plaque and insertion of stents in artery of leg, each additional vessel</t>
  </si>
  <si>
    <t xml:space="preserve"> Insertion of stent in artery (except lower extremity, chest, heart, neck and brain) with review by radiologist, initial artery</t>
  </si>
  <si>
    <t xml:space="preserve"> Insertion of stent in artery (except lower extremity, chest, heart, neck and brain) with review by radiologist, each additional artery</t>
  </si>
  <si>
    <t xml:space="preserve"> Insertion of stent in vein with review by radiologist, initial vein</t>
  </si>
  <si>
    <t xml:space="preserve"> Insertion of stent in vein with review by radiologist, each additional vein</t>
  </si>
  <si>
    <t xml:space="preserve"> Occlusion of vein with review by radiologist</t>
  </si>
  <si>
    <t xml:space="preserve"> Occlusion of artery with review by radiologist</t>
  </si>
  <si>
    <t xml:space="preserve"> Occlusion of growths or obstructed vessels with review by radiologist</t>
  </si>
  <si>
    <t xml:space="preserve"> Balloon dilation of artery with review by radiologist, initial artery</t>
  </si>
  <si>
    <t xml:space="preserve"> Balloon dilation of artery with review by radiologist, each additional artery</t>
  </si>
  <si>
    <t xml:space="preserve"> Balloon dilation of vein with review by radiologist, initial vein</t>
  </si>
  <si>
    <t xml:space="preserve"> Balloon dilation of vein with review by radiologist, each additional vein</t>
  </si>
  <si>
    <t xml:space="preserve"> Ultrasound evaluation of blood vessel with review by radiologist, initial vessel</t>
  </si>
  <si>
    <t xml:space="preserve"> Ultrasound evaluation of blood vessel with review by radiologist, each additional vessel</t>
  </si>
  <si>
    <t xml:space="preserve"> Tying of veins in leg muscles using an endoscope</t>
  </si>
  <si>
    <t xml:space="preserve"> Tying of neck vein</t>
  </si>
  <si>
    <t xml:space="preserve"> Tying of external neck artery</t>
  </si>
  <si>
    <t xml:space="preserve"> Tying of internal neck artery</t>
  </si>
  <si>
    <t xml:space="preserve"> Tying and gradual clamping of neck artery</t>
  </si>
  <si>
    <t xml:space="preserve"> Tying or banding of surgically created artery-vein connection</t>
  </si>
  <si>
    <t xml:space="preserve"> Tying or biopsy of artery on side of skull</t>
  </si>
  <si>
    <t xml:space="preserve"> Tying of major neck artery</t>
  </si>
  <si>
    <t xml:space="preserve"> Tying of upper leg vein</t>
  </si>
  <si>
    <t xml:space="preserve"> Tying and division of long leg vein</t>
  </si>
  <si>
    <t xml:space="preserve"> Tying, incision, and stripping of short leg vein</t>
  </si>
  <si>
    <t xml:space="preserve"> Tying, incision, and stripping of long leg vein</t>
  </si>
  <si>
    <t xml:space="preserve"> Tying, incision, and stripping of leg veins with removal of ulcer and skin graft and/or interruption of lower leg veins</t>
  </si>
  <si>
    <t xml:space="preserve"> Tying of varicose veins, radical procedure including skin graft</t>
  </si>
  <si>
    <t xml:space="preserve"> Tying of varicose veins, simple procedure using ultrasound</t>
  </si>
  <si>
    <t xml:space="preserve"> Removal of varicose veins of arm or leg, 10-20 incisions</t>
  </si>
  <si>
    <t xml:space="preserve"> Removal of varicose veins of arm or leg, more than 20 incisions</t>
  </si>
  <si>
    <t xml:space="preserve"> Tying and division of short leg vein</t>
  </si>
  <si>
    <t xml:space="preserve"> Tying, incision, and/or removal of varicose vein clusters of leg</t>
  </si>
  <si>
    <t xml:space="preserve"> Blockage of penis vein</t>
  </si>
  <si>
    <t xml:space="preserve"> Other procedure on blood vessel</t>
  </si>
  <si>
    <t xml:space="preserve"> Exam of spleen using an endoscope</t>
  </si>
  <si>
    <t xml:space="preserve"> Injection procedure for imaging of spleen</t>
  </si>
  <si>
    <t xml:space="preserve"> Management of stem cell donor search</t>
  </si>
  <si>
    <t xml:space="preserve"> Collection of stem cells for transplantation</t>
  </si>
  <si>
    <t xml:space="preserve"> Aspiration of bone marrow sample for diagnosis</t>
  </si>
  <si>
    <t xml:space="preserve"> Biopsy of bone marrow</t>
  </si>
  <si>
    <t xml:space="preserve"> Biopsy and aspiration of bone marrow sample for diagnosis</t>
  </si>
  <si>
    <t xml:space="preserve"> Harvest of donor bone marrow for transplantation</t>
  </si>
  <si>
    <t xml:space="preserve"> Harvest of patient bone marrow for transplantation</t>
  </si>
  <si>
    <t xml:space="preserve"> Transplantation of donor stem cells per donor</t>
  </si>
  <si>
    <t xml:space="preserve"> Transplantation of patient-derived stem cells</t>
  </si>
  <si>
    <t xml:space="preserve"> Transplantation of donor white blood cells</t>
  </si>
  <si>
    <t xml:space="preserve"> Transplantation of donor stem cells</t>
  </si>
  <si>
    <t xml:space="preserve"> Simple drainage of abscess or swelling of lymph node</t>
  </si>
  <si>
    <t xml:space="preserve"> Drainage of extensive abscess or swelling of lymph node</t>
  </si>
  <si>
    <t xml:space="preserve"> Incision or other operation on lymphatic channels</t>
  </si>
  <si>
    <t xml:space="preserve"> Biopsy or removal of lymph nodes</t>
  </si>
  <si>
    <t xml:space="preserve"> Needle biopsy or removal of surface lymph nodes</t>
  </si>
  <si>
    <t xml:space="preserve"> Biopsy or removal of deep lymph nodes of neck</t>
  </si>
  <si>
    <t xml:space="preserve"> Biopsy or removal of lymph nodes of neck with removal of fat pad</t>
  </si>
  <si>
    <t xml:space="preserve"> Biopsy or removal of deep lymph nodes of underarm</t>
  </si>
  <si>
    <t xml:space="preserve"> Biopsy or removal of lymph nodes of breast</t>
  </si>
  <si>
    <t xml:space="preserve"> Biopsy or removal of lymph nodes of groin</t>
  </si>
  <si>
    <t xml:space="preserve"> Removal of deep lymph nodes of neck</t>
  </si>
  <si>
    <t xml:space="preserve"> Removal of congenital defect of lymph nodes at underarm or neck</t>
  </si>
  <si>
    <t xml:space="preserve"> Removal of congenital defect of lymph nodes at underarm or neck with deep neurovascular dissection</t>
  </si>
  <si>
    <t xml:space="preserve"> Biopsy and removal of lymph nodes of abdominal cavity using an endoscope</t>
  </si>
  <si>
    <t xml:space="preserve"> Removal of lymph nodes of both sides of pelvis using an endoscope</t>
  </si>
  <si>
    <t xml:space="preserve"> Removal of lymph nodes of both sides of pelvis and abdominal lymph node biopsy using an endoscope</t>
  </si>
  <si>
    <t xml:space="preserve"> Removal of lymph nodes of both sides of pelvis with biopsy and washing of abdomen using an endoscope</t>
  </si>
  <si>
    <t xml:space="preserve"> Removal of lymph nodes from chin to thyroid cartilage</t>
  </si>
  <si>
    <t xml:space="preserve"> Removal of lymph nodes of neck</t>
  </si>
  <si>
    <t xml:space="preserve"> Removal of lymph nodes, muscle, and tissue of neck</t>
  </si>
  <si>
    <t xml:space="preserve"> Partial removal of lymph nodes of underarm</t>
  </si>
  <si>
    <t xml:space="preserve"> Removal of lymph nodes of underarm</t>
  </si>
  <si>
    <t xml:space="preserve"> Removal of lymph nodes of groin</t>
  </si>
  <si>
    <t xml:space="preserve"> Injection procedure for imaging of lymphatic system</t>
  </si>
  <si>
    <t xml:space="preserve"> Injection of radioactive material for X-ray identification of lymph node</t>
  </si>
  <si>
    <t xml:space="preserve"> Exposure of lymph duct of chest cavity</t>
  </si>
  <si>
    <t xml:space="preserve"> Imaging of lymph nodes during surgery</t>
  </si>
  <si>
    <t xml:space="preserve"> Biopsy of lip</t>
  </si>
  <si>
    <t xml:space="preserve"> Removal of border of lip</t>
  </si>
  <si>
    <t xml:space="preserve"> Removal of wedge of lip tissue with closure</t>
  </si>
  <si>
    <t xml:space="preserve"> V-shaped removal of lip tissue</t>
  </si>
  <si>
    <t xml:space="preserve"> Removal of lip with repair using local tissue graft</t>
  </si>
  <si>
    <t xml:space="preserve"> Removal of lip with repair using tissue graft</t>
  </si>
  <si>
    <t xml:space="preserve"> Partial removal of lip</t>
  </si>
  <si>
    <t xml:space="preserve"> Repair of lip and border</t>
  </si>
  <si>
    <t xml:space="preserve"> Repair of vertical lip wound extending to half of lip</t>
  </si>
  <si>
    <t xml:space="preserve"> Repair of vertical lip wound extending to over half of lip</t>
  </si>
  <si>
    <t xml:space="preserve"> Primary plastic repair of deformity present at birth on 1 side of nose and/or lip</t>
  </si>
  <si>
    <t xml:space="preserve"> Plastic repair of deformity present at birth on both sides of nose and/or lip</t>
  </si>
  <si>
    <t xml:space="preserve"> Plastic repair of deformity present at birth on both sides of nose and/or lip, first stage</t>
  </si>
  <si>
    <t xml:space="preserve"> Secondary plastic repair of nose and lip deformity present at birth</t>
  </si>
  <si>
    <t xml:space="preserve"> Plastic repair of nose and/or lip deformity present at birth using a tissue graft</t>
  </si>
  <si>
    <t xml:space="preserve"> Simple drainage of abscess, cyst, or blood accumulation of mouth</t>
  </si>
  <si>
    <t xml:space="preserve"> Complicated drainage of abscess, cyst, or blood accumulation of mouth</t>
  </si>
  <si>
    <t xml:space="preserve"> Simple removal of embedded foreign body in mouth</t>
  </si>
  <si>
    <t xml:space="preserve"> Complicated removal of embedded foreign body in mouth</t>
  </si>
  <si>
    <t xml:space="preserve"> Incision of tissue joining lip and gum</t>
  </si>
  <si>
    <t xml:space="preserve"> Biopsy of mouth</t>
  </si>
  <si>
    <t xml:space="preserve"> Removal of growth of tissue of mouth</t>
  </si>
  <si>
    <t xml:space="preserve"> Removal of growth of mouth with simple repair</t>
  </si>
  <si>
    <t xml:space="preserve"> Removal of growth of mouth with complicated repair</t>
  </si>
  <si>
    <t xml:space="preserve"> Complex removal of tissue and muscle growth of mouth</t>
  </si>
  <si>
    <t xml:space="preserve"> Removal of mouth tissue for grafting</t>
  </si>
  <si>
    <t xml:space="preserve"> Removal of tissue at dental edge and cheek</t>
  </si>
  <si>
    <t xml:space="preserve"> Destruction of growth or scar of mouth</t>
  </si>
  <si>
    <t xml:space="preserve"> Repair of lacerated mouth, 2.5 cm or less</t>
  </si>
  <si>
    <t xml:space="preserve"> Repair of lacerated mouth, more than 2.5 cm</t>
  </si>
  <si>
    <t xml:space="preserve"> Repair to increase depth of front portion of mouth</t>
  </si>
  <si>
    <t xml:space="preserve"> Repair to increase depth on side of mouth</t>
  </si>
  <si>
    <t xml:space="preserve"> Repair to increase depth on both sides of mouth</t>
  </si>
  <si>
    <t xml:space="preserve"> Repair to increase depth of entire arch of mouth</t>
  </si>
  <si>
    <t xml:space="preserve"> Complex repair to increase depth of mouth</t>
  </si>
  <si>
    <t xml:space="preserve"> Drainage of abscess, cyst, or blood accumulation of side of tongue from inside mouth</t>
  </si>
  <si>
    <t xml:space="preserve"> Drainage of abscess, cyst, or blood accumulation under tongue from inside mouth</t>
  </si>
  <si>
    <t xml:space="preserve"> Drainage of abscess, cyst, or blood accumulation of tongue or floor of mouth from inside mouth</t>
  </si>
  <si>
    <t xml:space="preserve"> Drainage of abscess, cyst, or blood accumulation beneath chin from inside mouth</t>
  </si>
  <si>
    <t xml:space="preserve"> Drainage of abscess, cyst, or blood accumulation under jaw bone from inside mouth</t>
  </si>
  <si>
    <t xml:space="preserve"> Drainage of abscess, cyst, or blood accumulation under lower teeth from inside mouth</t>
  </si>
  <si>
    <t xml:space="preserve"> Incision of tissue connecting tongue and floor of mouth</t>
  </si>
  <si>
    <t xml:space="preserve"> Drainage of abscess, cyst, or blood accumulation under tongue from outside mouth</t>
  </si>
  <si>
    <t xml:space="preserve"> Drainage of abscess, cyst, or blood accumulation beneath chin from outside mouth</t>
  </si>
  <si>
    <t xml:space="preserve"> Drainage of abscess, cyst, or blood accumulation under jaw bone from outside mouth</t>
  </si>
  <si>
    <t xml:space="preserve"> Drainage of abscess, cyst, or blood accumulation under lower teeth from outside mouth</t>
  </si>
  <si>
    <t xml:space="preserve"> Insertion of needles, tubes, or devices into head and/or neck for radiation therapy</t>
  </si>
  <si>
    <t xml:space="preserve"> Biopsy of front 2/3 of tongue</t>
  </si>
  <si>
    <t xml:space="preserve"> Biopsy of back 1/3 of tongue</t>
  </si>
  <si>
    <t xml:space="preserve"> Biopsy of floor of mouth</t>
  </si>
  <si>
    <t xml:space="preserve"> Removal of growth of tongue without closure</t>
  </si>
  <si>
    <t xml:space="preserve"> Removal of growth of front 2/3 of tongue with switches</t>
  </si>
  <si>
    <t xml:space="preserve"> Removal of growth of back 1/3 of tongue with suturing</t>
  </si>
  <si>
    <t xml:space="preserve"> Removal of growth of tongue with local tissue graft</t>
  </si>
  <si>
    <t xml:space="preserve"> Removal of tissue connecting tongue and floor of mouth</t>
  </si>
  <si>
    <t xml:space="preserve"> Removal of growth of floor of mouth</t>
  </si>
  <si>
    <t xml:space="preserve"> Removal of less than half of tongue</t>
  </si>
  <si>
    <t xml:space="preserve"> Repair of lacerated floor of mouth and/or tongue, 2.5 cm or less</t>
  </si>
  <si>
    <t xml:space="preserve"> Repair of lacerated back 1/3 of tongue, 2.5 cm or less</t>
  </si>
  <si>
    <t xml:space="preserve"> Repair of lacerated tongue or floor of mouth, more than 2.6 cm</t>
  </si>
  <si>
    <t xml:space="preserve"> Suture of tongue to lip to enlarge mouth</t>
  </si>
  <si>
    <t xml:space="preserve"> Permanent suspension of tongue base using sutures</t>
  </si>
  <si>
    <t xml:space="preserve"> Repair of tissue connecting tongue to floor of mouth</t>
  </si>
  <si>
    <t xml:space="preserve"> Destruction of tongue tissue, per session</t>
  </si>
  <si>
    <t xml:space="preserve"> Drainage of abscess, cyst, or blood accumulation of dental bone</t>
  </si>
  <si>
    <t xml:space="preserve"> Removal of embedded foreign body in soft tissue of tooth bearing bone</t>
  </si>
  <si>
    <t xml:space="preserve"> Removal of foreign body in dental bone</t>
  </si>
  <si>
    <t xml:space="preserve"> Removal of overgrown gum tissue</t>
  </si>
  <si>
    <t xml:space="preserve"> Removal of gum tissue around tooth</t>
  </si>
  <si>
    <t xml:space="preserve"> Removal of tissue fiber at dental bone</t>
  </si>
  <si>
    <t xml:space="preserve"> Removal of dental bone</t>
  </si>
  <si>
    <t xml:space="preserve"> Removal of dental bone growth</t>
  </si>
  <si>
    <t xml:space="preserve"> Removal of dental bone growth with simple repair</t>
  </si>
  <si>
    <t xml:space="preserve"> Removal of growth of dental bone growth with complex repair</t>
  </si>
  <si>
    <t xml:space="preserve"> Removal of enlarged membrane covering of teeth or tooth socket</t>
  </si>
  <si>
    <t xml:space="preserve"> Removal of tissue overgrowth at teeth or tooth socket</t>
  </si>
  <si>
    <t xml:space="preserve"> Destruction of growth of structure supporting teeth</t>
  </si>
  <si>
    <t xml:space="preserve"> Graft of mouth tissue lining to gum surface</t>
  </si>
  <si>
    <t xml:space="preserve"> Reshaping of gum</t>
  </si>
  <si>
    <t xml:space="preserve"> Reshaping of tooth socket</t>
  </si>
  <si>
    <t xml:space="preserve"> Other procedure on teeth and gums</t>
  </si>
  <si>
    <t xml:space="preserve"> Drainage of abscess of roof of mouth</t>
  </si>
  <si>
    <t xml:space="preserve"> Biopsy of roof of mouth</t>
  </si>
  <si>
    <t xml:space="preserve"> Removal of growth of roof of mouth</t>
  </si>
  <si>
    <t xml:space="preserve"> Removal of growth of roof of mouth with simple closure</t>
  </si>
  <si>
    <t xml:space="preserve"> Removal of growth of roof of mouth with local tissue graft</t>
  </si>
  <si>
    <t xml:space="preserve"> Partial removal of roof of mouth</t>
  </si>
  <si>
    <t xml:space="preserve"> Removal of soft tissue of roof of mouth</t>
  </si>
  <si>
    <t xml:space="preserve"> Complex removal of soft tissue of roof of mouth</t>
  </si>
  <si>
    <t xml:space="preserve"> Destruction of growth or soft tissue of roof of mouth</t>
  </si>
  <si>
    <t xml:space="preserve"> Repair of lacerated roof of mouth, 2.0 cm or less</t>
  </si>
  <si>
    <t xml:space="preserve"> Repair of lacerated roof of mouth, more than 2.0 cm</t>
  </si>
  <si>
    <t xml:space="preserve"> Repair of defect of soft and/or hard tissue of roof of mouth for cleft palate</t>
  </si>
  <si>
    <t xml:space="preserve"> Repair of defect of soft tissue of roof of mouth for cleft palate</t>
  </si>
  <si>
    <t xml:space="preserve"> Repair of cleft palate with bone graft</t>
  </si>
  <si>
    <t xml:space="preserve"> Revision of prior cleft palate repair</t>
  </si>
  <si>
    <t xml:space="preserve"> Repair of cleft palate with palate lengthening</t>
  </si>
  <si>
    <t xml:space="preserve"> Repair of cleft palate with local tissue graft from throat</t>
  </si>
  <si>
    <t xml:space="preserve"> Lengthening of roof of mouth with throat tissue graft</t>
  </si>
  <si>
    <t xml:space="preserve"> Lengthening of roof of mouth using mucous membrane tissue graft</t>
  </si>
  <si>
    <t xml:space="preserve"> Lengthening of roof of mouth with tissue graft from tissue separating nose airways</t>
  </si>
  <si>
    <t xml:space="preserve"> Repair of abnormal connection from nasal sinus to skin</t>
  </si>
  <si>
    <t xml:space="preserve"> Impression of cheek bone for prosthesis at roof of mouth</t>
  </si>
  <si>
    <t xml:space="preserve"> Insertion of roof of mouth prosthesis</t>
  </si>
  <si>
    <t xml:space="preserve"> Simple drainage of abscess of saliva gland</t>
  </si>
  <si>
    <t xml:space="preserve"> Complicated drainage of abscess of saliva gland</t>
  </si>
  <si>
    <t xml:space="preserve"> Drainage of abscess of lower jaw from inside of mouth</t>
  </si>
  <si>
    <t xml:space="preserve"> Drainage of abscess of lower jaw from outside of mouth</t>
  </si>
  <si>
    <t xml:space="preserve"> Uncomplicated removal of saliva gland stone from inside mouth</t>
  </si>
  <si>
    <t xml:space="preserve"> Complicated removal of saliva gland stone from inside mouth</t>
  </si>
  <si>
    <t xml:space="preserve"> Complicated removal of saliva gland stone</t>
  </si>
  <si>
    <t xml:space="preserve"> Needle biopsy of saliva gland</t>
  </si>
  <si>
    <t xml:space="preserve"> Biopsy of saliva gland</t>
  </si>
  <si>
    <t xml:space="preserve"> Removal of salivary cyst under tongue</t>
  </si>
  <si>
    <t xml:space="preserve"> Creation of tract to drain cyst of saliva gland</t>
  </si>
  <si>
    <t xml:space="preserve"> Removal of growth of saliva gland or saliva gland, lateral lobe</t>
  </si>
  <si>
    <t xml:space="preserve"> Removal of growth of saliva gland with release of facial nerve</t>
  </si>
  <si>
    <t xml:space="preserve"> Removal of growth of saliva gland or saliva gland with release of facial nerve</t>
  </si>
  <si>
    <t xml:space="preserve"> Removal of growth of saliva gland or saliva gland, and facial nerve</t>
  </si>
  <si>
    <t xml:space="preserve"> Removal of saliva gland under floor of mouth</t>
  </si>
  <si>
    <t xml:space="preserve"> Removal of saliva gland under tongue</t>
  </si>
  <si>
    <t xml:space="preserve"> Simple repair of salivary duct</t>
  </si>
  <si>
    <t xml:space="preserve"> Complicated plastic repair of salivary duct</t>
  </si>
  <si>
    <t xml:space="preserve"> Creation of new drainage tracts of major saliva gland ducts on both sides of mouth</t>
  </si>
  <si>
    <t xml:space="preserve"> Creation of new drainage tracts of major saliva gland ducts on both sides of mouth with removal of salivary glands below both sides of jaw</t>
  </si>
  <si>
    <t xml:space="preserve"> Creation of new drainage tracts of major saliva gland ducts on both sides of mouth with tying of saliva gland ducts below both sides of jaw</t>
  </si>
  <si>
    <t xml:space="preserve"> Injection of contrast for imaging of saliva glands</t>
  </si>
  <si>
    <t xml:space="preserve"> Closure of abnormal drainage tract of saliva gland</t>
  </si>
  <si>
    <t xml:space="preserve"> Insertion of probe to widen saliva gland duct</t>
  </si>
  <si>
    <t xml:space="preserve"> Dilation of saliva gland duct and insertion of tube</t>
  </si>
  <si>
    <t xml:space="preserve"> Tying of saliva gland duct</t>
  </si>
  <si>
    <t xml:space="preserve"> Other procedure on saliva gland or duct</t>
  </si>
  <si>
    <t xml:space="preserve"> Drainage of abscess near tonsil</t>
  </si>
  <si>
    <t xml:space="preserve"> Drainage of abscess of throat from inside mouth</t>
  </si>
  <si>
    <t xml:space="preserve"> Drainage of abscess of throat from outside mouth</t>
  </si>
  <si>
    <t xml:space="preserve"> Biopsy of back of throat</t>
  </si>
  <si>
    <t xml:space="preserve"> Simple biopsy of growth of throat behind nose</t>
  </si>
  <si>
    <t xml:space="preserve"> Complex biopsy of growth of throat behind nose</t>
  </si>
  <si>
    <t xml:space="preserve"> Removal or destruction of growth of throat</t>
  </si>
  <si>
    <t xml:space="preserve"> Removal of foreign body in throat</t>
  </si>
  <si>
    <t xml:space="preserve"> Removal of congenital skin and tissue cyst of neck</t>
  </si>
  <si>
    <t xml:space="preserve"> Removal of congenital cyst or abnormal drainage tract of neck and/or throat</t>
  </si>
  <si>
    <t xml:space="preserve"> Removal of tonsils and adenoid glands (younger than 12 years)</t>
  </si>
  <si>
    <t xml:space="preserve"> Removal of tonsils and adenoid glands (12 years or older)</t>
  </si>
  <si>
    <t xml:space="preserve"> Removal of tonsils (younger than 12 years)</t>
  </si>
  <si>
    <t xml:space="preserve"> Removal of tonsils (12 years or older)</t>
  </si>
  <si>
    <t xml:space="preserve"> Primary removal of adenoids (younger than 12 years)</t>
  </si>
  <si>
    <t xml:space="preserve"> Primary removal of adenoids (12 years or older)</t>
  </si>
  <si>
    <t xml:space="preserve"> Secondary removal of adenoids (younger than 12 years)</t>
  </si>
  <si>
    <t xml:space="preserve"> Secondary removal of adenoids (12 years or older)</t>
  </si>
  <si>
    <t xml:space="preserve"> Extensive removal of tonsils, tissue, muscle, and bone</t>
  </si>
  <si>
    <t xml:space="preserve"> Extensive removal of tonsils, tissue, muscle, and bone with local tissue graft</t>
  </si>
  <si>
    <t xml:space="preserve"> Removal of remaining tonsil tissue</t>
  </si>
  <si>
    <t xml:space="preserve"> Removal or destruction of growth of tongue lymph node</t>
  </si>
  <si>
    <t xml:space="preserve"> Partial removal of throat</t>
  </si>
  <si>
    <t xml:space="preserve"> Partial removal of wall of throat with suture repair</t>
  </si>
  <si>
    <t xml:space="preserve"> Suture of wound or injury in throat</t>
  </si>
  <si>
    <t xml:space="preserve"> Plastic or reconstructive repair of throat</t>
  </si>
  <si>
    <t xml:space="preserve"> Creation of opening to throat for feeding</t>
  </si>
  <si>
    <t xml:space="preserve"> Simple control of bleeding of throat</t>
  </si>
  <si>
    <t xml:space="preserve"> Complicated control of bleeding of throat</t>
  </si>
  <si>
    <t xml:space="preserve"> Simple control of bleeding of throat with insertion of packing</t>
  </si>
  <si>
    <t xml:space="preserve"> Complicated control of bleeding of throat with insertion of packing</t>
  </si>
  <si>
    <t xml:space="preserve"> Evaluation of sleep-disordered breathing by examination of upper airway using an endoscope</t>
  </si>
  <si>
    <t xml:space="preserve"> Removal of foreign body in esophagus through neck</t>
  </si>
  <si>
    <t xml:space="preserve"> Incision of muscle at upper esophagus</t>
  </si>
  <si>
    <t xml:space="preserve"> Removal of defect in wall of esophagus through neck</t>
  </si>
  <si>
    <t xml:space="preserve"> Removal of defect in wall of esophagus using a rigid endoscope</t>
  </si>
  <si>
    <t xml:space="preserve"> Diagnostic exam of esophagus using an endoscope</t>
  </si>
  <si>
    <t xml:space="preserve"> Injection into esophagus using an endoscope</t>
  </si>
  <si>
    <t xml:space="preserve"> Biopsy of esophagus using a rigid endoscope</t>
  </si>
  <si>
    <t xml:space="preserve"> Removal of foreign bodies from esophagus using a rigid endoscope</t>
  </si>
  <si>
    <t xml:space="preserve"> Balloon dilation of esophagus using a rigid endoscope, less than 3.0 cm</t>
  </si>
  <si>
    <t xml:space="preserve"> Insertion of wire and dilation of esophagus using an endoscope</t>
  </si>
  <si>
    <t xml:space="preserve"> Diagnostic exam of esophagus using a flexible endoscope through nose</t>
  </si>
  <si>
    <t xml:space="preserve"> Biopsy of esophagus using a flexible endoscope through nose</t>
  </si>
  <si>
    <t xml:space="preserve"> Diagnostic exam of esophagus using a flexible endoscope through mouth</t>
  </si>
  <si>
    <t xml:space="preserve"> Injection into esophagus using a flexible endoscope</t>
  </si>
  <si>
    <t xml:space="preserve"> Biopsy of esophagus using a flexible endoscope through mouth</t>
  </si>
  <si>
    <t xml:space="preserve"> Injection of swollen vein of esophagus using a flexible endoscope</t>
  </si>
  <si>
    <t xml:space="preserve"> Tying of dilated veins of esophagus with bands using a flexible endoscope</t>
  </si>
  <si>
    <t xml:space="preserve"> Microscopic exam of esophagus using a flexible endoscope</t>
  </si>
  <si>
    <t xml:space="preserve"> Repair of muscle at esophagus and stomach using a flexible endoscope</t>
  </si>
  <si>
    <t xml:space="preserve"> Removal of tissue lining of esophagus using a flexible endoscope</t>
  </si>
  <si>
    <t xml:space="preserve"> Placement of stent in esophagus using a flexible endoscope</t>
  </si>
  <si>
    <t xml:space="preserve"> Dilation of esophagus using a flexible endoscope</t>
  </si>
  <si>
    <t xml:space="preserve"> Balloon dilation of esophagus using a flexible endoscope, 3.0 cm or more</t>
  </si>
  <si>
    <t xml:space="preserve"> Removal of foreign bodies in esophagus using a flexible endoscope</t>
  </si>
  <si>
    <t xml:space="preserve"> Removal of polyps or growths of esophagus using a flexible endoscope with electrical cautery</t>
  </si>
  <si>
    <t xml:space="preserve"> Removal of polyps or growths of esophagus using a flexible endoscope with mechanical snare</t>
  </si>
  <si>
    <t xml:space="preserve"> Balloon dilation of esophagus using a flexible endoscope, less than 3.0 cm</t>
  </si>
  <si>
    <t xml:space="preserve"> Dilation of esophagus with insertion of guide wire using a flexible endoscope</t>
  </si>
  <si>
    <t xml:space="preserve"> Control of bleeding in esophagus using a flexible endoscope</t>
  </si>
  <si>
    <t xml:space="preserve"> Destruction of polyp or growth of esophagus using a flexible endoscope</t>
  </si>
  <si>
    <t xml:space="preserve"> Ultrasound exam of esophagus using a flexible endoscope</t>
  </si>
  <si>
    <t xml:space="preserve"> Ultrasound guided fine needle aspiration or biopsy of esophagus using a flexible endoscope</t>
  </si>
  <si>
    <t xml:space="preserve"> Balloon dilation of esophagus, stomach, and/or upper small bowel using a flexible endoscope, 3.0 cm or more</t>
  </si>
  <si>
    <t xml:space="preserve"> Diagnostic exam of esophagus, stomach, and/or upper small bowel using a flexible endoscope</t>
  </si>
  <si>
    <t xml:space="preserve"> Injection of esophagus, stomach, and/or upper small bowel using a flexible endoscope</t>
  </si>
  <si>
    <t xml:space="preserve"> Ultrasound exam of esophagus, stomach, and/or upper small bowel using a flexible endoscope through mouth</t>
  </si>
  <si>
    <t xml:space="preserve"> Ultrasound guided needle aspiration or biopsy of esophagus using a flexible endoscope</t>
  </si>
  <si>
    <t xml:space="preserve"> Biopsy of esophagus, stomach, and/or upper small bowel using a flexible endoscope</t>
  </si>
  <si>
    <t xml:space="preserve"> Drainage of fluid collection of esophagus, stomach, and/or upper small bowel using a flexible endoscope</t>
  </si>
  <si>
    <t xml:space="preserve"> Insertion of tube or tube in esophagus, stomach, and/or upper small bowel using a flexible endoscope</t>
  </si>
  <si>
    <t xml:space="preserve"> Ultrasound guided needle aspiration or biopsy of esophagus, stomach, and/or upper small bowel using a flexible endoscope</t>
  </si>
  <si>
    <t xml:space="preserve"> Injection of dilated vein of stomach and/or esophagus using a flexible endoscope</t>
  </si>
  <si>
    <t xml:space="preserve"> Tying of dilated veins of stomach and/or esophagus using a flexible endoscope</t>
  </si>
  <si>
    <t xml:space="preserve"> Dilation of stomach outlet using a flexible endoscope</t>
  </si>
  <si>
    <t xml:space="preserve"> Insertion of stomach tube using a flexible endoscope</t>
  </si>
  <si>
    <t xml:space="preserve"> Removal of foreign bodies of esophagus, stomach, and/or upper small bowel using a flexible endoscope</t>
  </si>
  <si>
    <t xml:space="preserve"> Insertion of guide wire with dilation of esophagus using a flexible endoscope</t>
  </si>
  <si>
    <t xml:space="preserve"> Balloon dilation of esophagus, stomach, and/or upper small bowel using a flexible endoscope, less than 3.0 cm</t>
  </si>
  <si>
    <t xml:space="preserve"> Removal of polyps or growths of esophagus, stomach, and/or upper small bowel using a flexible endoscope with electrical cautery</t>
  </si>
  <si>
    <t xml:space="preserve"> Removal of polyps or growths of esophagus, stomach, and/or upper small bowel using an endoscope with mechanical snare</t>
  </si>
  <si>
    <t xml:space="preserve"> Microscopic exam of esophagus, stomach, and/or upper small bowel using a flexible endoscope</t>
  </si>
  <si>
    <t xml:space="preserve"> Injection of diagnostic or therapeutic substance or marker in esophagus, stomach, and/or upper small bowel using a flexible endoscope</t>
  </si>
  <si>
    <t xml:space="preserve"> Removal of tissue lining of esophagus, stomach, and/or upper small bowel using a flexible endoscope</t>
  </si>
  <si>
    <t xml:space="preserve"> Control of bleeding of esophagus, stomach, and/or upper small bowel using a flexible endoscope</t>
  </si>
  <si>
    <t xml:space="preserve"> Heat delivery to muscle at esophagus and/or stomach to treat gastric reflux using a flexible endoscope</t>
  </si>
  <si>
    <t xml:space="preserve"> Ultrasound exam of esophagus, stomach, and/or upper small bowel using a flexible endoscope</t>
  </si>
  <si>
    <t xml:space="preserve"> Diagnostic exam of gallbladder and pancreatic, liver, and bile ducts using an endoscope</t>
  </si>
  <si>
    <t xml:space="preserve"> Biopsy of gallbladder, pancreatic, liver, and bile ducts using a flexible endoscope</t>
  </si>
  <si>
    <t xml:space="preserve"> Incision of pancreatic outlet using a flexible endoscope</t>
  </si>
  <si>
    <t xml:space="preserve"> Pressure measurement of pancreatic or bile duct sphincter using a flexible endoscope</t>
  </si>
  <si>
    <t xml:space="preserve"> Removal of stone or debris from bile or pancreatic duct using a flexible endoscope</t>
  </si>
  <si>
    <t xml:space="preserve"> Destruction of stone of bile or pancreatic duct using a flexible endoscope</t>
  </si>
  <si>
    <t xml:space="preserve"> Placement of stent in esophagus, stomach, and/or upper small bowel using a flexible endoscope</t>
  </si>
  <si>
    <t xml:space="preserve"> Destruction of polyp or growth of esophagus, stomach, and/or upper small bowel using a flexible endoscope</t>
  </si>
  <si>
    <t xml:space="preserve"> Exam of common bile and/or pancreatic duct using a flexible endoscope</t>
  </si>
  <si>
    <t xml:space="preserve"> Insertion of stent into pancreatic or bile duct using a flexible endoscope</t>
  </si>
  <si>
    <t xml:space="preserve"> Removal of stent from pancreatic or bile duct using a flexible endoscope</t>
  </si>
  <si>
    <t xml:space="preserve"> Replacement of stent in pancreatic or bile duct using a flexible endoscope</t>
  </si>
  <si>
    <t xml:space="preserve"> Balloon dilation of pancreatic or bile duct or sphincter using a flexible endoscope</t>
  </si>
  <si>
    <t xml:space="preserve"> Destruction of polyp or growth of gallbladder and/or bile duct using a flexible endoscope</t>
  </si>
  <si>
    <t xml:space="preserve"> Strengthening of muscle between esophagus and stomach by wrapping part of stomach around esophagus using an endoscope</t>
  </si>
  <si>
    <t xml:space="preserve"> Repair of hernia of muscle at esophagus and stomach using an endoscope</t>
  </si>
  <si>
    <t xml:space="preserve"> Repair of hernia of muscle at esophagus and stomach with implantation of mesh using an endoscope</t>
  </si>
  <si>
    <t xml:space="preserve"> Insertion of magnetic band around base of esophagus to tighten opening into stomach using an endoscope</t>
  </si>
  <si>
    <t xml:space="preserve"> Removal of magnetic band from base of esophagus using an endoscope</t>
  </si>
  <si>
    <t xml:space="preserve"> Other procedure on esophagus using an endoscope</t>
  </si>
  <si>
    <t xml:space="preserve"> Placement of balloon in stomach for weight loss using flexible endoscope</t>
  </si>
  <si>
    <t xml:space="preserve"> Removal of balloon in stomach for weight loss using flexible endoscope</t>
  </si>
  <si>
    <t xml:space="preserve"> Repair of abnormal drainage tract of esophagus through neck</t>
  </si>
  <si>
    <t xml:space="preserve"> Dilation of esophagus</t>
  </si>
  <si>
    <t xml:space="preserve"> Dilation of esophagus with a guide wire</t>
  </si>
  <si>
    <t xml:space="preserve"> Insertion of permanent stomach tube with dilation of esophagus</t>
  </si>
  <si>
    <t xml:space="preserve"> Incision of vagus nerve in stomach using an endoscope</t>
  </si>
  <si>
    <t xml:space="preserve"> Incision of selective vagus nerves of stomach using an endoscope</t>
  </si>
  <si>
    <t xml:space="preserve"> Creation of surgical opening from stomach to skin using an endoscope</t>
  </si>
  <si>
    <t xml:space="preserve"> Other procedure on stomach using an endoscope</t>
  </si>
  <si>
    <t xml:space="preserve"> Insertion of stomach tube through nose or mouth using fluoroscopic guidance</t>
  </si>
  <si>
    <t xml:space="preserve"> Insertion of stomach tube and aspiration of stomach contents</t>
  </si>
  <si>
    <t xml:space="preserve"> Diagnostic insertion of stomach tube and aspiration of stomach contents</t>
  </si>
  <si>
    <t xml:space="preserve"> Diagnostic insertion of stomach tube and aspiration of stomach contents after administration of drugs to stimulate stomach secretions, with multiple samples</t>
  </si>
  <si>
    <t xml:space="preserve"> Diagnostic insertion of tube into upper small bowel and specimen collection using imaging guidance</t>
  </si>
  <si>
    <t xml:space="preserve"> Insertion of tube into upper small bowel for collection of multiple bile and pancreatic specimens using imaging guidance after administration of drugs to stimulate secretions</t>
  </si>
  <si>
    <t xml:space="preserve"> Repositioning of oral or nasal feeding tube in small bowel</t>
  </si>
  <si>
    <t xml:space="preserve"> Replacement of stomach stoma tube</t>
  </si>
  <si>
    <t xml:space="preserve"> Replacement of stomach stoma tube with revision of stoma opening</t>
  </si>
  <si>
    <t xml:space="preserve"> Insertion of adjustable stomach reduction device using an endoscope</t>
  </si>
  <si>
    <t xml:space="preserve"> Removal of stomach reduction device using an endoscope</t>
  </si>
  <si>
    <t xml:space="preserve"> Replacement of stomach reduction device using an endoscope</t>
  </si>
  <si>
    <t xml:space="preserve"> Removal of stomach reduction device and port using an endoscope</t>
  </si>
  <si>
    <t xml:space="preserve"> Insertion of stomach feeding tube</t>
  </si>
  <si>
    <t xml:space="preserve"> Insertion of stomach feeding tube, newborn</t>
  </si>
  <si>
    <t xml:space="preserve"> Closure of surgically created opening from stomach to skin</t>
  </si>
  <si>
    <t xml:space="preserve"> Revision of port for saline injection into stomach banding device</t>
  </si>
  <si>
    <t xml:space="preserve"> Removal of port for saline injection into stomach banding device</t>
  </si>
  <si>
    <t xml:space="preserve"> Replacement of port for saline injection into stomach banding device</t>
  </si>
  <si>
    <t xml:space="preserve"> Biopsy of small bowel by capsule attached to tube passed through mouth</t>
  </si>
  <si>
    <t xml:space="preserve"> Partial removal of large bowel and reattachment to rectum</t>
  </si>
  <si>
    <t xml:space="preserve"> Release of small bowel scar tissue using an endoscope</t>
  </si>
  <si>
    <t xml:space="preserve"> Creation of opening from small bowel to skin with insertion of a tube for decompression or feeding using an endoscope</t>
  </si>
  <si>
    <t xml:space="preserve"> Creation of opening from small bowel to skin</t>
  </si>
  <si>
    <t xml:space="preserve"> Simple revision of superficial scar tissue from surgically created opening of small bowel to skin</t>
  </si>
  <si>
    <t xml:space="preserve"> Simple revision of superficial scar tissue from surgically created opening of large bowel to skin</t>
  </si>
  <si>
    <t xml:space="preserve"> Diagnostic exam of small bowel (excluding lower small intestine) using an endoscope</t>
  </si>
  <si>
    <t xml:space="preserve"> Biopsy of small bowel (except ileum) using an endoscope</t>
  </si>
  <si>
    <t xml:space="preserve"> Removal of foreign bodies from small bowel using an endoscope</t>
  </si>
  <si>
    <t xml:space="preserve"> Removal of small bowel polyps or growths using an endoscope with mechanical snare</t>
  </si>
  <si>
    <t xml:space="preserve"> Removal of small bowel polyps or growths using an endoscope with electrical cautery</t>
  </si>
  <si>
    <t xml:space="preserve"> Control of bleeding of first or second part of small bowel using an endoscope</t>
  </si>
  <si>
    <t xml:space="preserve"> Destruction of polyp or growth of small bowel using an endoscope</t>
  </si>
  <si>
    <t xml:space="preserve"> Insertion of small bowel stent above lower small bowel using an endoscope</t>
  </si>
  <si>
    <t xml:space="preserve"> Insertion of tube into middle small bowel using an endoscope</t>
  </si>
  <si>
    <t xml:space="preserve"> Conversion of stomach tube to tube in middle small bowel using an endoscope</t>
  </si>
  <si>
    <t xml:space="preserve"> Diagnostic exam of small bowel (including lower small intestine) using an endoscope</t>
  </si>
  <si>
    <t xml:space="preserve"> Biopsy of small bowel using an endoscope</t>
  </si>
  <si>
    <t xml:space="preserve"> Control of bleeding of small bowel using an endoscope</t>
  </si>
  <si>
    <t xml:space="preserve"> Insertion of small bowel stent below lower small bowel using an endoscope</t>
  </si>
  <si>
    <t xml:space="preserve"> Diagnostic exam of small bowel using an endoscope inserted through surgically created opening from small bowel to skin</t>
  </si>
  <si>
    <t xml:space="preserve"> Balloon dilation of small bowel using an endoscope</t>
  </si>
  <si>
    <t xml:space="preserve"> Biopsy of small bowel using an endoscope inserted through surgically created opening from lower small bowel to skin</t>
  </si>
  <si>
    <t xml:space="preserve"> Insertion of stent into small bowel using an endoscope inserted through surgically created opening from small bowel to skin</t>
  </si>
  <si>
    <t xml:space="preserve"> Diagnostic exam of surgically created pouch of small bowel using an endoscope</t>
  </si>
  <si>
    <t xml:space="preserve"> Biopsy of small bowel pouch using an endoscope</t>
  </si>
  <si>
    <t xml:space="preserve"> Diagnostic exam of large bowel using an endoscope inserted through surgically created opening from large bowel to skin</t>
  </si>
  <si>
    <t xml:space="preserve"> Biopsy of large bowel using an endoscope inserted through surgically created opening from large bowel to skin</t>
  </si>
  <si>
    <t xml:space="preserve"> Removal of foreign bodies from large bowel using an endoscope inserted through surgically created opening from large bowel to skin</t>
  </si>
  <si>
    <t xml:space="preserve"> Control of bleeding of large bowel using an endoscope inserted through surgically created opening from large bowel to skin</t>
  </si>
  <si>
    <t xml:space="preserve"> Removal of growths or polyps of large bowel by electrical cautery using an endoscope inserted through surgically created opening from large bowel to skin</t>
  </si>
  <si>
    <t xml:space="preserve"> Removal of growths or polyps of large bowel by mechanical snare using an endoscope inserted through surgically created opening into large bowel to skin</t>
  </si>
  <si>
    <t xml:space="preserve"> Destruction of growth or polyp of large bowel using an endoscope inserted through surgically created opening from large bowel to skin</t>
  </si>
  <si>
    <t xml:space="preserve"> Insertion of stent into large bowel using an endoscope inserted through surgically created opening from large bowel to skin</t>
  </si>
  <si>
    <t xml:space="preserve"> Removal of lining of large bowel using an endoscope inserted through surgically created opening from large bowel to skin</t>
  </si>
  <si>
    <t xml:space="preserve"> Injection beneath lining of large bowel using an endoscope inserted through surgically created opening from large bowel to skin</t>
  </si>
  <si>
    <t xml:space="preserve"> Balloon dilation of large bowel using an endoscope</t>
  </si>
  <si>
    <t xml:space="preserve"> Ultrasound exam of large bowel using an endoscope inserted through surgically created opening from large bowel to skin</t>
  </si>
  <si>
    <t xml:space="preserve"> Fine needle aspiration and/or biopsy of large bowel with ultrasound guidance using an endoscope inserted through surgically created opening from large bowel to skin</t>
  </si>
  <si>
    <t xml:space="preserve"> Decompression of large bowel using an endoscope inserted through surgically created opening in large bowel to skin</t>
  </si>
  <si>
    <t xml:space="preserve"> Dilation of stomach and/or small bowel using long gastrointestinal tube</t>
  </si>
  <si>
    <t xml:space="preserve"> Suture of tear of hole in small bowel</t>
  </si>
  <si>
    <t xml:space="preserve"> Irrigation of large bowel during surgery</t>
  </si>
  <si>
    <t xml:space="preserve"> Removal of appendix</t>
  </si>
  <si>
    <t xml:space="preserve"> Removal of appendix during other major procedure</t>
  </si>
  <si>
    <t xml:space="preserve"> Removal of appendix using an endoscope</t>
  </si>
  <si>
    <t xml:space="preserve"> Drainage of abscess of pelvic region</t>
  </si>
  <si>
    <t xml:space="preserve"> Drainage of superficial rectal abscess</t>
  </si>
  <si>
    <t xml:space="preserve"> Incision and drainage of abscess above pelvic floor or behind rectum</t>
  </si>
  <si>
    <t xml:space="preserve"> Biopsy of anal and/or rectal wall through anus</t>
  </si>
  <si>
    <t xml:space="preserve"> Removal of muscle in anus and rectum area</t>
  </si>
  <si>
    <t xml:space="preserve"> Incision of stricture of rectum</t>
  </si>
  <si>
    <t xml:space="preserve"> Removal of growth of rectum through sacrum</t>
  </si>
  <si>
    <t xml:space="preserve"> Removal of growth of rectum through anus</t>
  </si>
  <si>
    <t xml:space="preserve"> Removal of growth of rectum through anus with removal of a portion of muscle</t>
  </si>
  <si>
    <t xml:space="preserve"> Destruction of growth of rectum</t>
  </si>
  <si>
    <t xml:space="preserve"> Diagnostic exam of rectum and lower large bowel using an endoscope</t>
  </si>
  <si>
    <t xml:space="preserve"> Dilation of rectum and/or lower large bowel using an endoscope</t>
  </si>
  <si>
    <t xml:space="preserve"> Biopsies of rectum and/or lower large bowel using a rigid endoscope</t>
  </si>
  <si>
    <t xml:space="preserve"> Removal of foreign bodies from rectum and/or lower large bowel using a rigid endoscope</t>
  </si>
  <si>
    <t xml:space="preserve"> Removal of polyp or growth of rectum and large bowel using an endoscope with electrical cautery</t>
  </si>
  <si>
    <t xml:space="preserve"> Removal of polyp or growth of rectum and large bowel using an endoscope with mechanical snare</t>
  </si>
  <si>
    <t xml:space="preserve"> Removal of multiple growths or polyps of lower large bowel by electrical cautery or mechanical snare using a rigid endoscope</t>
  </si>
  <si>
    <t xml:space="preserve"> Control of bleeding of lower large bowel using an endoscope</t>
  </si>
  <si>
    <t xml:space="preserve"> Destruction of multiple polyps or growths of lower large bowel using an endoscope</t>
  </si>
  <si>
    <t xml:space="preserve"> Release of twisted lower large bowel using a rigid endoscope</t>
  </si>
  <si>
    <t xml:space="preserve"> Insertion of stent into lower large bowel using an endoscope</t>
  </si>
  <si>
    <t xml:space="preserve"> Diagnostic exam of lower portion of large bowel using a flexible endoscope</t>
  </si>
  <si>
    <t xml:space="preserve"> Biopsy of lower large bowel using a flexible endoscope</t>
  </si>
  <si>
    <t xml:space="preserve"> Removal of foreign bodies in lower portion of large bowel using a flexible endoscope</t>
  </si>
  <si>
    <t xml:space="preserve"> Removal of polyps or growths of lower large bowel using a flexible endoscope with electrical cautery</t>
  </si>
  <si>
    <t xml:space="preserve"> Control of bleeding of lower large bowel using a flexible endoscope</t>
  </si>
  <si>
    <t xml:space="preserve"> Injection beneath lining of lower large bowel using a flexible endoscope</t>
  </si>
  <si>
    <t xml:space="preserve"> Decompression of twisted or abnormally dilated lower large bowel using a flexible endoscope</t>
  </si>
  <si>
    <t xml:space="preserve"> Removal of polyps or growths of lower large bowel using a flexible endoscope with mechanical snare</t>
  </si>
  <si>
    <t xml:space="preserve"> Balloon dilation of lower large bowel using a flexible endoscope</t>
  </si>
  <si>
    <t xml:space="preserve"> Ultrasound exam of lower large bowel using a flexible endoscope</t>
  </si>
  <si>
    <t xml:space="preserve"> Fine needle aspiration and/or biopsy of lower large bowel with ultrasound guidance using a flexible endoscope</t>
  </si>
  <si>
    <t xml:space="preserve"> Destruction of polyp or growth of lower large bowel using a flexible endoscope</t>
  </si>
  <si>
    <t xml:space="preserve"> Insertion of stent into lower large bowel using a flexible endoscope</t>
  </si>
  <si>
    <t xml:space="preserve"> Removal of lower portion of large bowel tissue using a flexible endoscope</t>
  </si>
  <si>
    <t xml:space="preserve"> Banding of hemorrhoids using a flexible endoscope (sigmoidoscope)</t>
  </si>
  <si>
    <t xml:space="preserve"> Diagnostic exam of large bowel using a flexible endoscope</t>
  </si>
  <si>
    <t xml:space="preserve"> Removal of foreign bodies in large bowel using a flexible endoscope</t>
  </si>
  <si>
    <t xml:space="preserve"> Biopsy of large bowel using a flexible endoscope</t>
  </si>
  <si>
    <t xml:space="preserve"> Injection beneath lining of large bowel using a flexible endoscope</t>
  </si>
  <si>
    <t xml:space="preserve"> Control of bleeding of upper large bowel using a flexible endoscope</t>
  </si>
  <si>
    <t xml:space="preserve"> Removal of polyps or growths of large bowel using a flexible endoscope with electrical cautery</t>
  </si>
  <si>
    <t xml:space="preserve"> Removal of polyps or growths of large bowel using an endoscope with mechanical snare</t>
  </si>
  <si>
    <t xml:space="preserve"> Balloon dilation of large bowel using a flexible endoscope</t>
  </si>
  <si>
    <t xml:space="preserve"> Destruction of polyp or growth of large bowel using a flexible endoscope</t>
  </si>
  <si>
    <t xml:space="preserve"> Insertion of stent in large bowel using a flexible endoscope</t>
  </si>
  <si>
    <t xml:space="preserve"> Removal of large bowel tissue using a flexible endoscope</t>
  </si>
  <si>
    <t xml:space="preserve"> Ultrasound exam of large bowel using a flexible endoscope</t>
  </si>
  <si>
    <t xml:space="preserve"> Fine needle aspiration and/or biopsy of large bowel with ultrasound guidance using a flexible endoscope</t>
  </si>
  <si>
    <t xml:space="preserve"> Decompression of twisted or abnormally dilated large bowel using a flexible endoscope</t>
  </si>
  <si>
    <t xml:space="preserve"> Banding of hemorrhoids using a flexible endoscope (colonoscope)</t>
  </si>
  <si>
    <t xml:space="preserve"> Repair of narrowed rectum</t>
  </si>
  <si>
    <t xml:space="preserve"> Repair of prolapsed lining of rectum through anus</t>
  </si>
  <si>
    <t xml:space="preserve"> Injection of prolapsed vein in rectum</t>
  </si>
  <si>
    <t xml:space="preserve"> Suture of rectum to sacrum through perineum</t>
  </si>
  <si>
    <t xml:space="preserve"> Repair of bulging of rectum into vagina</t>
  </si>
  <si>
    <t xml:space="preserve"> Manual replacement of prolapsed rectum under anesthesia</t>
  </si>
  <si>
    <t xml:space="preserve"> Dilation of sphincter of anus under anesthesia</t>
  </si>
  <si>
    <t xml:space="preserve"> Dilation of narrowing of rectum under anesthesia</t>
  </si>
  <si>
    <t xml:space="preserve"> Removal of impacted stool or foreign body in rectum under anesthesia</t>
  </si>
  <si>
    <t xml:space="preserve"> Diagnostic exam of anus and rectum under anesthesia</t>
  </si>
  <si>
    <t xml:space="preserve"> Other procedure on rectum</t>
  </si>
  <si>
    <t xml:space="preserve"> Insertion of drain (seton) into anus</t>
  </si>
  <si>
    <t xml:space="preserve"> Removal of drain (seton) from anus</t>
  </si>
  <si>
    <t xml:space="preserve"> Drainage of deep abscess in rectum</t>
  </si>
  <si>
    <t xml:space="preserve"> Incision and drainage of abscess within wall of rectum under anesthesia</t>
  </si>
  <si>
    <t xml:space="preserve"> Drainage of superficial rectal abscess surrounding anus</t>
  </si>
  <si>
    <t xml:space="preserve"> Incision and drainage of abscess in wall of rectum or between rectum and muscle with incision or removal of abnormal drainage tract</t>
  </si>
  <si>
    <t xml:space="preserve"> Incision of tissue blocking rectum, infant</t>
  </si>
  <si>
    <t xml:space="preserve"> Incision of sphincter of anus</t>
  </si>
  <si>
    <t xml:space="preserve"> Incision of external hemorrhoid with blood clot</t>
  </si>
  <si>
    <t xml:space="preserve"> Removal of chronic tear of anus</t>
  </si>
  <si>
    <t xml:space="preserve"> Removal of single external noncancer growth of anus</t>
  </si>
  <si>
    <t xml:space="preserve"> Removal of external hemorrhoids by rubber banding</t>
  </si>
  <si>
    <t xml:space="preserve"> Removal of multiple external noncancer growths of anus</t>
  </si>
  <si>
    <t xml:space="preserve"> Removal of multiple external hemorrhoids</t>
  </si>
  <si>
    <t xml:space="preserve"> Removal of single external and internal hemorrhoid group</t>
  </si>
  <si>
    <t xml:space="preserve"> Removal of single external and internal hemorrhoid group and chronic tear in anus</t>
  </si>
  <si>
    <t xml:space="preserve"> Removal of single external and internal hemorrhoid group with removal of abnormal drainage tract in anus</t>
  </si>
  <si>
    <t xml:space="preserve"> Removal of multiple hemorrhoid groups</t>
  </si>
  <si>
    <t xml:space="preserve"> Removal of multiple hemorrhoid groups and chronic tear in anus</t>
  </si>
  <si>
    <t xml:space="preserve"> Removal of multiple hemorrhoid groups with removal of abnormal drainage tract from anus</t>
  </si>
  <si>
    <t xml:space="preserve"> Repair of abnormal anal drainage tract</t>
  </si>
  <si>
    <t xml:space="preserve"> Repair of abnormal drainage tract in anal sphincter</t>
  </si>
  <si>
    <t xml:space="preserve"> Repair of abnormal drainage tract around anal sphincter</t>
  </si>
  <si>
    <t xml:space="preserve"> second stage repair of abnormal anal drainage tract</t>
  </si>
  <si>
    <t xml:space="preserve"> Repair of abnormal anal drainage tract with rectal tissue flap</t>
  </si>
  <si>
    <t xml:space="preserve"> Removal of external hemorrhoid with blood clot</t>
  </si>
  <si>
    <t xml:space="preserve"> Injection of hemorrhoid</t>
  </si>
  <si>
    <t xml:space="preserve"> Injection of agent to destroy nerve to internal sphincter of anus</t>
  </si>
  <si>
    <t xml:space="preserve"> Diagnostic exam of anus using an endoscope</t>
  </si>
  <si>
    <t xml:space="preserve"> Diagnostic exam of anus with magnification and chemical agent enhancement using an endoscope</t>
  </si>
  <si>
    <t xml:space="preserve"> Dilation of anus using an endoscope</t>
  </si>
  <si>
    <t xml:space="preserve"> Biopsy of anus using an endoscope</t>
  </si>
  <si>
    <t xml:space="preserve"> Biopsy of anus with magnification and chemical agent enhancement using an endoscope</t>
  </si>
  <si>
    <t xml:space="preserve"> Removal of foreign body in anus using an endoscope</t>
  </si>
  <si>
    <t xml:space="preserve"> Removal of anal polyps or growths using an endoscope with electrical cautery</t>
  </si>
  <si>
    <t xml:space="preserve"> Removal of single anal polyp or growth using an endoscope with mechanical snare</t>
  </si>
  <si>
    <t xml:space="preserve"> Removal of multiple anal polyps or growths using an endoscope with electrical cautery or mechanical snare</t>
  </si>
  <si>
    <t xml:space="preserve"> Control of bleeding of anus using an endoscope</t>
  </si>
  <si>
    <t xml:space="preserve"> Destruction of anal polyp or growth using an endoscope</t>
  </si>
  <si>
    <t xml:space="preserve"> Plastic repair of anal stricture, adult</t>
  </si>
  <si>
    <t xml:space="preserve"> Repair of abnormal anal drainage tract with tissue glue</t>
  </si>
  <si>
    <t xml:space="preserve"> Repair of abnormal anal drainage tract with implanted plug</t>
  </si>
  <si>
    <t xml:space="preserve"> Repair of anal muscle for incontinence or prolapse, adult</t>
  </si>
  <si>
    <t xml:space="preserve"> Repair of muscle of anus for incontinence and/or prolapse using wire, graft, or suture</t>
  </si>
  <si>
    <t xml:space="preserve"> Removal of anal muscle wire or suture</t>
  </si>
  <si>
    <t xml:space="preserve"> Repair of anal muscle to correct incontinence using muscle transplant, adult</t>
  </si>
  <si>
    <t xml:space="preserve"> Repair of anal muscle to correct incontinence with muscle tightening, adult</t>
  </si>
  <si>
    <t xml:space="preserve"> Simple chemical destruction of growth of anus</t>
  </si>
  <si>
    <t xml:space="preserve"> Simple destruction of growth of anus</t>
  </si>
  <si>
    <t xml:space="preserve"> Electrical destruction of growth of anus</t>
  </si>
  <si>
    <t xml:space="preserve"> Laser destruction of growth of anus</t>
  </si>
  <si>
    <t xml:space="preserve"> Simple removal of growth of anus</t>
  </si>
  <si>
    <t xml:space="preserve"> Extensive destruction of growth of anus</t>
  </si>
  <si>
    <t xml:space="preserve"> Destruction of internal hemorrhoids using heat</t>
  </si>
  <si>
    <t xml:space="preserve"> Initial repair of anal tear with dilation of anal muscle</t>
  </si>
  <si>
    <t xml:space="preserve"> Subsequent repair of anal tear with dilation of anal muscle</t>
  </si>
  <si>
    <t xml:space="preserve"> Tying of single internal hemorrhoid group</t>
  </si>
  <si>
    <t xml:space="preserve"> Tying of multiple internal hemorrhoid groups</t>
  </si>
  <si>
    <t xml:space="preserve"> Stapling of internal hemorrhoid</t>
  </si>
  <si>
    <t xml:space="preserve"> Tying of arteries to multiple internal hemorrhoid groups</t>
  </si>
  <si>
    <t xml:space="preserve"> Other procedure on anus</t>
  </si>
  <si>
    <t xml:space="preserve"> Needle biopsy of liver through skin</t>
  </si>
  <si>
    <t xml:space="preserve"> Needle biopsy of liver</t>
  </si>
  <si>
    <t xml:space="preserve"> Partial removal of liver tissue</t>
  </si>
  <si>
    <t xml:space="preserve"> Other procedure on liver using an endoscope</t>
  </si>
  <si>
    <t xml:space="preserve"> Destruction of growth of liver through skin using radiofrequency</t>
  </si>
  <si>
    <t xml:space="preserve"> Destruction of growth of liver through skin using freezing</t>
  </si>
  <si>
    <t xml:space="preserve"> Insertion of tube into gallbladder using imaging guidance with review by radiologist</t>
  </si>
  <si>
    <t xml:space="preserve"> Injection of bile duct for X-ray through already existing skin access using imaging guidance with review by radiologist</t>
  </si>
  <si>
    <t xml:space="preserve"> Injection of bile duct for X-ray through new skin access using imaging guidance with review by radiologist</t>
  </si>
  <si>
    <t xml:space="preserve"> Placement of external drainage tube of biliary duct using imaging guidance with review by radiologist</t>
  </si>
  <si>
    <t xml:space="preserve"> Placement of internal-external drainage tube of biliary duct using imaging guidance with review by radiologist</t>
  </si>
  <si>
    <t xml:space="preserve"> Conversion of external biliary drainage tube to internal-external biliary drainage tube using imaging guidance and study of bile duct with review by radiologist</t>
  </si>
  <si>
    <t xml:space="preserve"> Replacement of liver duct drainage tube using imaging guidance with review by radiologist</t>
  </si>
  <si>
    <t xml:space="preserve"> Removal of biliary drainage tube using imaging guidance with review by radiologist</t>
  </si>
  <si>
    <t xml:space="preserve"> Placement of stent of biliary duct through existing skin access using imaging guidance with review by radiologist</t>
  </si>
  <si>
    <t xml:space="preserve"> Placement of stent of biliary duct through new skin access using imaging with review by radiologist</t>
  </si>
  <si>
    <t xml:space="preserve"> Placement of stent and drainage tube of biliary duct using imaging guidance with review by radiologist</t>
  </si>
  <si>
    <t xml:space="preserve"> Placement of access device into biliary tract using imaging guidance with review by radiologist</t>
  </si>
  <si>
    <t xml:space="preserve"> Balloon dilation of bile duct using imaging guidance with review by radiologist</t>
  </si>
  <si>
    <t xml:space="preserve"> Biopsy of bile duct or liver duct using imaging guidance with review by radiologist</t>
  </si>
  <si>
    <t xml:space="preserve"> Removal of biliary duct or gallbladder stone using imaging guidance with review by radiologist</t>
  </si>
  <si>
    <t xml:space="preserve"> Diagnostic exam of bile duct using an endoscope</t>
  </si>
  <si>
    <t xml:space="preserve"> Biopsy of bile duct using an endoscope</t>
  </si>
  <si>
    <t xml:space="preserve"> Removal of bile duct stones using an endoscope</t>
  </si>
  <si>
    <t xml:space="preserve"> Dilation of bile ducts using an endoscope</t>
  </si>
  <si>
    <t xml:space="preserve"> Dilation of bile ducts with stent insertion using an endoscope</t>
  </si>
  <si>
    <t xml:space="preserve"> Removal of gallbladder using an endoscope</t>
  </si>
  <si>
    <t xml:space="preserve"> Removal of gallbladder with X-ray study of bile ducts using an endoscope</t>
  </si>
  <si>
    <t xml:space="preserve"> Removal of gallbladder with exploration of common bile duct using an endoscope</t>
  </si>
  <si>
    <t xml:space="preserve"> Other procedure on bile duct using an endoscope</t>
  </si>
  <si>
    <t xml:space="preserve"> Removal of gallbladder</t>
  </si>
  <si>
    <t xml:space="preserve"> Removal of gallbladder with X-ray study of bile ducts</t>
  </si>
  <si>
    <t xml:space="preserve"> Needle biopsy of pancreas</t>
  </si>
  <si>
    <t xml:space="preserve"> Removal of pancreas with pancreatic cell transplantation</t>
  </si>
  <si>
    <t xml:space="preserve"> Reopening of recent abdominal incision</t>
  </si>
  <si>
    <t xml:space="preserve"> Drainage of fluid from abdominal cavity</t>
  </si>
  <si>
    <t xml:space="preserve"> Drainage of fluid from abdominal cavity using imaging guidance</t>
  </si>
  <si>
    <t xml:space="preserve"> Irrigation of abdominal cavity</t>
  </si>
  <si>
    <t xml:space="preserve"> Needle biopsy of growth of abdominal cavity</t>
  </si>
  <si>
    <t xml:space="preserve"> Removal of navel and surrounding tissue</t>
  </si>
  <si>
    <t xml:space="preserve"> Diagnostic exam of abdomen using an endoscope</t>
  </si>
  <si>
    <t xml:space="preserve"> Biopsy of abdomen using an endoscope</t>
  </si>
  <si>
    <t xml:space="preserve"> Aspiration of abdominal cavity or cyst using an endoscope</t>
  </si>
  <si>
    <t xml:space="preserve"> Drainage of lymph fluid to abdominal cavity using an endoscope</t>
  </si>
  <si>
    <t xml:space="preserve"> Insertion of abdominal cavity tube using an endoscope</t>
  </si>
  <si>
    <t xml:space="preserve"> Revision of abdominal cavity tube using an endoscope</t>
  </si>
  <si>
    <t xml:space="preserve"> Suture of internal abdominal lining using an endoscope</t>
  </si>
  <si>
    <t xml:space="preserve"> Exam of abdomen with insertion of device for radiation therapy using an endoscope</t>
  </si>
  <si>
    <t xml:space="preserve"> Other procedure on abdomen using an endoscope</t>
  </si>
  <si>
    <t xml:space="preserve"> Injection of air or X-ray contrast into abdominal cavity</t>
  </si>
  <si>
    <t xml:space="preserve"> Removal of foreign body in abdominal cavity</t>
  </si>
  <si>
    <t xml:space="preserve"> Drainage of fluid collection of abdominal cavity by tube using imaging guidance</t>
  </si>
  <si>
    <t xml:space="preserve"> Drainage of fluid collection by tube through vagina or rectum using imaging guidance</t>
  </si>
  <si>
    <t xml:space="preserve"> Insertion of device in abdominal cavity through skin for radiation therapy guidance</t>
  </si>
  <si>
    <t xml:space="preserve"> Insertion of abdominal tube using imaging guidance with review by radiologist</t>
  </si>
  <si>
    <t xml:space="preserve"> Insertion of abdominal cavity tube for drug delivery</t>
  </si>
  <si>
    <t xml:space="preserve"> Insertion of abdominal cavity tube for drainage or dialysis</t>
  </si>
  <si>
    <t xml:space="preserve"> Removal of abdominal cavity tube</t>
  </si>
  <si>
    <t xml:space="preserve"> Exchange of abdominal cavity drainage tube using imaging guidance</t>
  </si>
  <si>
    <t xml:space="preserve"> Injection of contrast through abdominal cavity tube for X-ray study</t>
  </si>
  <si>
    <t xml:space="preserve"> Revision of shunt from jugular vein to abdominal cavity</t>
  </si>
  <si>
    <t xml:space="preserve"> Injection for X-ray study of shunt from jugular vein to abdominal cavity</t>
  </si>
  <si>
    <t xml:space="preserve"> Removal of shunt from jugular vein to abdominal cavity</t>
  </si>
  <si>
    <t xml:space="preserve"> Insertion of abdominal cavity tube extension</t>
  </si>
  <si>
    <t xml:space="preserve"> Creation of exit site for tube in abdominal cavity</t>
  </si>
  <si>
    <t xml:space="preserve"> Insertion of stomach tube using fluoroscopic guidance with contrast</t>
  </si>
  <si>
    <t xml:space="preserve"> Insertion of small bowel tube using fluoroscopic guidance with contrast</t>
  </si>
  <si>
    <t xml:space="preserve"> Insertion of large bowel tube using fluoroscopic guidance with contrast</t>
  </si>
  <si>
    <t xml:space="preserve"> Conversion of stomach tube to stomach-to-small bowel tube using fluoroscopic guidance with contrast</t>
  </si>
  <si>
    <t xml:space="preserve"> Replacement of stomach or large bowel tube using fluoroscopic guidance with contrast</t>
  </si>
  <si>
    <t xml:space="preserve"> Replacement of small bowel tube using fluoroscopic guidance with contrast</t>
  </si>
  <si>
    <t xml:space="preserve"> Replacement of stomach-to-small bowel tube using fluoroscopic guidance with contrast</t>
  </si>
  <si>
    <t xml:space="preserve"> Mechanical removal of obstructive material from stomach, large, or small bowel tube using fluoroscopic guidance</t>
  </si>
  <si>
    <t xml:space="preserve"> Contrast injection for X-ray imaging through existing tube in stomach, small bowel or large bowel</t>
  </si>
  <si>
    <t xml:space="preserve"> Repair of groin hernia in full term infant younger than 6 months or preterm infant older than 50 weeks of age postconception and younger than 6 months at time of surgery</t>
  </si>
  <si>
    <t xml:space="preserve"> Repair of trapped groin hernia in full term infant younger than 6 months or preterm infant older than 50 weeks postconception and younger than 6 months at time of surgery</t>
  </si>
  <si>
    <t xml:space="preserve"> Repair of groin hernia (6 months to younger than 5 years)</t>
  </si>
  <si>
    <t xml:space="preserve"> Repair of trapped groin hernia (6 months to younger than 5 years)</t>
  </si>
  <si>
    <t xml:space="preserve"> Repair of groin hernia (5 years or older)</t>
  </si>
  <si>
    <t xml:space="preserve"> Repair of trapped groin hernia (5 years or older)</t>
  </si>
  <si>
    <t xml:space="preserve"> Repair of groin hernia that is not trapped</t>
  </si>
  <si>
    <t xml:space="preserve"> Repair of trapped or strangulated groin hernia</t>
  </si>
  <si>
    <t xml:space="preserve"> Repair of sliding groin hernia</t>
  </si>
  <si>
    <t xml:space="preserve"> Repair of abdominal muscle hernia</t>
  </si>
  <si>
    <t xml:space="preserve"> Repair of femoral groin hernia</t>
  </si>
  <si>
    <t xml:space="preserve"> Repair of trapped femoral groin hernia</t>
  </si>
  <si>
    <t xml:space="preserve"> Repair of recurrent femoral groin hernia</t>
  </si>
  <si>
    <t xml:space="preserve"> Repair of trapped recurrent femoral groin hernia</t>
  </si>
  <si>
    <t xml:space="preserve"> Initial repair of sliding hernia of abdomen, less than 3 cm in length</t>
  </si>
  <si>
    <t xml:space="preserve"> Initial repair of entrapped hernia of abdomen, less than 3 cm in length</t>
  </si>
  <si>
    <t xml:space="preserve"> Initial repair of sliding hernia of abdomen, 3-10 cm in length</t>
  </si>
  <si>
    <t xml:space="preserve"> Initial repair of entrapped hernia of abdomen, 3-10 cm in length</t>
  </si>
  <si>
    <t xml:space="preserve"> Initial repair of sliding hernia of abdomen, more than 10 cm in length</t>
  </si>
  <si>
    <t xml:space="preserve"> Repair of small defect of abdominal wall at navel</t>
  </si>
  <si>
    <t xml:space="preserve"> Repair of recurrent sliding hernia of abdomen, less than 3 cm in length</t>
  </si>
  <si>
    <t xml:space="preserve"> Repair of recurrent entrapped hernia of abdomen, less than 3 cm in length</t>
  </si>
  <si>
    <t xml:space="preserve"> Repair of recurrent sliding hernia of abdomen, 3-10 cm in length</t>
  </si>
  <si>
    <t xml:space="preserve"> Repair of groin hernia using an endoscope</t>
  </si>
  <si>
    <t xml:space="preserve"> Repair of recurrent groin hernia using an endoscope</t>
  </si>
  <si>
    <t xml:space="preserve"> Drainage of abscess of kidney</t>
  </si>
  <si>
    <t xml:space="preserve"> Simple surgical treatment of kidney stone with imaging guidance</t>
  </si>
  <si>
    <t xml:space="preserve"> Complex surgical treatment of kidney stone with imaging guidance</t>
  </si>
  <si>
    <t xml:space="preserve"> Needle biopsy of kidney</t>
  </si>
  <si>
    <t xml:space="preserve"> Removal and replacement of stent in ureter with review by radiologist</t>
  </si>
  <si>
    <t xml:space="preserve"> Removal of stent in ureter through skin with review by radiologist</t>
  </si>
  <si>
    <t xml:space="preserve"> Removal and replacement of stent in ureter through urethra with review by radiologist</t>
  </si>
  <si>
    <t xml:space="preserve"> Removal of stent in ureter through ureter with review by radiologist</t>
  </si>
  <si>
    <t xml:space="preserve"> Removal and replacement of stent in kidney and ureter using fluoroscopic guidance with review by radiologist</t>
  </si>
  <si>
    <t xml:space="preserve"> Removal of kidney drainage tube using fluoroscopic guidance</t>
  </si>
  <si>
    <t xml:space="preserve"> Aspiration and/or injection of cyst of kidney</t>
  </si>
  <si>
    <t xml:space="preserve"> Instillation of drug into kidney and/or ureter</t>
  </si>
  <si>
    <t xml:space="preserve"> Measurement of urine flow in kidneys and ureters</t>
  </si>
  <si>
    <t xml:space="preserve"> Injection procedure for imaging of kidney and ureter through new skin access using imaging guidance with review by radiologist</t>
  </si>
  <si>
    <t xml:space="preserve"> Injection procedure for imaging of kidney and ureter through already existing skin access using imaging guidance with review by radiologist</t>
  </si>
  <si>
    <t xml:space="preserve"> Placement of tube of kidney using imaging guidance with review by radiologist</t>
  </si>
  <si>
    <t xml:space="preserve"> Placement of tube of kidney and urinary tube through new skin access using imaging guidance with review by radiologist</t>
  </si>
  <si>
    <t xml:space="preserve"> Conversion of kidney tube to nephroureteral tube using imaging guidance and study of kidney and ureter with review by radiologist</t>
  </si>
  <si>
    <t xml:space="preserve"> Replacement of kidney drainage tube using imaging guidance with review by radiologist</t>
  </si>
  <si>
    <t xml:space="preserve"> Dilation of existing opening into urinary tract using imaging guidance</t>
  </si>
  <si>
    <t xml:space="preserve"> Dilation of existing opening into urinary tract and creation of new access into urine collecting system of kidney using imaging guidance</t>
  </si>
  <si>
    <t xml:space="preserve"> Destruction of cyst of kidney using an endoscope</t>
  </si>
  <si>
    <t xml:space="preserve"> Repair of kidney using an endoscope</t>
  </si>
  <si>
    <t xml:space="preserve"> Exam of kidney using an endoscope inserted through surgically created opening from kidney to skin</t>
  </si>
  <si>
    <t xml:space="preserve"> Insertion of tube into ureter using an endoscope inserted through surgically created opening from kidney to skin</t>
  </si>
  <si>
    <t xml:space="preserve"> Biopsy of kidney using an endoscope inserted through surgically created opening from kidney to skin</t>
  </si>
  <si>
    <t xml:space="preserve"> Destruction and/or removal of growth of kidney using an endoscope inserted through surgically created opening from kidney to skin</t>
  </si>
  <si>
    <t xml:space="preserve"> Removal of foreign body or stone in kidney using an endoscope inserted through surgically created opening from kidney to skin</t>
  </si>
  <si>
    <t xml:space="preserve"> Removal of growth of kidney using an endoscope inserted through surgically created opening from kidney to skin</t>
  </si>
  <si>
    <t xml:space="preserve"> Exam of kidney using an endoscope</t>
  </si>
  <si>
    <t xml:space="preserve"> Insertion of tube into ureter using an endoscope through upper kidney area</t>
  </si>
  <si>
    <t xml:space="preserve"> Biopsy of kidney using an endoscope</t>
  </si>
  <si>
    <t xml:space="preserve"> Dilation and ureter stent insertion using an endoscope</t>
  </si>
  <si>
    <t xml:space="preserve"> Destruction and/or removal of growth of kidney using an endoscope</t>
  </si>
  <si>
    <t xml:space="preserve"> Removal of foreign body or stone in kidney using an endoscope</t>
  </si>
  <si>
    <t xml:space="preserve"> Shock wave crushing of kidney stones</t>
  </si>
  <si>
    <t xml:space="preserve"> Destruction of growth of kidney using radiofrequency</t>
  </si>
  <si>
    <t xml:space="preserve"> Destruction of growth of kidney by freezing</t>
  </si>
  <si>
    <t xml:space="preserve"> Biopsy of ureter and/or renal pelvis using imaging guidance with review by radiologist</t>
  </si>
  <si>
    <t xml:space="preserve"> Injection of ureter for imaging</t>
  </si>
  <si>
    <t xml:space="preserve"> Measurement of urine flow in ureter</t>
  </si>
  <si>
    <t xml:space="preserve"> Change of tube or stent in ureter</t>
  </si>
  <si>
    <t xml:space="preserve"> Injection of bladder and ureter for imaging</t>
  </si>
  <si>
    <t xml:space="preserve"> Placement of stent of ureter through existing skin access using imaging guidance with review by radiologist</t>
  </si>
  <si>
    <t xml:space="preserve"> Placement of stent of ureter through new skin access using imaging guidance with review by radiologist</t>
  </si>
  <si>
    <t xml:space="preserve"> Placement of stent of ureter and separate tube in kidney through new skin access using imaging guidance with review by radiologist</t>
  </si>
  <si>
    <t xml:space="preserve"> Blocking of ureter using imaging guidance with review by radiologist</t>
  </si>
  <si>
    <t xml:space="preserve"> Balloon dilation treatment of stricture of ureter using imaging guidance with review by radiologist</t>
  </si>
  <si>
    <t xml:space="preserve"> Revision of opening from urinary tract to skin</t>
  </si>
  <si>
    <t xml:space="preserve"> Removal of stone from ureter using an endoscope</t>
  </si>
  <si>
    <t xml:space="preserve"> Repositioning of ureter and insertion of stent using an endoscope</t>
  </si>
  <si>
    <t xml:space="preserve"> Repositioning of ureter using an endoscope</t>
  </si>
  <si>
    <t xml:space="preserve"> Exam of kidney and ureter using an endoscope inserted through an already created ureter opening</t>
  </si>
  <si>
    <t xml:space="preserve"> Insertion of tube into ureter using an endoscope inserted through an already created opening in ureter</t>
  </si>
  <si>
    <t xml:space="preserve"> Biopsy of kidney or ureter using an endoscope inserted through an already created opening in ureter</t>
  </si>
  <si>
    <t xml:space="preserve"> Destruction and/or removal of growth of kidney or ureter using an endoscope inserted through an already created opening in ureter</t>
  </si>
  <si>
    <t xml:space="preserve"> Removal of foreign body or stone in kidney or ureter using an endoscope inserted through an already created opening in ureter</t>
  </si>
  <si>
    <t xml:space="preserve"> Exam of kidney and ureter using an endoscope</t>
  </si>
  <si>
    <t xml:space="preserve"> Insertion of tube into ureter using an endoscope</t>
  </si>
  <si>
    <t xml:space="preserve"> Biopsy of kidney or ureter using an endoscope</t>
  </si>
  <si>
    <t xml:space="preserve"> Destruction and/or removal of growth of kidney or ureter using an endoscope</t>
  </si>
  <si>
    <t xml:space="preserve"> Removal of foreign body or stone in kidney or ureter using an endoscope</t>
  </si>
  <si>
    <t xml:space="preserve"> Incision of bladder with destruction of growth and/or insertion of radioactive material</t>
  </si>
  <si>
    <t xml:space="preserve"> Incision of bladder with destruction of growth of bladder</t>
  </si>
  <si>
    <t xml:space="preserve"> Incision of bladder with drainage</t>
  </si>
  <si>
    <t xml:space="preserve"> Incision of bladder with insertion of tube or stent in ureter</t>
  </si>
  <si>
    <t xml:space="preserve"> Incision of bladder with removal of bladder stone</t>
  </si>
  <si>
    <t xml:space="preserve"> Incision of bladder with removal of stone in ureter</t>
  </si>
  <si>
    <t xml:space="preserve"> Incision of bladder with basket removal and/or ultrasonic crushing of stone in ureter</t>
  </si>
  <si>
    <t xml:space="preserve"> Drainage of abscess of bladder</t>
  </si>
  <si>
    <t xml:space="preserve"> Needle aspiration of bladder</t>
  </si>
  <si>
    <t xml:space="preserve"> Aspiration of bladder using tube or trocar</t>
  </si>
  <si>
    <t xml:space="preserve"> Aspiration of bladder with insertion of bladder tube to skin</t>
  </si>
  <si>
    <t xml:space="preserve"> Repair of congenital defect of bladder</t>
  </si>
  <si>
    <t xml:space="preserve"> Simple removal of bladder neck</t>
  </si>
  <si>
    <t xml:space="preserve"> Incision, removal, or repair of abnormal drainage tract from bladder into bowel</t>
  </si>
  <si>
    <t xml:space="preserve"> Injection procedure for imaging of bladder during voiding</t>
  </si>
  <si>
    <t xml:space="preserve"> Injection procedure for imaging of bladder and urethra and placement of X-ray marker</t>
  </si>
  <si>
    <t xml:space="preserve"> Injection procedure through bladder and urethra for X-ray imaging</t>
  </si>
  <si>
    <t xml:space="preserve"> Simple bladder irrigation and/or instillation</t>
  </si>
  <si>
    <t xml:space="preserve"> Insertion of temporary bladder tube</t>
  </si>
  <si>
    <t xml:space="preserve"> Simple insertion of temporary bladder tube</t>
  </si>
  <si>
    <t xml:space="preserve"> Complicated insertion of bladder tube</t>
  </si>
  <si>
    <t xml:space="preserve"> Simple change of bladder tube</t>
  </si>
  <si>
    <t xml:space="preserve"> Complicated change of bladder tube</t>
  </si>
  <si>
    <t xml:space="preserve"> Injection of implant material beneath lining of bladder and/or urethra using an endoscope</t>
  </si>
  <si>
    <t xml:space="preserve"> Instillation of anti-cancer drug into bladder</t>
  </si>
  <si>
    <t xml:space="preserve"> Simple measurement of pressure of urine flow in bladder</t>
  </si>
  <si>
    <t xml:space="preserve"> Complex measurement of pressure of urine flow in bladder</t>
  </si>
  <si>
    <t xml:space="preserve"> Complex measurement of pressure of urine flow in bladder with urethra pressure studies</t>
  </si>
  <si>
    <t xml:space="preserve"> Complex measurement of pressure of urine flow in bladder with voiding pressure studies</t>
  </si>
  <si>
    <t xml:space="preserve"> Complex measurement of pressure of urine flow in bladder with urethra pressure and voiding pressure studies</t>
  </si>
  <si>
    <t xml:space="preserve"> Simple timed assessment of bladder emptying</t>
  </si>
  <si>
    <t xml:space="preserve"> Electronic assessment of bladder emptying</t>
  </si>
  <si>
    <t xml:space="preserve"> Non-needle measurement and recording of electrical activity of muscles at bladder and bowel openings</t>
  </si>
  <si>
    <t xml:space="preserve"> Needle measurement and recording of electrical activity of muscles at bladder and bowel openings</t>
  </si>
  <si>
    <t xml:space="preserve"> Assessment of muscle signal of pelvic nerves</t>
  </si>
  <si>
    <t xml:space="preserve"> Insertion of device into abdomen with pressure and urine flow rate study</t>
  </si>
  <si>
    <t xml:space="preserve"> Ultrasound measurement of bladder capacity after voiding</t>
  </si>
  <si>
    <t xml:space="preserve"> Repair of bladder neck in female</t>
  </si>
  <si>
    <t xml:space="preserve"> Suture of simple wound, injury, or rupture of bladder</t>
  </si>
  <si>
    <t xml:space="preserve"> Closure of surgically created opening from bladder to skin</t>
  </si>
  <si>
    <t xml:space="preserve"> Suture suspension of urethra to control leakage using an endoscope</t>
  </si>
  <si>
    <t xml:space="preserve"> Creation of sling around urethra to control leakage using an endoscope</t>
  </si>
  <si>
    <t xml:space="preserve"> Diagnostic exam of bladder and urethra using an endoscope</t>
  </si>
  <si>
    <t xml:space="preserve"> Irrigation and removal of multiple blood clots from bladder and urethra using an endoscope</t>
  </si>
  <si>
    <t xml:space="preserve"> Insertion of tube into ureter using an endoscope through bladder area</t>
  </si>
  <si>
    <t xml:space="preserve"> Insertion of tube into ureter and biopsy of ureter and/or renal pelvis using an endoscope</t>
  </si>
  <si>
    <t xml:space="preserve"> Insertion of tube into sperm duct using an endoscope</t>
  </si>
  <si>
    <t xml:space="preserve"> Biopsy of bladder using an endoscope</t>
  </si>
  <si>
    <t xml:space="preserve"> Destruction of tissue of bladder, urethra, or surrounding glands using an endoscope</t>
  </si>
  <si>
    <t xml:space="preserve"> Destruction of growth of bladder and urethra using an endoscope, less than 0.5 cm</t>
  </si>
  <si>
    <t xml:space="preserve"> Destruction and/or removal of growth of bladder and urethra using an endoscope, 0.5-2.0 cm</t>
  </si>
  <si>
    <t xml:space="preserve"> Destruction and/or removal of growth of bladder and urethra using an endoscope, 2.0-5.0 cm</t>
  </si>
  <si>
    <t xml:space="preserve"> Destruction and/or removal of large growth of bladder using an endoscope</t>
  </si>
  <si>
    <t xml:space="preserve"> Insertion of radioactive substance of bladder and urethra using an endoscope</t>
  </si>
  <si>
    <t xml:space="preserve"> Dilation of bladder using an endoscope under general or spinal anesthesia</t>
  </si>
  <si>
    <t xml:space="preserve"> Dilation of bladder using an endoscope</t>
  </si>
  <si>
    <t xml:space="preserve"> Incision of urethra in female using an endoscope</t>
  </si>
  <si>
    <t xml:space="preserve"> Incision of urethra in male using an endoscope</t>
  </si>
  <si>
    <t xml:space="preserve"> Incision of urethra using an endoscope</t>
  </si>
  <si>
    <t xml:space="preserve"> Removal of muscles at urinary opening using an endoscope</t>
  </si>
  <si>
    <t xml:space="preserve"> Dilation of urethra using an endoscope</t>
  </si>
  <si>
    <t xml:space="preserve"> Insertion of a permanent urethra stent using an endoscope</t>
  </si>
  <si>
    <t xml:space="preserve"> Steroid injection into urethra stricture using an endoscope</t>
  </si>
  <si>
    <t xml:space="preserve"> Drug delivery using a drug-coated balloon for male treatment of urethral stricture using an endoscope</t>
  </si>
  <si>
    <t xml:space="preserve"> Exam of bladder and urethra for treatment of female urethral syndrome using an endoscope</t>
  </si>
  <si>
    <t xml:space="preserve"> Exam with injections of chemical for destruction of bladder using an endoscope</t>
  </si>
  <si>
    <t xml:space="preserve"> Incision of ureter using an endoscope</t>
  </si>
  <si>
    <t xml:space="preserve"> Removal or destruction of abnormal pouches of ureter at bladder using an endoscope</t>
  </si>
  <si>
    <t xml:space="preserve"> Removal or destruction of abnormal pouches of ureter at bladder, ectopic ureterocele, using an endoscope</t>
  </si>
  <si>
    <t xml:space="preserve"> Removal of bladder pouches using an endoscope</t>
  </si>
  <si>
    <t xml:space="preserve"> Simple removal of foreign body, stone, or stent in urethra or bladder using an endoscope</t>
  </si>
  <si>
    <t xml:space="preserve"> Complicated removal of foreign body, stone, or stent in urethra or bladder using an endoscope</t>
  </si>
  <si>
    <t xml:space="preserve"> Crushing, fragmenting, and removal of bladder stones, less than 2.5 cm</t>
  </si>
  <si>
    <t xml:space="preserve"> Crushing, fragmenting, and removal of bladder stones, more than 2.5 cm</t>
  </si>
  <si>
    <t xml:space="preserve"> Removal of stone in ureter using an endoscope</t>
  </si>
  <si>
    <t xml:space="preserve"> Fragmenting of stone in ureter using an endoscope</t>
  </si>
  <si>
    <t xml:space="preserve"> Injection of implant material in bladder using an endoscope</t>
  </si>
  <si>
    <t xml:space="preserve"> Manipulation of stone in ureter using an endoscope</t>
  </si>
  <si>
    <t xml:space="preserve"> Insertion of stent in ureter using an endoscope</t>
  </si>
  <si>
    <t xml:space="preserve"> Insertion of guide wire through kidney into ureter using an endoscope</t>
  </si>
  <si>
    <t xml:space="preserve"> Dilation of bladder and urethra using an endoscope</t>
  </si>
  <si>
    <t xml:space="preserve"> Repair of stricture at junction of kidney and ureter using an endoscope</t>
  </si>
  <si>
    <t xml:space="preserve"> Repair of stricture in kidney using an endoscope</t>
  </si>
  <si>
    <t xml:space="preserve"> Repair of stricture of ureter using an endoscope</t>
  </si>
  <si>
    <t xml:space="preserve"> Repair of stricture of upper attachment of ureter to kidney using an endoscope</t>
  </si>
  <si>
    <t xml:space="preserve"> Repair of stricture in kidney with exam of urinary tract using an endoscope</t>
  </si>
  <si>
    <t xml:space="preserve"> Diagnostic exam of bladder, urethra, and ureter or kidney using an endoscope</t>
  </si>
  <si>
    <t xml:space="preserve"> Removal or manipulation of stone in ureter or kidney using an endoscope</t>
  </si>
  <si>
    <t xml:space="preserve"> Crushing of stone of ureter using an endoscope</t>
  </si>
  <si>
    <t xml:space="preserve"> Biopsy and/or destruction of growth of ureter or kidney using an endoscope</t>
  </si>
  <si>
    <t xml:space="preserve"> Removal of growth of ureter or kidney using an endoscope</t>
  </si>
  <si>
    <t xml:space="preserve"> Crushing of stone of ureter with insertion of stent using an endoscope</t>
  </si>
  <si>
    <t xml:space="preserve"> Incision, destruction, or removal of congenital defects of bladder and urethra using an endoscope</t>
  </si>
  <si>
    <t xml:space="preserve"> Incision or removal of ejaculatory duct using an endoscope</t>
  </si>
  <si>
    <t xml:space="preserve"> Incision of prostate</t>
  </si>
  <si>
    <t xml:space="preserve"> Removal of bladder neck through urethra</t>
  </si>
  <si>
    <t xml:space="preserve"> Removal of prostate gland using an electrocautery knife through urethra with control of bleeding using an endoscope</t>
  </si>
  <si>
    <t xml:space="preserve"> Complete removal of remaining or regrown prostate tissue with control of bleeding using an endoscope</t>
  </si>
  <si>
    <t xml:space="preserve"> Removal of postsurgical tightening of bladder neck</t>
  </si>
  <si>
    <t xml:space="preserve"> Complete laser destruction of prostate including control of bleeding using an endoscope</t>
  </si>
  <si>
    <t xml:space="preserve"> Complete laser vaporization of prostate including control of bleeding using an endoscope</t>
  </si>
  <si>
    <t xml:space="preserve"> Complete laser fragmentation of prostate including control of bleeding using an endoscope</t>
  </si>
  <si>
    <t xml:space="preserve"> Drainage of prostate abscess</t>
  </si>
  <si>
    <t xml:space="preserve"> Incision or repair of urethra</t>
  </si>
  <si>
    <t xml:space="preserve"> Incision or repair of abnormal urethra</t>
  </si>
  <si>
    <t xml:space="preserve"> Incision of external urinary opening</t>
  </si>
  <si>
    <t xml:space="preserve"> Incision of external urinary opening, infant</t>
  </si>
  <si>
    <t xml:space="preserve"> Drainage of abscess around urethra</t>
  </si>
  <si>
    <t xml:space="preserve"> Drainage of abscess or cyst of Skene's glands</t>
  </si>
  <si>
    <t xml:space="preserve"> Uncomplicated drainage of abnormal urine collection</t>
  </si>
  <si>
    <t xml:space="preserve"> Complicated drainage of abnormal urine collection</t>
  </si>
  <si>
    <t xml:space="preserve"> Biopsy of urethra</t>
  </si>
  <si>
    <t xml:space="preserve"> Removal of bladder and urethra in female</t>
  </si>
  <si>
    <t xml:space="preserve"> Removal of bladder and urethra in male</t>
  </si>
  <si>
    <t xml:space="preserve"> Removal or destruction of cancer urethra</t>
  </si>
  <si>
    <t xml:space="preserve"> Removal of pouch of urethra in female</t>
  </si>
  <si>
    <t xml:space="preserve"> Removal of pouch of urethra in male</t>
  </si>
  <si>
    <t xml:space="preserve"> Repair of pouch of urethra</t>
  </si>
  <si>
    <t xml:space="preserve"> Removal of seminal fluid gland</t>
  </si>
  <si>
    <t xml:space="preserve"> Removal or destruction of polyps of urethra</t>
  </si>
  <si>
    <t xml:space="preserve"> Removal or destruction of growth of urethra</t>
  </si>
  <si>
    <t xml:space="preserve"> Removal or destruction of mucous glands of urethra</t>
  </si>
  <si>
    <t xml:space="preserve"> Removal or destruction of prolapse of urethra</t>
  </si>
  <si>
    <t xml:space="preserve"> Repair of abnormal drainage tract, pouch, or stricture of urethra, first stage</t>
  </si>
  <si>
    <t xml:space="preserve"> second stage repair of urethra with creation of new urethra</t>
  </si>
  <si>
    <t xml:space="preserve"> Reconstruction of urethra in male</t>
  </si>
  <si>
    <t xml:space="preserve"> Reconstruction or repair of urethra, stage 1 of 2</t>
  </si>
  <si>
    <t xml:space="preserve"> Reconstruction or repair of urethra, stage 2 of 2</t>
  </si>
  <si>
    <t xml:space="preserve"> Reconstruction of urethra in female</t>
  </si>
  <si>
    <t xml:space="preserve"> Repair of urethra and/or lower bladder for incontinence</t>
  </si>
  <si>
    <t xml:space="preserve"> Creation of sling around urethra in male to control leakage</t>
  </si>
  <si>
    <t xml:space="preserve"> Removal or revision of sling in male for urinary incontinence</t>
  </si>
  <si>
    <t xml:space="preserve"> Insertion of artificial urinary sphincter</t>
  </si>
  <si>
    <t xml:space="preserve"> Insertion of inflatable urethra or bladder neck sphincter</t>
  </si>
  <si>
    <t xml:space="preserve"> Removal of inflatable urethra or bladder neck sphincter</t>
  </si>
  <si>
    <t xml:space="preserve"> Removal and replacement of inflatable urethra or bladder neck sphincter</t>
  </si>
  <si>
    <t xml:space="preserve"> Repair of inflatable urethra or bladder neck sphincter</t>
  </si>
  <si>
    <t xml:space="preserve"> Repair of urethra and urinary opening</t>
  </si>
  <si>
    <t xml:space="preserve"> Insertion of adjustable balloon continence device on both sides of urethra using imaging guidance</t>
  </si>
  <si>
    <t xml:space="preserve"> Insertion of adjustable balloon continence device on one side of urethra using imaging guidance</t>
  </si>
  <si>
    <t xml:space="preserve"> Removal of adjustable balloon continence device from beside urethra</t>
  </si>
  <si>
    <t xml:space="preserve"> Adjustment of fluid volume in adjustable balloon continence device beside urethra</t>
  </si>
  <si>
    <t xml:space="preserve"> Repair and partial removal of urethra and urinary opening</t>
  </si>
  <si>
    <t xml:space="preserve"> Suture of wound or injury of urethra in female</t>
  </si>
  <si>
    <t xml:space="preserve"> Suture of wound or injury of urethra in penis</t>
  </si>
  <si>
    <t xml:space="preserve"> Suture of urethra wound or injury</t>
  </si>
  <si>
    <t xml:space="preserve"> Suture of wound or injury of urethra near prostate gland</t>
  </si>
  <si>
    <t xml:space="preserve"> Closure of abnormal drainage tract from urethra to skin in male</t>
  </si>
  <si>
    <t xml:space="preserve"> Initial dilation of urethra in male using dilator</t>
  </si>
  <si>
    <t xml:space="preserve"> Subsequent dilation of stricture of urethra in male by passage of dilator</t>
  </si>
  <si>
    <t xml:space="preserve"> Dilation of narrowing of urethra in male under general or spinal anesthesia</t>
  </si>
  <si>
    <t xml:space="preserve"> Initial dilation of urethra in male using filiform dilator</t>
  </si>
  <si>
    <t xml:space="preserve"> Subsequent dilation of urethral stricture in male by passage of filiform urethral dilator</t>
  </si>
  <si>
    <t xml:space="preserve"> Initial dilation of urethra in female</t>
  </si>
  <si>
    <t xml:space="preserve"> Subsequent dilation of urethra in female</t>
  </si>
  <si>
    <t xml:space="preserve"> Dilation of urethra in female under general or spinal anesthesia</t>
  </si>
  <si>
    <t xml:space="preserve"> Destruction of prostate tissue using microwave induced heat</t>
  </si>
  <si>
    <t xml:space="preserve"> Destruction of prostate tissue using radiofrequency induced heat</t>
  </si>
  <si>
    <t xml:space="preserve"> Destruction of prostate tissue using radiofrequency induced heated water vapor</t>
  </si>
  <si>
    <t xml:space="preserve"> Insertion of a temporary urethra stent using an endoscope</t>
  </si>
  <si>
    <t xml:space="preserve"> Reconstruction of female bladder neck for stress urinary incontinence using radiofrequency</t>
  </si>
  <si>
    <t xml:space="preserve"> Incision of newborn foreskin</t>
  </si>
  <si>
    <t xml:space="preserve"> Incision of foreskin</t>
  </si>
  <si>
    <t xml:space="preserve"> Incision and drainage of penis</t>
  </si>
  <si>
    <t xml:space="preserve"> Simple destruction of growths of penis using chemical</t>
  </si>
  <si>
    <t xml:space="preserve"> Simple destruction of growth of penis using electric current</t>
  </si>
  <si>
    <t xml:space="preserve"> Simple destruction of growth of penis using freezing</t>
  </si>
  <si>
    <t xml:space="preserve"> Simple destruction of growth of penis using laser</t>
  </si>
  <si>
    <t xml:space="preserve"> Removal of growth of penis</t>
  </si>
  <si>
    <t xml:space="preserve"> Destruction of multiple growths of penis</t>
  </si>
  <si>
    <t xml:space="preserve"> Biopsy of penis</t>
  </si>
  <si>
    <t xml:space="preserve"> Biopsy of deep structure of penis</t>
  </si>
  <si>
    <t xml:space="preserve"> Removal of thickened tissue of penis</t>
  </si>
  <si>
    <t xml:space="preserve"> Removal of abnormally thickened tissue in penis with graft, 5.0 cm or less</t>
  </si>
  <si>
    <t xml:space="preserve"> Removal of abnormally thickened tissue in penis with graft, more than 5.0 cm</t>
  </si>
  <si>
    <t xml:space="preserve"> Removal of foreign body in penis</t>
  </si>
  <si>
    <t xml:space="preserve"> Partial amputation of penis</t>
  </si>
  <si>
    <t xml:space="preserve"> Removal of foreskin using clamp or device</t>
  </si>
  <si>
    <t xml:space="preserve"> Removal of foreskin (28 days or younger)</t>
  </si>
  <si>
    <t xml:space="preserve"> Removal of foreskin (older than 28 days)</t>
  </si>
  <si>
    <t xml:space="preserve"> Removal of scar tissue after foreskin removal</t>
  </si>
  <si>
    <t xml:space="preserve"> Repair of incomplete removal of foreskin</t>
  </si>
  <si>
    <t xml:space="preserve"> Incision of membrane attaching foreskin and penis</t>
  </si>
  <si>
    <t xml:space="preserve"> Injection procedure to correct thickened penile tissue</t>
  </si>
  <si>
    <t xml:space="preserve"> Injection of drug into erectile tissue at sides and back of penis</t>
  </si>
  <si>
    <t xml:space="preserve"> Injection procedure for imaging of penile erection</t>
  </si>
  <si>
    <t xml:space="preserve"> Assessment of erectile dysfunction including injection of drugs into penis</t>
  </si>
  <si>
    <t xml:space="preserve"> Injection procedure to cause erection</t>
  </si>
  <si>
    <t xml:space="preserve"> Assessment of penile blood flow</t>
  </si>
  <si>
    <t xml:space="preserve"> Assessment of nighttime erection</t>
  </si>
  <si>
    <t xml:space="preserve"> Repair of curved penis</t>
  </si>
  <si>
    <t xml:space="preserve"> Repair of curved penis and urinary outlet</t>
  </si>
  <si>
    <t xml:space="preserve"> Repair of urinary outlet at underside of penis, less than 3.0 cm</t>
  </si>
  <si>
    <t xml:space="preserve"> Repair of urinary outlet at underside of penis, more than 3.0 cm</t>
  </si>
  <si>
    <t xml:space="preserve"> Repair of urinary outlet of penis with skin graft, stage 2 of 2</t>
  </si>
  <si>
    <t xml:space="preserve"> Repair of urinary outlet with release of penis from scrotum</t>
  </si>
  <si>
    <t xml:space="preserve"> Simple repair and relocation of urinary outlet at underside of penis</t>
  </si>
  <si>
    <t xml:space="preserve"> Repair of urinary outlet of penis with skin flap</t>
  </si>
  <si>
    <t xml:space="preserve"> Repair of urinary outlet at underside of penis with skin flap</t>
  </si>
  <si>
    <t xml:space="preserve"> Repair of urinary outlet at underside of head of penis with local skin flaps, skin graft patch, and/or island flap</t>
  </si>
  <si>
    <t xml:space="preserve"> Repair of urinary outlet at underside of base of penis with skin graft tube and/or island flap</t>
  </si>
  <si>
    <t xml:space="preserve"> Repair of urinary outlet between thighs in male with skin graft tube and/or island flap</t>
  </si>
  <si>
    <t xml:space="preserve"> Simple repair of urinary outlet complications at underside of penis</t>
  </si>
  <si>
    <t xml:space="preserve"> Repair of complication of urinary outlet of penis at underside of penis with mobilization of skin graft or flap</t>
  </si>
  <si>
    <t xml:space="preserve"> Extensive repair of urinary outlet at underside of penis with flap, patch or graft</t>
  </si>
  <si>
    <t xml:space="preserve"> Extensive revision of previous repair of urinary outlet at underside of penis with skin grafts and flaps</t>
  </si>
  <si>
    <t xml:space="preserve"> Surgery to correct abnormal penis angle</t>
  </si>
  <si>
    <t xml:space="preserve"> Repair of urinary outlet of penis</t>
  </si>
  <si>
    <t xml:space="preserve"> Repair of urinary outlet of penis with incontinence</t>
  </si>
  <si>
    <t xml:space="preserve"> Insertion of non-inflatable penile implant</t>
  </si>
  <si>
    <t xml:space="preserve"> Insertion of inflatable penile implant</t>
  </si>
  <si>
    <t xml:space="preserve"> Insertion of multicomponent inflatable penile implant</t>
  </si>
  <si>
    <t xml:space="preserve"> Removal of all components of inflatable penile implant</t>
  </si>
  <si>
    <t xml:space="preserve"> Repair of multicomponent inflatable penile implant</t>
  </si>
  <si>
    <t xml:space="preserve"> Removal and replacement of multicomponent inflatable penile implant during same surgery</t>
  </si>
  <si>
    <t xml:space="preserve"> Removal of inflatable or noninflatable penile implant</t>
  </si>
  <si>
    <t xml:space="preserve"> Removal and replacement of noninflatable penile implant</t>
  </si>
  <si>
    <t xml:space="preserve"> Creation of blood flow tract from penis to groin</t>
  </si>
  <si>
    <t xml:space="preserve"> Redirection of blood flow from penis with partial removal of tissue at head of penis</t>
  </si>
  <si>
    <t xml:space="preserve"> Repair of penis</t>
  </si>
  <si>
    <t xml:space="preserve"> Repair of injury of penis</t>
  </si>
  <si>
    <t xml:space="preserve"> Repositioning of foreskin including scar tissue removal</t>
  </si>
  <si>
    <t xml:space="preserve"> Needle biopsy of testicle</t>
  </si>
  <si>
    <t xml:space="preserve"> Incision of testicle for biopsy</t>
  </si>
  <si>
    <t xml:space="preserve"> Removal of growth of testicle</t>
  </si>
  <si>
    <t xml:space="preserve"> Simple removal of testicle</t>
  </si>
  <si>
    <t xml:space="preserve"> Partial removal of testicle</t>
  </si>
  <si>
    <t xml:space="preserve"> Removal of growth of testicle through groin</t>
  </si>
  <si>
    <t xml:space="preserve"> Removal of growth of testicle through abdomen</t>
  </si>
  <si>
    <t xml:space="preserve"> Exploration of spermatic veins and scrotum using an endoscope</t>
  </si>
  <si>
    <t xml:space="preserve"> Exploration for location of testicle in abdomen</t>
  </si>
  <si>
    <t xml:space="preserve"> Repair of twisted testicle</t>
  </si>
  <si>
    <t xml:space="preserve"> Suture of testicle to other testicle</t>
  </si>
  <si>
    <t xml:space="preserve"> Repositioning and suture of misplaced testicle</t>
  </si>
  <si>
    <t xml:space="preserve"> Repair of congenital malpositioned testicle</t>
  </si>
  <si>
    <t xml:space="preserve"> Insertion of testicular implant</t>
  </si>
  <si>
    <t xml:space="preserve"> Suture or repair of injury to testicle</t>
  </si>
  <si>
    <t xml:space="preserve"> Transplantation of testicles to thigh</t>
  </si>
  <si>
    <t xml:space="preserve"> Removal of testicles using an endoscope</t>
  </si>
  <si>
    <t xml:space="preserve"> Removal of congenital malpositioned testicle using an endoscope</t>
  </si>
  <si>
    <t xml:space="preserve"> Other procedure on testicle using an endoscope</t>
  </si>
  <si>
    <t xml:space="preserve"> Incision and drainage of sperm reservoir, testis, and/or scrotal area</t>
  </si>
  <si>
    <t xml:space="preserve"> Needle biopsy of sperm reservoir</t>
  </si>
  <si>
    <t xml:space="preserve"> Removal of growth of sperm duct</t>
  </si>
  <si>
    <t xml:space="preserve"> Removal of fluid accumulation in sperm reservoir</t>
  </si>
  <si>
    <t xml:space="preserve"> Removal of sperm reservoir</t>
  </si>
  <si>
    <t xml:space="preserve"> Removal of both sperm reservoirs</t>
  </si>
  <si>
    <t xml:space="preserve"> Search of sperm reservoir</t>
  </si>
  <si>
    <t xml:space="preserve"> Connection of sperm reservoir to sperm duct</t>
  </si>
  <si>
    <t xml:space="preserve"> Connection of both sperm reservoirs to sperm ducts</t>
  </si>
  <si>
    <t xml:space="preserve"> Aspiration of fluid collection in testicle and sperm reservoir</t>
  </si>
  <si>
    <t xml:space="preserve"> Removal of fluid collection in testicle and sperm reservoir</t>
  </si>
  <si>
    <t xml:space="preserve"> Removal of fluid collection in both testicles and sperm reservoirs</t>
  </si>
  <si>
    <t xml:space="preserve"> Repair of fluid collection in testicle and sperm reservoir</t>
  </si>
  <si>
    <t xml:space="preserve"> Drainage of abscess of scrotum</t>
  </si>
  <si>
    <t xml:space="preserve"> Search of scrotum</t>
  </si>
  <si>
    <t xml:space="preserve"> Removal of foreign body in scrotum</t>
  </si>
  <si>
    <t xml:space="preserve"> Removal of diseased or injured scrotum</t>
  </si>
  <si>
    <t xml:space="preserve"> Simple repair of scrotum</t>
  </si>
  <si>
    <t xml:space="preserve"> Complicated repair of scrotum</t>
  </si>
  <si>
    <t xml:space="preserve"> Incision of sperm duct</t>
  </si>
  <si>
    <t xml:space="preserve"> Removal of sperm duct</t>
  </si>
  <si>
    <t xml:space="preserve"> Incision of sperm duct for X-ray procedure</t>
  </si>
  <si>
    <t xml:space="preserve"> Incision or repair of sperm duct</t>
  </si>
  <si>
    <t xml:space="preserve"> Removal of fluid collection in sperm cord</t>
  </si>
  <si>
    <t xml:space="preserve"> Removal of growth of sperm cord</t>
  </si>
  <si>
    <t xml:space="preserve"> Removal of spermatic cord venous dilation or tying of spermatic veins</t>
  </si>
  <si>
    <t xml:space="preserve"> Removal of spermatic cord venous dilation or suturing of spermatic veins</t>
  </si>
  <si>
    <t xml:space="preserve"> Removal of spermatic cord venous dilation or suturing spermatic veins with hernia repair</t>
  </si>
  <si>
    <t xml:space="preserve"> Tying of sperm veins using an endoscope</t>
  </si>
  <si>
    <t xml:space="preserve"> Other procedure on sperm cord using an endoscope</t>
  </si>
  <si>
    <t xml:space="preserve"> Incision or puncture of fluid-producing gland for sperm movement</t>
  </si>
  <si>
    <t xml:space="preserve"> Removal of congenital remnant of fluid-producing glands for sperm movement</t>
  </si>
  <si>
    <t xml:space="preserve"> Biopsy of prostate gland</t>
  </si>
  <si>
    <t xml:space="preserve"> Incisional biopsy of prostate gland</t>
  </si>
  <si>
    <t xml:space="preserve"> Needle biopsy of prostate gland using image guidance</t>
  </si>
  <si>
    <t xml:space="preserve"> Simple incision and drainage of abscess of prostate</t>
  </si>
  <si>
    <t xml:space="preserve"> Complicated incision and drainage of abscess of prostate</t>
  </si>
  <si>
    <t xml:space="preserve"> Surgical opening of prostate for radiation therapy</t>
  </si>
  <si>
    <t xml:space="preserve"> Insertion of device to enhance semen discharge</t>
  </si>
  <si>
    <t xml:space="preserve"> Destruction of prostate using imaging guidance</t>
  </si>
  <si>
    <t xml:space="preserve"> Injection of biodegradable material next to prostate</t>
  </si>
  <si>
    <t xml:space="preserve"> Insertion of needle or tube into prostate for radiation therapy</t>
  </si>
  <si>
    <t xml:space="preserve"> Placement of device in prostate for radiation therapy</t>
  </si>
  <si>
    <t xml:space="preserve"> High-intensity ultrasound destruction of cancerous tissue in prostate gland, accessed through rectum using ultrasound guidance</t>
  </si>
  <si>
    <t xml:space="preserve"> Other procedure on male genital system</t>
  </si>
  <si>
    <t xml:space="preserve"> Insertion of needles or tubes into pelvic or genital organs for radiation therapy</t>
  </si>
  <si>
    <t xml:space="preserve"> Incision and drainage of abscess of external female genitals</t>
  </si>
  <si>
    <t xml:space="preserve"> Incision and drainage of abscess of female genital gland</t>
  </si>
  <si>
    <t xml:space="preserve"> Creation of drainage tract for gland cyst of female genitals</t>
  </si>
  <si>
    <t xml:space="preserve"> Removal of scar tissue of female genitals</t>
  </si>
  <si>
    <t xml:space="preserve"> Simple incision of hymen</t>
  </si>
  <si>
    <t xml:space="preserve"> Simple destruction of growth of external female genitals</t>
  </si>
  <si>
    <t xml:space="preserve"> Extensive destruction of growth of external female genitals</t>
  </si>
  <si>
    <t xml:space="preserve"> Biopsy of growth of external female genitals, first growth</t>
  </si>
  <si>
    <t xml:space="preserve"> Biopsy of growth of external female genitals, each additional growth</t>
  </si>
  <si>
    <t xml:space="preserve"> Simple partial removal of external female genitals</t>
  </si>
  <si>
    <t xml:space="preserve"> Removal of external female genitals</t>
  </si>
  <si>
    <t xml:space="preserve"> Partial removal of hymen</t>
  </si>
  <si>
    <t xml:space="preserve"> Removal of cyst of female genital gland</t>
  </si>
  <si>
    <t xml:space="preserve"> Plastic repair of vaginal opening</t>
  </si>
  <si>
    <t xml:space="preserve"> Reconstruction or creation of the external female sexual organ for intersex state</t>
  </si>
  <si>
    <t xml:space="preserve"> Repair of skin in area between anus and genitals</t>
  </si>
  <si>
    <t xml:space="preserve"> Exam of external female genitals using an endoscope</t>
  </si>
  <si>
    <t xml:space="preserve"> Exam and biopsy of external female genitals using an endoscope</t>
  </si>
  <si>
    <t xml:space="preserve"> Incision and exploration of vagina</t>
  </si>
  <si>
    <t xml:space="preserve"> Incision and drainage of abscess of pelvis</t>
  </si>
  <si>
    <t xml:space="preserve"> Removal of abdominal fluid</t>
  </si>
  <si>
    <t xml:space="preserve"> Incision and drainage of vaginal blood accumulation following delivery</t>
  </si>
  <si>
    <t xml:space="preserve"> Incision and drainage of vaginal blood accumulation</t>
  </si>
  <si>
    <t xml:space="preserve"> Simple destruction of growth of vagina</t>
  </si>
  <si>
    <t xml:space="preserve"> Extensive destruction of growth of vagina</t>
  </si>
  <si>
    <t xml:space="preserve"> Simple biopsy of vaginal mucous membrane</t>
  </si>
  <si>
    <t xml:space="preserve"> Biopsy of extensive area of vaginal mucous membrane</t>
  </si>
  <si>
    <t xml:space="preserve"> Partial removal of vaginal wall</t>
  </si>
  <si>
    <t xml:space="preserve"> Partial removal of vaginal wall and tissue</t>
  </si>
  <si>
    <t xml:space="preserve"> Partial removal of vaginal wall and tissue with removal of pelvic lymph nodes and biopsy of aortic lymph node</t>
  </si>
  <si>
    <t xml:space="preserve"> Suture closure of vagina and vaginal opening</t>
  </si>
  <si>
    <t xml:space="preserve"> Removal of abnormal tissue dividing vagina</t>
  </si>
  <si>
    <t xml:space="preserve"> Removal of cyst or growth of vaginal</t>
  </si>
  <si>
    <t xml:space="preserve"> Irrigation of vagina and/or application of drug to treat infection</t>
  </si>
  <si>
    <t xml:space="preserve"> Insertion of device into uterus for radiation therapy</t>
  </si>
  <si>
    <t xml:space="preserve"> Insertion of device into vagina for radiation therapy</t>
  </si>
  <si>
    <t xml:space="preserve"> Fitting and insertion of vaginal support device</t>
  </si>
  <si>
    <t xml:space="preserve"> Fitting and insertion of pregnancy prevention device</t>
  </si>
  <si>
    <t xml:space="preserve"> Insertion of drug agent or packing to control vaginal bleeding</t>
  </si>
  <si>
    <t xml:space="preserve"> Suture of nonobstetrical injury of vagina</t>
  </si>
  <si>
    <t xml:space="preserve"> Suture of injury of vagina and/or skin</t>
  </si>
  <si>
    <t xml:space="preserve"> Plastic repair of muscles at urinary opening through vagina</t>
  </si>
  <si>
    <t xml:space="preserve"> Plastic repair of urethra prolapse</t>
  </si>
  <si>
    <t xml:space="preserve"> Repair of bladder hernia into vaginal wall</t>
  </si>
  <si>
    <t xml:space="preserve"> Repair of herniated rectum into vaginal wall</t>
  </si>
  <si>
    <t xml:space="preserve"> Plastic repair of vagina and tissue separating vagina, rectum, and bladder</t>
  </si>
  <si>
    <t xml:space="preserve"> Repair of bulging of rectum and bladder into vaginal wall</t>
  </si>
  <si>
    <t xml:space="preserve"> Insertion of artificial material for pelvic floor defect</t>
  </si>
  <si>
    <t xml:space="preserve"> Repair of protrusion of intestine into rectum or vagina through vagina</t>
  </si>
  <si>
    <t xml:space="preserve"> Repair of pelvic ligaments through vagina</t>
  </si>
  <si>
    <t xml:space="preserve"> Repair of prolapsing vaginal vault through vagina</t>
  </si>
  <si>
    <t xml:space="preserve"> Repair of vaginal wall defect through abdomen</t>
  </si>
  <si>
    <t xml:space="preserve"> Repair of vaginal wall defect through vagina</t>
  </si>
  <si>
    <t xml:space="preserve"> Removal or revision of incontinence sling</t>
  </si>
  <si>
    <t xml:space="preserve"> Creation of sling around urethra in female to control leakage</t>
  </si>
  <si>
    <t xml:space="preserve"> Repair of prolapsed urinary canal and bladder into vaginal wall</t>
  </si>
  <si>
    <t xml:space="preserve"> Construction of artificial vagina</t>
  </si>
  <si>
    <t xml:space="preserve"> Construction of artificial vagina using tissue graft</t>
  </si>
  <si>
    <t xml:space="preserve"> Revision of prosthetic vaginal graft</t>
  </si>
  <si>
    <t xml:space="preserve"> Closure of abnormal drainage tract from rectum to vagina through vagina or anus</t>
  </si>
  <si>
    <t xml:space="preserve"> Closure of abnormal drainage tract from urethra to vagina</t>
  </si>
  <si>
    <t xml:space="preserve"> Closure of abnormal drainage tract from bladder to vagina through vagina</t>
  </si>
  <si>
    <t xml:space="preserve"> Closure of abnormal drainage tract from bladder to vagina through bladder and vagina</t>
  </si>
  <si>
    <t xml:space="preserve"> Plastic repair of vagina for intersex state</t>
  </si>
  <si>
    <t xml:space="preserve"> Dilation of vagina under anesthesia</t>
  </si>
  <si>
    <t xml:space="preserve"> Pelvic exam under anesthesia</t>
  </si>
  <si>
    <t xml:space="preserve"> Removal of impacted foreign body in vagina under anesthesia</t>
  </si>
  <si>
    <t xml:space="preserve"> Exam of vagina and cervix using an endoscope</t>
  </si>
  <si>
    <t xml:space="preserve"> Biopsy of vagina and cervix using an endoscope</t>
  </si>
  <si>
    <t xml:space="preserve"> Repair of vaginal defect using an endoscope</t>
  </si>
  <si>
    <t xml:space="preserve"> Surgical repair of vaginal defect using an endoscope</t>
  </si>
  <si>
    <t xml:space="preserve"> Revision or removal of prosthetic vaginal graft using an endoscope</t>
  </si>
  <si>
    <t xml:space="preserve"> Exam of cervix and upper part of vagina using an endoscope</t>
  </si>
  <si>
    <t xml:space="preserve"> Biopsy and scraping of cervix using an endoscope</t>
  </si>
  <si>
    <t xml:space="preserve"> Biopsy of cervix using an endoscope</t>
  </si>
  <si>
    <t xml:space="preserve"> Scraping of cervix using an endoscope</t>
  </si>
  <si>
    <t xml:space="preserve"> Biopsy of cervix using an endoscope with loop electrode</t>
  </si>
  <si>
    <t xml:space="preserve"> Cone biopsy of cervix and vagina using an endoscope with loop electrode</t>
  </si>
  <si>
    <t xml:space="preserve"> Computer-aided mapping of cervix during examination of vagina and cervix using endoscope</t>
  </si>
  <si>
    <t xml:space="preserve"> Biopsy of cervix or removal of growth</t>
  </si>
  <si>
    <t xml:space="preserve"> Scraping of tissue of cervix</t>
  </si>
  <si>
    <t xml:space="preserve"> Electro or thermal destruction of cervix</t>
  </si>
  <si>
    <t xml:space="preserve"> Destruction of cervix using freezing</t>
  </si>
  <si>
    <t xml:space="preserve"> Laser destruction of cervix</t>
  </si>
  <si>
    <t xml:space="preserve"> Removal or destruction of cervix with cold knife or laser</t>
  </si>
  <si>
    <t xml:space="preserve"> Removal or destruction of cervix using loop electrode</t>
  </si>
  <si>
    <t xml:space="preserve"> Amputation of cervix</t>
  </si>
  <si>
    <t xml:space="preserve"> Removal of remaining cervix through vagina</t>
  </si>
  <si>
    <t xml:space="preserve"> Removal of remaining cervix with repair of supporting vaginal tissue</t>
  </si>
  <si>
    <t xml:space="preserve"> Removal of remaining cervix with repair of herniated bowel into vaginal wall</t>
  </si>
  <si>
    <t xml:space="preserve"> Dilation and scraping of cervix</t>
  </si>
  <si>
    <t xml:space="preserve"> Suture of cervix</t>
  </si>
  <si>
    <t xml:space="preserve"> Plastic repair of cervix</t>
  </si>
  <si>
    <t xml:space="preserve"> Dilation of cervical canal</t>
  </si>
  <si>
    <t xml:space="preserve"> Biopsy of lining of uterus</t>
  </si>
  <si>
    <t xml:space="preserve"> Exam of cervix using an endoscope with biopsy of lining of uterus</t>
  </si>
  <si>
    <t xml:space="preserve"> Dilation and scraping of uterus</t>
  </si>
  <si>
    <t xml:space="preserve"> Removal of growth of uterus through vagina, 1-4 growths</t>
  </si>
  <si>
    <t xml:space="preserve"> Removal of uterus through vagina, 250.0 g or less</t>
  </si>
  <si>
    <t xml:space="preserve"> Removal of uterus, tubes, and/or ovaries through vagina, 250.0 g or less</t>
  </si>
  <si>
    <t xml:space="preserve"> Removal of uterus with repair of herniated bowel through vagina, 250.0 g or less</t>
  </si>
  <si>
    <t xml:space="preserve"> Insertion of IUD for pregnancy prevention</t>
  </si>
  <si>
    <t xml:space="preserve"> Removal of IUD</t>
  </si>
  <si>
    <t xml:space="preserve"> Injection of semen into cervix</t>
  </si>
  <si>
    <t xml:space="preserve"> Injection of semen into uterus</t>
  </si>
  <si>
    <t xml:space="preserve"> Sperm washing for artificial insemination</t>
  </si>
  <si>
    <t xml:space="preserve"> Insertion of tube and introduction of contrast for X-ray of uterus and fallopian tubes</t>
  </si>
  <si>
    <t xml:space="preserve"> Insertion of tube into fallopian tube</t>
  </si>
  <si>
    <t xml:space="preserve"> Insertion of capsule into uterus for radiation therapy</t>
  </si>
  <si>
    <t xml:space="preserve"> Injection of X-ray contrast into fallopian tube</t>
  </si>
  <si>
    <t xml:space="preserve"> Destruction of lining of uterus</t>
  </si>
  <si>
    <t xml:space="preserve"> Destruction of lining of uterus using ultrasound guidance</t>
  </si>
  <si>
    <t xml:space="preserve"> Repositioning of uterus</t>
  </si>
  <si>
    <t xml:space="preserve"> Partial removal of uterus with retention of cervix using an endoscope, 250.0 g or less</t>
  </si>
  <si>
    <t xml:space="preserve"> Partial removal of uterus, tubes, and/or ovaries with retention of cervix using an endoscope, 250.0 g or less</t>
  </si>
  <si>
    <t xml:space="preserve"> Partial removal of uterus with retention of cervix using an endoscope, more than 250.0 g</t>
  </si>
  <si>
    <t xml:space="preserve"> Partial removal of uterus, tubes, and/or ovaries with retention of cervix using an endoscope, more than 250.0 g</t>
  </si>
  <si>
    <t xml:space="preserve"> Removal of growth of uterus using an endoscope, 250.0 g or less</t>
  </si>
  <si>
    <t xml:space="preserve"> Removal of growth of uterus using an endoscope, more than 250.0 g</t>
  </si>
  <si>
    <t xml:space="preserve"> Removal of uterus through vagina using an endoscope, 250.0 g or less</t>
  </si>
  <si>
    <t xml:space="preserve"> Removal of uterus, tubes, and/or ovaries through vagina using an endoscope, 250.0 g or less</t>
  </si>
  <si>
    <t xml:space="preserve"> Removal of uterus through vagina using an endoscope, more than 250.0</t>
  </si>
  <si>
    <t xml:space="preserve"> Removal of uterus, tubes, and/or ovaries through vagina using an endoscope, more than 250.0 g</t>
  </si>
  <si>
    <t xml:space="preserve"> Diagnostic exam of uterus using an endoscope</t>
  </si>
  <si>
    <t xml:space="preserve"> Biopsy of lining of uterus and/or removal of polyp using an endoscope</t>
  </si>
  <si>
    <t xml:space="preserve"> Release of scar tissue of uterus using an endoscope</t>
  </si>
  <si>
    <t xml:space="preserve"> Release of scar tissue of uterus and release or removal and septum using an endoscope</t>
  </si>
  <si>
    <t xml:space="preserve"> Removal of growth of muscle of uterus using an endoscope</t>
  </si>
  <si>
    <t xml:space="preserve"> Removal of foreign body in uterus using an endoscope</t>
  </si>
  <si>
    <t xml:space="preserve"> Exam of uterus with destruction of lining of uterus using an endoscope</t>
  </si>
  <si>
    <t xml:space="preserve"> Placement of implants to block fallopian tubes using an endoscope</t>
  </si>
  <si>
    <t xml:space="preserve"> Removal of uterus through abdomen using an endoscope, 250.0 g or less</t>
  </si>
  <si>
    <t xml:space="preserve"> Removal of uterus, tubes, and/or ovaries through abdomen using an endoscope, 250.0 g or less</t>
  </si>
  <si>
    <t xml:space="preserve"> Removal of uterus through abdomen using an endoscope, more than 250.0 g</t>
  </si>
  <si>
    <t xml:space="preserve"> Removal of uterus, tubes, and/or ovaries through abdomen using an endoscope, more than 250.0 g</t>
  </si>
  <si>
    <t xml:space="preserve"> Destruction of uterine fibroid(s) using heat with ultrasound guidance and monitoring</t>
  </si>
  <si>
    <t xml:space="preserve"> Tying or incision of fallopian tubes</t>
  </si>
  <si>
    <t xml:space="preserve"> Tying of fallopian tubes by device through vagina</t>
  </si>
  <si>
    <t xml:space="preserve"> Removal of scar tissue of ovaries or fallopian tubes using an endoscope</t>
  </si>
  <si>
    <t xml:space="preserve"> Removal of ovaries and/or tubes using an endoscope</t>
  </si>
  <si>
    <t xml:space="preserve"> Destruction or removal of ovary or growth of pelvis using an endoscope</t>
  </si>
  <si>
    <t xml:space="preserve"> Destruction of fallopian tubes using an endoscope</t>
  </si>
  <si>
    <t xml:space="preserve"> Blockage of uterine tubes by device using an endoscope</t>
  </si>
  <si>
    <t xml:space="preserve"> Repair of uterine tube tissue near ovary using an endoscope</t>
  </si>
  <si>
    <t xml:space="preserve"> Repair of uterine tube using an endoscope</t>
  </si>
  <si>
    <t xml:space="preserve"> Destruction of growth of uterus using an endoscope with ultrasound guidance and monitoring</t>
  </si>
  <si>
    <t xml:space="preserve"> Removal of uterine tubes</t>
  </si>
  <si>
    <t xml:space="preserve"> Repair of blocked uterine tube opening</t>
  </si>
  <si>
    <t xml:space="preserve"> Drainage of cysts of ovaries through vagina</t>
  </si>
  <si>
    <t xml:space="preserve"> Drainage of cysts of ovaries through abdomen</t>
  </si>
  <si>
    <t xml:space="preserve"> Drainage of abscess of ovaries through vagina</t>
  </si>
  <si>
    <t xml:space="preserve"> Biopsy of ovaries</t>
  </si>
  <si>
    <t xml:space="preserve"> Partial removal of ovaries</t>
  </si>
  <si>
    <t xml:space="preserve"> Removal of cysts of ovaries</t>
  </si>
  <si>
    <t xml:space="preserve"> Removal of eggs from ovaries</t>
  </si>
  <si>
    <t xml:space="preserve"> Injection of fertilized eggs into uterus</t>
  </si>
  <si>
    <t xml:space="preserve"> Insertion of eggs with sperm into fallopian tubes</t>
  </si>
  <si>
    <t xml:space="preserve"> Other procedure on female genital system (nonobstetrical)</t>
  </si>
  <si>
    <t xml:space="preserve"> Removal of sample of amniotic fluid surrounding fetus for diagnosis</t>
  </si>
  <si>
    <t xml:space="preserve"> Removal of amniotic fluid to reduce amount of fluid surrounding fetus using ultrasound guidance</t>
  </si>
  <si>
    <t xml:space="preserve"> Removal of blood from fetal umbilical cord</t>
  </si>
  <si>
    <t xml:space="preserve"> Removal of tissue from placenta for diagnosis</t>
  </si>
  <si>
    <t xml:space="preserve"> Fetal contraction stress test</t>
  </si>
  <si>
    <t xml:space="preserve"> Fetal test</t>
  </si>
  <si>
    <t xml:space="preserve"> Interpretation of fetal monitoring during labor by consulting physician</t>
  </si>
  <si>
    <t xml:space="preserve"> Infusion of normal saline into fetal amniotic sac using ultrasound guidance</t>
  </si>
  <si>
    <t xml:space="preserve"> Occlusion of fetal umbilical cord using ultrasound guidance</t>
  </si>
  <si>
    <t xml:space="preserve"> Drainage of fetal fluid using ultrasound guidance</t>
  </si>
  <si>
    <t xml:space="preserve"> Placement of shunt into fetal chest using ultrasound guidance</t>
  </si>
  <si>
    <t xml:space="preserve"> Incision of uterus</t>
  </si>
  <si>
    <t xml:space="preserve"> Removal of ovarian or tubal pregnancy using an endoscope</t>
  </si>
  <si>
    <t xml:space="preserve"> Removal of ovarian or tubal pregnancy with removal of ovary and/or tube using an endoscope</t>
  </si>
  <si>
    <t xml:space="preserve"> Scraping of lining of uterus after delivery</t>
  </si>
  <si>
    <t xml:space="preserve"> Insertion of dilator device into cervix</t>
  </si>
  <si>
    <t xml:space="preserve"> Episiotomy or repair of vagina</t>
  </si>
  <si>
    <t xml:space="preserve"> Suture of cervix during pregnancy through vagina</t>
  </si>
  <si>
    <t xml:space="preserve"> Turning of fetus through external manipulation</t>
  </si>
  <si>
    <t xml:space="preserve"> Delivery of placenta</t>
  </si>
  <si>
    <t xml:space="preserve"> NO LONG DESCRIPTION</t>
  </si>
  <si>
    <t xml:space="preserve"> Vaginal delivery after previous cesarean delivery</t>
  </si>
  <si>
    <t xml:space="preserve"> Vaginal delivery and care after delivery after prior cesarean delivery</t>
  </si>
  <si>
    <t xml:space="preserve"> Cesarean delivery with care after delivery following vaginal delivery attempt after previous cesarean delivery</t>
  </si>
  <si>
    <t xml:space="preserve"> Treatment of miscarriage</t>
  </si>
  <si>
    <t xml:space="preserve"> Treatment of miscarriage during first trimester</t>
  </si>
  <si>
    <t xml:space="preserve"> Treatment of miscarriage during second trimester</t>
  </si>
  <si>
    <t xml:space="preserve"> Induced abortion by dilation and scraping of uterine</t>
  </si>
  <si>
    <t xml:space="preserve"> Induced abortion by dilation</t>
  </si>
  <si>
    <t xml:space="preserve"> Elimination of fetuses of a multifetal pregnancy</t>
  </si>
  <si>
    <t xml:space="preserve"> Removal of abnormal pregnancy contents with scraping of uterine wall</t>
  </si>
  <si>
    <t xml:space="preserve"> Removal of suture of cervix under anesthesia</t>
  </si>
  <si>
    <t xml:space="preserve"> Incision and drainage of cyst of thyroid duct</t>
  </si>
  <si>
    <t xml:space="preserve"> Needle biopsy of thyroid through skin</t>
  </si>
  <si>
    <t xml:space="preserve"> Incision of cyst or growth of thyroid</t>
  </si>
  <si>
    <t xml:space="preserve"> Partial removal of thyroid lobe on side of neck</t>
  </si>
  <si>
    <t xml:space="preserve"> Partial removal of thyroid lobes on both sides of neck and connecting tissue</t>
  </si>
  <si>
    <t xml:space="preserve"> Removal of thyroid lobe on side of neck</t>
  </si>
  <si>
    <t xml:space="preserve"> Removal of thyroid lobe on side of neck and partial removal of thyroid lobe on opposite side of neck including tissue in between</t>
  </si>
  <si>
    <t xml:space="preserve"> Removal of thyroid</t>
  </si>
  <si>
    <t xml:space="preserve"> Removal of thyroid and surrounding lymph nodes with limited neck removal</t>
  </si>
  <si>
    <t xml:space="preserve"> Removal of remaining thyroid tissue from prior operation</t>
  </si>
  <si>
    <t xml:space="preserve"> Removal of cyst of thyroid or drainage of thyroid gland duct</t>
  </si>
  <si>
    <t xml:space="preserve"> Removal of recurrent cyst of thyroid or drainage of thyroid gland duct</t>
  </si>
  <si>
    <t xml:space="preserve"> Aspiration and/or injection of cyst of thyroid</t>
  </si>
  <si>
    <t xml:space="preserve"> Removal or exploration of parathyroid glands</t>
  </si>
  <si>
    <t xml:space="preserve"> Removal and reimplantation of parathyroid tissue</t>
  </si>
  <si>
    <t xml:space="preserve"> Removal of thymus gland through neck</t>
  </si>
  <si>
    <t xml:space="preserve"> Other procedure on endocrine system using an endoscope</t>
  </si>
  <si>
    <t xml:space="preserve"> Other procedure on endocrine system</t>
  </si>
  <si>
    <t xml:space="preserve"> Initial removal of cerebrospinal fluid from skull bone soft spot, infant</t>
  </si>
  <si>
    <t xml:space="preserve"> Subsequent aspiration of cerebrospinal fluid from infant skull bone soft spot</t>
  </si>
  <si>
    <t xml:space="preserve"> Removal of cerebrospinal fluid from brain for diagnosis</t>
  </si>
  <si>
    <t xml:space="preserve"> Removal of cerebrospinal fluid from brain and injection of substance</t>
  </si>
  <si>
    <t xml:space="preserve"> Removal of cerebrospinal fluid from upper spine</t>
  </si>
  <si>
    <t xml:space="preserve"> Spinal puncture in upper spine with injection of substance</t>
  </si>
  <si>
    <t xml:space="preserve"> Aspiration of cerebrospinal fluid and injection in shunt tubing or reservoir</t>
  </si>
  <si>
    <t xml:space="preserve"> Insertion of device for continuous infusion in brain</t>
  </si>
  <si>
    <t xml:space="preserve"> Incision of eye bone to reduce pressure</t>
  </si>
  <si>
    <t xml:space="preserve"> Removal of growth of brain or other growth of skull bone</t>
  </si>
  <si>
    <t xml:space="preserve"> Removal of skull bone for removal or drainage of cyst of upper brain</t>
  </si>
  <si>
    <t xml:space="preserve"> Removal of skull bone for removal of growth of lower brain</t>
  </si>
  <si>
    <t xml:space="preserve"> Occlusion of head or neck artery</t>
  </si>
  <si>
    <t xml:space="preserve"> Computer-assisted creation of growth of brain of globus pallidus or thalamus</t>
  </si>
  <si>
    <t xml:space="preserve"> Computer-assisted insertion of tube or probe for radiation placement</t>
  </si>
  <si>
    <t xml:space="preserve"> Computer-assisted procedure inside brain</t>
  </si>
  <si>
    <t xml:space="preserve"> Computer-assisted procedure outside membrane covering brain</t>
  </si>
  <si>
    <t xml:space="preserve"> Computer-assisted spinal procedure</t>
  </si>
  <si>
    <t xml:space="preserve"> Computer-assisted creation of growth of face nerve</t>
  </si>
  <si>
    <t xml:space="preserve"> Computer-assisted creation of growth of brainstem</t>
  </si>
  <si>
    <t xml:space="preserve"> Computer-assisted radiosurgery of simple growth of brain, first growth</t>
  </si>
  <si>
    <t xml:space="preserve"> Computer-assisted radiosurgery of simple growth of brain, each additional growth</t>
  </si>
  <si>
    <t xml:space="preserve"> Computer-assisted radiosurgery of complex growth of brain, first growth</t>
  </si>
  <si>
    <t xml:space="preserve"> Computer-assisted radiosurgery of complex growth of brain, each additional growth</t>
  </si>
  <si>
    <t xml:space="preserve"> Computer-assisted radiosurgery application of headframe</t>
  </si>
  <si>
    <t xml:space="preserve"> Revision or removal of brain neurostimulator electrodes</t>
  </si>
  <si>
    <t xml:space="preserve"> Insertion of brain neurostimulator pulse device with connection to single electrode array</t>
  </si>
  <si>
    <t xml:space="preserve"> Insertion of brain neurostimulator pulse device with connection to 2 or more electrode arrays</t>
  </si>
  <si>
    <t xml:space="preserve"> Removal of brain neurostimulator device</t>
  </si>
  <si>
    <t xml:space="preserve"> Elevation of simple depressed broken skull bone</t>
  </si>
  <si>
    <t xml:space="preserve"> Insertion of tube in brain using an endoscope</t>
  </si>
  <si>
    <t xml:space="preserve"> Replacement or irrigation of tube in membranes covering brain</t>
  </si>
  <si>
    <t xml:space="preserve"> Replacement or irrigation of tube in brain</t>
  </si>
  <si>
    <t xml:space="preserve"> Insertion or revision of cerebrospinal fluid drainage shunt valve or tube</t>
  </si>
  <si>
    <t xml:space="preserve"> Reprogramming of cerebrospinal fluid shunt</t>
  </si>
  <si>
    <t xml:space="preserve"> Removal of spinal canal scar tissue, multiple sessions over 2 days or more</t>
  </si>
  <si>
    <t xml:space="preserve"> Removal of spinal canal scar tissue, multiple sessions in 1 day</t>
  </si>
  <si>
    <t xml:space="preserve"> Aspiration of spinal disc tissue for diagnostic purposes</t>
  </si>
  <si>
    <t xml:space="preserve"> Aspiration of fluid from cyst of spinal cord or fluid-filled cavity</t>
  </si>
  <si>
    <t xml:space="preserve"> Biopsy of spinal cord with needle through skin</t>
  </si>
  <si>
    <t xml:space="preserve"> Removal of cerebrospinal fluid with lower back spinal tap for diagnostic test</t>
  </si>
  <si>
    <t xml:space="preserve"> Removal of cerebrospinal fluid with lower back spinal tap</t>
  </si>
  <si>
    <t xml:space="preserve"> Injection of blood or blood clot into spinal canal</t>
  </si>
  <si>
    <t xml:space="preserve"> Injection of substance into spinal canal for removal of nerve tissue in space around brain</t>
  </si>
  <si>
    <t xml:space="preserve"> Injection of substance into spinal canal for removal of upper spine nerve tissue</t>
  </si>
  <si>
    <t xml:space="preserve"> Injection of substance into spinal canal for removal of lower spine nerve tissue</t>
  </si>
  <si>
    <t xml:space="preserve"> Injection of contrast for imaging of lower spinal canal</t>
  </si>
  <si>
    <t xml:space="preserve"> Removal of lower spine disc tissue at single or multiple levels using fluoroscopic guidance</t>
  </si>
  <si>
    <t xml:space="preserve"> Injection of contrast for imaging of each level of lower spine</t>
  </si>
  <si>
    <t xml:space="preserve"> Injection of contrast for imaging of each level of middle or upper spine</t>
  </si>
  <si>
    <t xml:space="preserve"> Injection for removal of lower spine disc</t>
  </si>
  <si>
    <t xml:space="preserve"> Injection of substance to occlude spinal cord artery and/or vein</t>
  </si>
  <si>
    <t xml:space="preserve"> X-ray of upper spinal canal with review by radiologist</t>
  </si>
  <si>
    <t xml:space="preserve"> X-ray of middle spinal canal with review by radiologist</t>
  </si>
  <si>
    <t xml:space="preserve"> X-ray of lower spinal canal with review by radiologist</t>
  </si>
  <si>
    <t xml:space="preserve"> X-ray of multiple regions of spinal canal with review by radiologist</t>
  </si>
  <si>
    <t xml:space="preserve"> Injection of substance into middle or upper spine canal</t>
  </si>
  <si>
    <t xml:space="preserve"> Injection of substance into middle or upper spine canal using imaging guidance</t>
  </si>
  <si>
    <t xml:space="preserve"> Injection of substance into lower spine canal</t>
  </si>
  <si>
    <t xml:space="preserve"> Injection of substance into lower spine canal using imaging guidance</t>
  </si>
  <si>
    <t xml:space="preserve"> Insertion of tube and injection of substance into middle or upper spine canal</t>
  </si>
  <si>
    <t xml:space="preserve"> Insertion of tube and injection of substance into middle or upper spine canal using imaging guidance</t>
  </si>
  <si>
    <t xml:space="preserve"> Insertion of tube and injection of substance into lower spine canal</t>
  </si>
  <si>
    <t xml:space="preserve"> Insertion of tube and injection of substance into lower spine canal using imaging guidance</t>
  </si>
  <si>
    <t xml:space="preserve"> Removal of spinal fluid with lower back spinal tap for diagnostic test using imaging guidance</t>
  </si>
  <si>
    <t xml:space="preserve"> Removal of cerebrospinal fluid with lower back spinal tap using imaging guidance</t>
  </si>
  <si>
    <t xml:space="preserve"> Insertion, revision, or repositioning of spinal canal tube for medication administration</t>
  </si>
  <si>
    <t xml:space="preserve"> Insertion, revision, or repositioning of spinal canal tube for medication administration with removal of spine bone</t>
  </si>
  <si>
    <t xml:space="preserve"> Removal of implanted tube in spinal canal</t>
  </si>
  <si>
    <t xml:space="preserve"> Insertion of spinal canal drug infusion device beneath skin</t>
  </si>
  <si>
    <t xml:space="preserve"> Insertion of spinal canal drug infusion pump</t>
  </si>
  <si>
    <t xml:space="preserve"> Insertion of programmable spinal canal drug infusion pump</t>
  </si>
  <si>
    <t xml:space="preserve"> Removal of spinal canal drug infusion pump or device</t>
  </si>
  <si>
    <t xml:space="preserve"> Electronic analysis of spinal canal drug infusion pump</t>
  </si>
  <si>
    <t xml:space="preserve"> Electronic analysis and reprogramming of spinal canal drug infusion pump</t>
  </si>
  <si>
    <t xml:space="preserve"> Electronic analysis reprogramming and refill of spinal canal drug infusion pump</t>
  </si>
  <si>
    <t xml:space="preserve"> Electronic analysis reprogramming and refill of spinal canal drug infusion pump by physician</t>
  </si>
  <si>
    <t xml:space="preserve"> Release of lower spinal cord and/or nerve root using endoscope</t>
  </si>
  <si>
    <t xml:space="preserve"> Partial removal of spine bone with exploration and/or release of upper spinal cord or nerves, 1-2 segments</t>
  </si>
  <si>
    <t xml:space="preserve"> Partial removal of spine bone with exploration and/or release of middle spinal cord or nerves, 1-2 segments</t>
  </si>
  <si>
    <t xml:space="preserve"> Partial removal of spine bone with exploration and/or release of lower spinal cord or nerves, 1-2 segments</t>
  </si>
  <si>
    <t xml:space="preserve"> Partial removal of spine bone with exploration and/or release of sacral spinal cord or nerves, 1-2 segments</t>
  </si>
  <si>
    <t xml:space="preserve"> Partial removal of spine bone with release of lower spinal cord or nerves</t>
  </si>
  <si>
    <t xml:space="preserve"> Partial removal of spine bone with exploration and/or release of upper spinal cord or nerves, more than 2 segments</t>
  </si>
  <si>
    <t xml:space="preserve"> Partial removal of spine bone with exploration and/or release of middle spinal cord or nerves, more than 2 segments</t>
  </si>
  <si>
    <t xml:space="preserve"> Partial removal of spine bone with exploration and/or release of lower spinal cord or nerves, more than 2 segments</t>
  </si>
  <si>
    <t xml:space="preserve"> Partial removal of spine bone with release of upper spinal cord or nerves and/or removal of disc, 1 interspace</t>
  </si>
  <si>
    <t xml:space="preserve"> Partial removal of spine bone with release of lower spinal cord or nerves and/or removal of disc</t>
  </si>
  <si>
    <t xml:space="preserve"> Partial removal of spine bone with release of upper or lower spinal cord or nerves and/or removal of disc, each additional interspace</t>
  </si>
  <si>
    <t xml:space="preserve"> Partial removal of spine bone with re-exploration, release of upper spinal cord or nerves and/or removal of disc, 1 interspace</t>
  </si>
  <si>
    <t xml:space="preserve"> Partial removal of spine bone with re-exploration, release of lower spinal cord or nerves and/or removal of disc, 1 interspace</t>
  </si>
  <si>
    <t xml:space="preserve"> Partial removal of spine bone with re-exploration, release of upper spinal cord or nerves and/or removal of disc, each additional interspace</t>
  </si>
  <si>
    <t xml:space="preserve"> Partial removal of spine bone with re-exploration, release of upper or lower spinal cord or nerves and/or removal of disc, each additional interspace</t>
  </si>
  <si>
    <t xml:space="preserve"> Partial removal of spine bone with release of upper spinal cord and/or nerves, 1 segment</t>
  </si>
  <si>
    <t xml:space="preserve"> Partial removal of spine bone with release of middle spinal cord and/or nerves, 1 segment</t>
  </si>
  <si>
    <t xml:space="preserve"> Partial removal of spine bone with release of lower spinal cord and/or nerves, 1 segment</t>
  </si>
  <si>
    <t xml:space="preserve"> Release of middle spinal cord and/or nerves, single segment</t>
  </si>
  <si>
    <t xml:space="preserve"> Release of lower spinal cord and/or nerves, single segment</t>
  </si>
  <si>
    <t xml:space="preserve"> Release of middle spinal cord or nerves through rib and spine joint, single segment</t>
  </si>
  <si>
    <t xml:space="preserve"> Removal of upper spine disc and release of spinal cord and/or nerves, single interspace</t>
  </si>
  <si>
    <t xml:space="preserve"> Removal of upper spine disc and release of spinal cord and/or nerves, each additional interspace</t>
  </si>
  <si>
    <t xml:space="preserve"> Computer-assisted creation of growth of spinal cord</t>
  </si>
  <si>
    <t xml:space="preserve"> Computer-assisted stimulation of spinal cord</t>
  </si>
  <si>
    <t xml:space="preserve"> Computer-assisted radiosurgery of growth of spine, first growth</t>
  </si>
  <si>
    <t xml:space="preserve"> Computer-assisted radiosurgery of growth of spine, each additional growth</t>
  </si>
  <si>
    <t xml:space="preserve"> Insertion of spinal neurostimulator electrode array through skin</t>
  </si>
  <si>
    <t xml:space="preserve"> Removal of spine bone for insertion of neurostimulator electrode plate in spine</t>
  </si>
  <si>
    <t xml:space="preserve"> Insertion of spinal neurostimulator electrode array using fluoroscopic guidance</t>
  </si>
  <si>
    <t xml:space="preserve"> Removal of spinal neurostimulator electrode plate using fluoroscopic guidance</t>
  </si>
  <si>
    <t xml:space="preserve"> Revision of spinal neurostimulator electrode array using fluoroscopic guidance</t>
  </si>
  <si>
    <t xml:space="preserve"> Revision of spinal neurostimulator electrode plate using fluoroscopic guidance</t>
  </si>
  <si>
    <t xml:space="preserve"> Insertion or replacement of spinal neurostimulator generator or receiver</t>
  </si>
  <si>
    <t xml:space="preserve"> Removal or revision of spinal neurostimulator generator or receiver</t>
  </si>
  <si>
    <t xml:space="preserve"> Creation of cerebrospinal fluid shunt</t>
  </si>
  <si>
    <t xml:space="preserve"> Replacement, irrigation, or revision of lower spinal canal shunt</t>
  </si>
  <si>
    <t xml:space="preserve"> Removal of lower spinal canal shunt</t>
  </si>
  <si>
    <t xml:space="preserve"> Injection of anesthetic agent and/or steroid into face nerve</t>
  </si>
  <si>
    <t xml:space="preserve"> Injection of anesthetic agent and/or steroid into upper neck and back of head nerve</t>
  </si>
  <si>
    <t xml:space="preserve"> Injection of anesthetic agent and/or steroid into vagus nerve</t>
  </si>
  <si>
    <t xml:space="preserve"> Injection of anesthetic agent and/or steroid into arm nerve bundle (brachial plexus)</t>
  </si>
  <si>
    <t xml:space="preserve"> Continuous infusion of anesthetic agent and/or steroid into arm nerve bundle through catheter</t>
  </si>
  <si>
    <t xml:space="preserve"> Injection of anesthetic agent and/or steroid into upper arm and shoulder nerve (axillary nerve)</t>
  </si>
  <si>
    <t xml:space="preserve"> Injection of anesthetic agent and/or steroid into suprascapular shoulder nerve</t>
  </si>
  <si>
    <t xml:space="preserve"> Injection of anesthetic agent and/or steroid into rib nerve</t>
  </si>
  <si>
    <t xml:space="preserve"> Injection of anesthetic agent and/or steroid into multiple rib nerves for regional nerve block</t>
  </si>
  <si>
    <t xml:space="preserve"> Injection of anesthetic agent and/or steroid into lower abdomen and groin nerve</t>
  </si>
  <si>
    <t xml:space="preserve"> Injection of anesthetic agent and/or steroid into external genitals and anus nerve</t>
  </si>
  <si>
    <t xml:space="preserve"> Injection of anesthetic agent and/or steroid into uterus nerve</t>
  </si>
  <si>
    <t xml:space="preserve"> Injection of anesthetic agent and/or steroid into lower back and leg nerve (sciatic nerve)</t>
  </si>
  <si>
    <t xml:space="preserve"> Continuous infusion of anesthetic agent and/or steroid into lower back and leg nerve (sciatic nerve) through catheter</t>
  </si>
  <si>
    <t xml:space="preserve"> Injection of anesthetic agent and/or steroid into thigh nerve (femoral nerve)</t>
  </si>
  <si>
    <t xml:space="preserve"> Continuous infusion of anesthetic agent and/or steroid into thigh nerve (femoral nerve) through catheter</t>
  </si>
  <si>
    <t xml:space="preserve"> Injection by continuous infusion of anesthetic agent into lower back nerve bundle</t>
  </si>
  <si>
    <t xml:space="preserve"> Injection of anesthetic agent and/or steroid into other nerve or branch</t>
  </si>
  <si>
    <t xml:space="preserve"> Injection of anesthetic agent and/or steroid into spine and pelvis nerve using imaging guidance</t>
  </si>
  <si>
    <t xml:space="preserve"> Injection of anesthetic agent and/or steroid into knee nerve branch using imaging guidance</t>
  </si>
  <si>
    <t xml:space="preserve"> Injection of anesthetic and/or steroid drug into foot nerve</t>
  </si>
  <si>
    <t xml:space="preserve"> Injection of anesthetic agent into thoracic vertebra using imaging guidance, single site</t>
  </si>
  <si>
    <t xml:space="preserve"> Injection of anesthetic agent into thoracic vertebra using imaging guidance, additional sites</t>
  </si>
  <si>
    <t xml:space="preserve"> Injection of anesthetic agent through tube into thoracic vertebra using imaging guidance</t>
  </si>
  <si>
    <t xml:space="preserve"> Injection of anesthetic and/or steroid drug into upper or middle spine nerve root using imaging guidance, single level</t>
  </si>
  <si>
    <t xml:space="preserve"> Injection of anesthetic and/or steroid drug into upper or middle spine nerve root using imaging guidance, each additional level</t>
  </si>
  <si>
    <t xml:space="preserve"> Injection of anesthetic and/or steroid drug into sacral spine nerve root using imaging guidance, single level</t>
  </si>
  <si>
    <t xml:space="preserve"> Injection of anesthetic and/or steroid drug into sacral spine nerve root using imaging guidance, each additional level</t>
  </si>
  <si>
    <t xml:space="preserve"> Injection of local anesthetic for abdominal wall pain control on side using imaging guidance</t>
  </si>
  <si>
    <t xml:space="preserve"> Continuous infusion of local anesthetic for abdominal wall pain control on side using imaging guidance</t>
  </si>
  <si>
    <t xml:space="preserve"> Injection of local anesthetic for abdominal wall pain control on both sides using imaging guidance</t>
  </si>
  <si>
    <t xml:space="preserve"> Continuous infusion of local anesthetic for abdominal wall pain control on both sides using imaging guidance</t>
  </si>
  <si>
    <t xml:space="preserve"> Injection of upper or middle spine facet joint using imaging guidance, single level</t>
  </si>
  <si>
    <t xml:space="preserve"> Injection of upper or middle spine facet joint using imaging guidance, second level</t>
  </si>
  <si>
    <t xml:space="preserve"> Injection of upper or middle spine facet joint using imaging guidance, third and any additional level</t>
  </si>
  <si>
    <t xml:space="preserve"> Injection of lower or sacral spine facet joint using imaging guidance, single level</t>
  </si>
  <si>
    <t xml:space="preserve"> Injection of lower or sacral spine facet joint using imaging guidance, second level</t>
  </si>
  <si>
    <t xml:space="preserve"> Injection of lower or sacral spine facet joint using imaging guidance, third and any additional level</t>
  </si>
  <si>
    <t xml:space="preserve"> Injection of anesthetic agent, trigeminal nerve bundle</t>
  </si>
  <si>
    <t xml:space="preserve"> Injection of anesthetic agent into sympathetic nerve bundle</t>
  </si>
  <si>
    <t xml:space="preserve"> Injection of anesthetic agent into sacral nerve bundle</t>
  </si>
  <si>
    <t xml:space="preserve"> Injection of anesthetic agent into middle or lower spine sympathetic nerve</t>
  </si>
  <si>
    <t xml:space="preserve"> Injection of anesthetic agent into abdominal sympathetic nerve bundle</t>
  </si>
  <si>
    <t xml:space="preserve"> Insertion of cranial nerve neurostimulator electrode</t>
  </si>
  <si>
    <t xml:space="preserve"> Insertion of peripheral nerve neurostimulator electrode through skin</t>
  </si>
  <si>
    <t xml:space="preserve"> Insertion of sacral nerve neurostimulator electrode array</t>
  </si>
  <si>
    <t xml:space="preserve"> Insertion of lower leg neurostimulator electrode</t>
  </si>
  <si>
    <t xml:space="preserve"> Insertion of cranial nerve neurostimulator electrode and generator</t>
  </si>
  <si>
    <t xml:space="preserve"> Revision of cranial nerve neurostimulator electrodes</t>
  </si>
  <si>
    <t xml:space="preserve"> Removal of cranial nerve neurostimulator electrodes</t>
  </si>
  <si>
    <t xml:space="preserve"> Insertion of peripheral nerve neurostimulator electrode</t>
  </si>
  <si>
    <t xml:space="preserve"> Insertion of muscle neurostimulator electrodes</t>
  </si>
  <si>
    <t xml:space="preserve"> Insertion of sacral nerve neurostimulator electrode</t>
  </si>
  <si>
    <t xml:space="preserve"> Insertion of hypoglossal nerve neurostimulator electrode and generator and breathing sensor electrode</t>
  </si>
  <si>
    <t xml:space="preserve"> Revision or replacement of hypoglossal nerve neurostimulator electrode and breathing sensor electrode with connection to existing generator</t>
  </si>
  <si>
    <t xml:space="preserve"> Removal of hypoglossal nerve neurostimulator electrode and generator and breathing sensor electrode</t>
  </si>
  <si>
    <t xml:space="preserve"> Revision of peripheral neurostimulator electrodes</t>
  </si>
  <si>
    <t xml:space="preserve"> Insertion or replacement of peripheral, sacral, or gastric neurostimulator generator or receiver</t>
  </si>
  <si>
    <t xml:space="preserve"> Removal or revision of a peripheral, sacral, or gastric neurostimulator pulse generator or receiver</t>
  </si>
  <si>
    <t xml:space="preserve"> Insertion or replacement of a peripheral integrated neurostimulator initial electrode array</t>
  </si>
  <si>
    <t xml:space="preserve"> Insertion or replacement of a peripheral integrated neurostimulator each additional electrode array</t>
  </si>
  <si>
    <t xml:space="preserve"> Revision or removal of a electrode array with an integrated neurostimulator</t>
  </si>
  <si>
    <t xml:space="preserve"> Destruction of first division of face nerve branch</t>
  </si>
  <si>
    <t xml:space="preserve"> Destruction of second and third division of face nerve branch</t>
  </si>
  <si>
    <t xml:space="preserve"> Destruction of face nerve branch under X-ray monitoring</t>
  </si>
  <si>
    <t xml:space="preserve"> Injection of chemical for paralysis of salivary glands on both sides of mouth</t>
  </si>
  <si>
    <t xml:space="preserve"> Injection of chemical for paralysis of nerve muscles on side of face</t>
  </si>
  <si>
    <t xml:space="preserve"> Injection of chemical for paralysis of facial and neck nerve muscles on both sides of face</t>
  </si>
  <si>
    <t xml:space="preserve"> Injection of chemical for paralysis of nerve muscles on side of neck excluding voice box</t>
  </si>
  <si>
    <t xml:space="preserve"> Injection of chemical for paralysis of nerve muscles on side of voice box</t>
  </si>
  <si>
    <t xml:space="preserve"> Injection of agent to destroy rib nerve</t>
  </si>
  <si>
    <t xml:space="preserve"> Destruction of nerve branches of knee using imaging guidance</t>
  </si>
  <si>
    <t xml:space="preserve"> Destruction of nerves supplying joint between spine and pelvis using imaging guidance</t>
  </si>
  <si>
    <t xml:space="preserve"> Heat destruction of intraosseous basivertebral nerve in bones of spine in lower back, first two bones</t>
  </si>
  <si>
    <t xml:space="preserve"> Destruction of external genital nerve</t>
  </si>
  <si>
    <t xml:space="preserve"> Destruction of foot nerve</t>
  </si>
  <si>
    <t xml:space="preserve"> Destruction of upper or middle spinal facet joint nerves using imaging guidance, single facet joint</t>
  </si>
  <si>
    <t xml:space="preserve"> Destruction of upper or middle spinal facet joint nerves using imaging guidance, each additional facet joint</t>
  </si>
  <si>
    <t xml:space="preserve"> Destruction of lower or sacral spinal facet joint nerves using imaging guidance, single facet joint</t>
  </si>
  <si>
    <t xml:space="preserve"> Destruction of lower or sacral spinal facet joint nerves using imaging guidance, each additional facet joint</t>
  </si>
  <si>
    <t xml:space="preserve"> Destruction of peripheral nerve or branch</t>
  </si>
  <si>
    <t xml:space="preserve"> Injection of chemical for paralysis of nerve muscles on arm or leg, 1-4 muscles, first extremity</t>
  </si>
  <si>
    <t xml:space="preserve"> Injection of chemical for paralysis of nerve muscles on arm or leg, 1-4 muscles, each additional extremity</t>
  </si>
  <si>
    <t xml:space="preserve"> Injection of chemical for paralysis of nerve muscles on arm or leg, 5 or more muscles, first extremity</t>
  </si>
  <si>
    <t xml:space="preserve"> Injection of chemical for paralysis of nerve muscles on arm or leg, 5 or more muscles, each additional extremity</t>
  </si>
  <si>
    <t xml:space="preserve"> Injection of chemical for paralysis of nerve muscles on trunk, 1-5 muscles</t>
  </si>
  <si>
    <t xml:space="preserve"> Injection of chemical for paralysis of nerve muscles on trunk, 6 or more muscles</t>
  </si>
  <si>
    <t xml:space="preserve"> Injection of chemical for paralysis of underarm sweat glands</t>
  </si>
  <si>
    <t xml:space="preserve"> Injection of chemical for paralysis of sweat glands</t>
  </si>
  <si>
    <t xml:space="preserve"> Injection of agent to destroy abdominal nerve bundle</t>
  </si>
  <si>
    <t xml:space="preserve"> Injection of agent to destroy presacral nerve bundle</t>
  </si>
  <si>
    <t xml:space="preserve"> Release of finger nerve</t>
  </si>
  <si>
    <t xml:space="preserve"> Release of hand or foot nerve</t>
  </si>
  <si>
    <t xml:space="preserve"> Release of arm or leg nerve</t>
  </si>
  <si>
    <t xml:space="preserve"> Release of sciatic nerve</t>
  </si>
  <si>
    <t xml:space="preserve"> Release of major arm or leg nerve</t>
  </si>
  <si>
    <t xml:space="preserve"> Release of upper leg nerve</t>
  </si>
  <si>
    <t xml:space="preserve"> Release and/or relocation of cranial nerve</t>
  </si>
  <si>
    <t xml:space="preserve"> Release and/or relocation of elbow nerve</t>
  </si>
  <si>
    <t xml:space="preserve"> Release and/or relocation of wrist nerve</t>
  </si>
  <si>
    <t xml:space="preserve"> Release and/or relocation of hand nerve</t>
  </si>
  <si>
    <t xml:space="preserve"> Release of unspecified nerve</t>
  </si>
  <si>
    <t xml:space="preserve"> Release of sole of foot nerve</t>
  </si>
  <si>
    <t xml:space="preserve"> Release of nerve using operating microscope</t>
  </si>
  <si>
    <t xml:space="preserve"> Incision or removal of forehead, scalp and upper eyelid nerve</t>
  </si>
  <si>
    <t xml:space="preserve"> Incision or removal of lower eyelid, upper lip, and mouth nerve</t>
  </si>
  <si>
    <t xml:space="preserve"> Incision or removal of chin, lower lip, and jaw nerve</t>
  </si>
  <si>
    <t xml:space="preserve"> Incision or removal of teeth and jaw bone nerve</t>
  </si>
  <si>
    <t xml:space="preserve"> Incision and removal of tongue nerve</t>
  </si>
  <si>
    <t xml:space="preserve"> Incision or removal of face nerve</t>
  </si>
  <si>
    <t xml:space="preserve"> Incision or removal of scalp and over ear nerve</t>
  </si>
  <si>
    <t xml:space="preserve"> Incision or removal of abdomen, gallbladder, and liver nerve</t>
  </si>
  <si>
    <t xml:space="preserve"> Incision or removal of outside pelvic and thigh nerve</t>
  </si>
  <si>
    <t xml:space="preserve"> Incision or removal of inside pelvic and thigh nerve</t>
  </si>
  <si>
    <t xml:space="preserve"> Incision or removal of cranial nerve</t>
  </si>
  <si>
    <t xml:space="preserve"> Incision or removal of spinal nerve</t>
  </si>
  <si>
    <t xml:space="preserve"> Removal of growth of skin nerve</t>
  </si>
  <si>
    <t xml:space="preserve"> Removal of growth of finger or toe nerve, same digit</t>
  </si>
  <si>
    <t xml:space="preserve"> Removal of growth of finger or toe nerve, each additional digit</t>
  </si>
  <si>
    <t xml:space="preserve"> Removal of growth of nerve of hand or foot nerve, first nerve</t>
  </si>
  <si>
    <t xml:space="preserve"> Removal of growth of nerve of hand or foot nerve, each additional nerve</t>
  </si>
  <si>
    <t xml:space="preserve"> Removal of growth of peripheral nerve</t>
  </si>
  <si>
    <t xml:space="preserve"> Removal or growth of sciatic nerve</t>
  </si>
  <si>
    <t xml:space="preserve"> Implantation of nerve end into bone or muscle</t>
  </si>
  <si>
    <t xml:space="preserve"> Removal of growth of skin nerve or nerve lining</t>
  </si>
  <si>
    <t xml:space="preserve"> Removal of growth of major peripheral nerve or nerve lining</t>
  </si>
  <si>
    <t xml:space="preserve"> Removal of growth of major peripheral nerve or nerve lining, extensive including growth</t>
  </si>
  <si>
    <t xml:space="preserve"> Biopsy of nerve</t>
  </si>
  <si>
    <t xml:space="preserve"> Removal of upper spine sympathetic nerves</t>
  </si>
  <si>
    <t xml:space="preserve"> Removal of upper and middle spine sympathetic nerves</t>
  </si>
  <si>
    <t xml:space="preserve"> Removal of finger or toe sympathetic nerve</t>
  </si>
  <si>
    <t xml:space="preserve"> Removal of lower arm radial artery sympathetic nerve</t>
  </si>
  <si>
    <t xml:space="preserve"> Removal of lower arm ulnar artery sympathetic nerve</t>
  </si>
  <si>
    <t xml:space="preserve"> Removal of hand sympathetic nerve</t>
  </si>
  <si>
    <t xml:space="preserve"> Suture of hand or foot digital nerve, first digital nerve</t>
  </si>
  <si>
    <t xml:space="preserve"> Suture of hand or foot digital nerve, each additional digital nerve</t>
  </si>
  <si>
    <t xml:space="preserve"> Suture of hand or foot common sensory nerve</t>
  </si>
  <si>
    <t xml:space="preserve"> Suture of hand median motor nerve</t>
  </si>
  <si>
    <t xml:space="preserve"> Suture of forearm and hand nerve</t>
  </si>
  <si>
    <t xml:space="preserve"> Suture of hand or foot nerve, each additional nerve</t>
  </si>
  <si>
    <t xml:space="preserve"> Suture of foreleg nerve to sole of foot</t>
  </si>
  <si>
    <t xml:space="preserve"> Suture and relocation of arm or leg peripheral nerve</t>
  </si>
  <si>
    <t xml:space="preserve"> Suture of arm or leg peripheral nerve</t>
  </si>
  <si>
    <t xml:space="preserve"> Suture of sciatic nerve</t>
  </si>
  <si>
    <t xml:space="preserve"> Suture of peripheral nerve</t>
  </si>
  <si>
    <t xml:space="preserve"> Suture of arm nerve bundle</t>
  </si>
  <si>
    <t xml:space="preserve"> Suture of lower spine nerve bundle</t>
  </si>
  <si>
    <t xml:space="preserve"> Suture of face nerve outside skull</t>
  </si>
  <si>
    <t xml:space="preserve"> Suture of face nerve at temple</t>
  </si>
  <si>
    <t xml:space="preserve"> Delayed suture nerve repair</t>
  </si>
  <si>
    <t xml:space="preserve"> Suture and relocation of nerve to restore function</t>
  </si>
  <si>
    <t xml:space="preserve"> Suture of nerve with shortening of arm or leg bone</t>
  </si>
  <si>
    <t xml:space="preserve"> Graft of head or neck nerve, 4.0 cm or less</t>
  </si>
  <si>
    <t xml:space="preserve"> Graft of head or neck nerve, more than 4.0 cm</t>
  </si>
  <si>
    <t xml:space="preserve"> Graft of hand or foot nerve , 4.0 cm or less</t>
  </si>
  <si>
    <t xml:space="preserve"> Graft of hand or foot nerve, more than 4.0 cm</t>
  </si>
  <si>
    <t xml:space="preserve"> Graft of arm or leg nerve, 4.0 cm or less</t>
  </si>
  <si>
    <t xml:space="preserve"> Graft of arm or leg nerve, more than 4.0 cm</t>
  </si>
  <si>
    <t xml:space="preserve"> Graft of multiple hand or foot nerves, 4.0 cm or less</t>
  </si>
  <si>
    <t xml:space="preserve"> Graft of multiple hand or foot nerves, more than 4.0 cm</t>
  </si>
  <si>
    <t xml:space="preserve"> Graft of multiple arm or leg nerves, 4.0 cm or less</t>
  </si>
  <si>
    <t xml:space="preserve"> Graft of multiple arm or leg nerves, more than 4.0 cm</t>
  </si>
  <si>
    <t xml:space="preserve"> Graft of single strand of nerve, each additional nerve</t>
  </si>
  <si>
    <t xml:space="preserve"> Graft of multiple nerve sections</t>
  </si>
  <si>
    <t xml:space="preserve"> Transfer of nerve to injured nerve, stage 1 of 2</t>
  </si>
  <si>
    <t xml:space="preserve"> Transfer of nerve to injured nerve, stage 2 of 2</t>
  </si>
  <si>
    <t xml:space="preserve"> Repair of nerve with graft</t>
  </si>
  <si>
    <t xml:space="preserve"> Repair of nerve using nerve graft, first strand</t>
  </si>
  <si>
    <t xml:space="preserve"> Repair of nerve using nerve graft, each additional strand</t>
  </si>
  <si>
    <t xml:space="preserve"> Other procedure on nervous system</t>
  </si>
  <si>
    <t xml:space="preserve"> Removal of eye contents</t>
  </si>
  <si>
    <t xml:space="preserve"> Removal of eye contents with insertion of implant</t>
  </si>
  <si>
    <t xml:space="preserve"> Removal of eyeball</t>
  </si>
  <si>
    <t xml:space="preserve"> Removal of eyeball with insertion of implant</t>
  </si>
  <si>
    <t xml:space="preserve"> Removal of eyeball with insertion of implant attached to muscles</t>
  </si>
  <si>
    <t xml:space="preserve"> Removal of eye contents and eye socket bone</t>
  </si>
  <si>
    <t xml:space="preserve"> Removal of eye contents and therapeutic removal of eye socket bone</t>
  </si>
  <si>
    <t xml:space="preserve"> Removal of eye contents with muscle or flap graft</t>
  </si>
  <si>
    <t xml:space="preserve"> Placement or replacement of peg in eye implant</t>
  </si>
  <si>
    <t xml:space="preserve"> Insertion of eye implant in scleral shell after evisceration</t>
  </si>
  <si>
    <t xml:space="preserve"> Insertion of eye implant after removal of eye</t>
  </si>
  <si>
    <t xml:space="preserve"> Insertion of eye implant attached to muscles after removal of eye</t>
  </si>
  <si>
    <t xml:space="preserve"> Reinsertion of eye implant</t>
  </si>
  <si>
    <t xml:space="preserve"> Reinsertion of eye implant using foreign material and/or attachment to muscles for reinforcement</t>
  </si>
  <si>
    <t xml:space="preserve"> Removal of eye implant</t>
  </si>
  <si>
    <t xml:space="preserve"> Removal of foreign body from external eye (conjunctiva)</t>
  </si>
  <si>
    <t xml:space="preserve"> Removal of foreign body from external eye (conjunctiva or sclera)</t>
  </si>
  <si>
    <t xml:space="preserve"> Removal of foreign body in cornea</t>
  </si>
  <si>
    <t xml:space="preserve"> Removal of foreign body in cornea using slit lamp</t>
  </si>
  <si>
    <t xml:space="preserve"> Removal of foreign body in eye or lens</t>
  </si>
  <si>
    <t xml:space="preserve"> Removal of foreign body in eye with a magnet</t>
  </si>
  <si>
    <t xml:space="preserve"> Removal of foreign body in eye</t>
  </si>
  <si>
    <t xml:space="preserve"> Repair of lacerated conjunctiva</t>
  </si>
  <si>
    <t xml:space="preserve"> Repair of lacerated conjunctiva using flap or graft</t>
  </si>
  <si>
    <t xml:space="preserve"> Repair of lacerated cornea</t>
  </si>
  <si>
    <t xml:space="preserve"> Repair of perforating laceration of cornea and/or sclera</t>
  </si>
  <si>
    <t xml:space="preserve"> Repair of perforating laceration of cornea and/or sclera with reposition or removal of uveal tissue</t>
  </si>
  <si>
    <t xml:space="preserve"> Repair of lacerated cornea and/or sclera using tissue glue</t>
  </si>
  <si>
    <t xml:space="preserve"> Repair of wound of eye muscle or tendon</t>
  </si>
  <si>
    <t xml:space="preserve"> Removal of growth of cornea</t>
  </si>
  <si>
    <t xml:space="preserve"> Biopsy of cornea</t>
  </si>
  <si>
    <t xml:space="preserve"> Removal or relocation of corneal conjunctiva</t>
  </si>
  <si>
    <t xml:space="preserve"> Removal or relocation of corneal conjunctiva with graft</t>
  </si>
  <si>
    <t xml:space="preserve"> Scraping of cornea for diagnosis</t>
  </si>
  <si>
    <t xml:space="preserve"> Removal of outer layer of cornea</t>
  </si>
  <si>
    <t xml:space="preserve"> Removal of outer layer of cornea with application of chelating agent</t>
  </si>
  <si>
    <t xml:space="preserve"> Destruction of growth of cornea</t>
  </si>
  <si>
    <t xml:space="preserve"> Multiple punctures of cornea</t>
  </si>
  <si>
    <t xml:space="preserve"> Transplantation of tissue from 1 cornea to other cornea</t>
  </si>
  <si>
    <t xml:space="preserve"> Penetrating transplantation of tissue from 1 cornea to other cornea (except in aphakia or pseudophakia)</t>
  </si>
  <si>
    <t xml:space="preserve"> Penetrating transplantation of tissue from 1 cornea to other cornea (in aphakia)</t>
  </si>
  <si>
    <t xml:space="preserve"> Penetrating transplantation of tissue from 1 cornea to other cornea (in pseudophakia)</t>
  </si>
  <si>
    <t xml:space="preserve"> Transplantation of outer layer of corneal tissue</t>
  </si>
  <si>
    <t xml:space="preserve"> Preparation of corneal tissue for transplant</t>
  </si>
  <si>
    <t xml:space="preserve"> Removal and reshaping of corneal tissue</t>
  </si>
  <si>
    <t xml:space="preserve"> Transplantation of donor cornea</t>
  </si>
  <si>
    <t xml:space="preserve"> Transplantation of donor corneal tissue</t>
  </si>
  <si>
    <t xml:space="preserve"> Insertion of cornea prosthesis</t>
  </si>
  <si>
    <t xml:space="preserve"> Incision of cornea to correct astigmatism</t>
  </si>
  <si>
    <t xml:space="preserve"> Removal of corneal tissue to correct astigmatism</t>
  </si>
  <si>
    <t xml:space="preserve"> Placement of amniotic membrane on eye surface for wound healing</t>
  </si>
  <si>
    <t xml:space="preserve"> Placement of amniotic membrane on eye surface with sutures for wound healing</t>
  </si>
  <si>
    <t xml:space="preserve"> Transplantation of fetal sac tissue to cornea</t>
  </si>
  <si>
    <t xml:space="preserve"> Transplantation of stem cells to cornea</t>
  </si>
  <si>
    <t xml:space="preserve"> Transplantation of stem cells from 1 cornea to other cornea</t>
  </si>
  <si>
    <t xml:space="preserve"> Implantation of corneal ring segments</t>
  </si>
  <si>
    <t xml:space="preserve"> Removal of eye fluid</t>
  </si>
  <si>
    <t xml:space="preserve"> Complex removal of eye fluid</t>
  </si>
  <si>
    <t xml:space="preserve"> Removal of blood from eye</t>
  </si>
  <si>
    <t xml:space="preserve"> Incision to improve eye fluid flow</t>
  </si>
  <si>
    <t xml:space="preserve"> Insertion of eye fluid drainage tube</t>
  </si>
  <si>
    <t xml:space="preserve"> Laser repair to improve eye fluid flow</t>
  </si>
  <si>
    <t xml:space="preserve"> Laser removal of scar tissue of eye</t>
  </si>
  <si>
    <t xml:space="preserve"> Removal of scar tissue in eye (goniosynechiae)</t>
  </si>
  <si>
    <t xml:space="preserve"> Removal of scar tissue in eye (anterior synechiae)</t>
  </si>
  <si>
    <t xml:space="preserve"> Removal of scar tissue in eye (posterior synechiae)</t>
  </si>
  <si>
    <t xml:space="preserve"> Removal of corneal scar tissue</t>
  </si>
  <si>
    <t xml:space="preserve"> Removal of outer lining of cornea</t>
  </si>
  <si>
    <t xml:space="preserve"> Removal of implanted lens of eye</t>
  </si>
  <si>
    <t xml:space="preserve"> Removal of blood clot of eye</t>
  </si>
  <si>
    <t>INJECTION OF AIR OR LIQUID INTO EYE</t>
  </si>
  <si>
    <t xml:space="preserve"> Injection of medication into eye</t>
  </si>
  <si>
    <t xml:space="preserve"> Removal of growth of sclera</t>
  </si>
  <si>
    <t xml:space="preserve"> Partial removal of iris and creation of drainage hole for treatment of glaucoma</t>
  </si>
  <si>
    <t xml:space="preserve"> Partial removal of iris using heat for treatment of glaucoma</t>
  </si>
  <si>
    <t xml:space="preserve"> Removal of sclera and iris and creation of eye fluid drainage tract for treatment of glaucoma</t>
  </si>
  <si>
    <t xml:space="preserve"> Creation of eye fluid drainage tract for treatment of glaucoma</t>
  </si>
  <si>
    <t xml:space="preserve"> Creation of eye fluid drainage tract for treatment of glaucoma with previous scarring</t>
  </si>
  <si>
    <t xml:space="preserve"> Dilation of fluid outflow drainage within eye</t>
  </si>
  <si>
    <t xml:space="preserve"> Dilation of fluid outflow drainage within eye with insertion of device to maintain open channel</t>
  </si>
  <si>
    <t xml:space="preserve"> Creation of shunt to improve eye fluid flow</t>
  </si>
  <si>
    <t xml:space="preserve"> Creation of shunt to improve eye fluid flow using tissue graft</t>
  </si>
  <si>
    <t xml:space="preserve"> Insertion of eye fluid drainage device</t>
  </si>
  <si>
    <t xml:space="preserve"> Revision of eye fluid drainage shunt</t>
  </si>
  <si>
    <t xml:space="preserve"> Revision of eye fluid drainage shunt with graft</t>
  </si>
  <si>
    <t xml:space="preserve"> Repair of protrusion of inner tissue through eyeball with graft</t>
  </si>
  <si>
    <t xml:space="preserve"> Revision or repair of operative wound of eye</t>
  </si>
  <si>
    <t xml:space="preserve"> Incision of iris to improve eye fluid flow</t>
  </si>
  <si>
    <t xml:space="preserve"> Incision and drainage of eye fluid accumulation of iris</t>
  </si>
  <si>
    <t xml:space="preserve"> Removal of iris and growth</t>
  </si>
  <si>
    <t xml:space="preserve"> Removal of iris and eyelid border to improve eye fluid flow with partial removal of ciliary muscle</t>
  </si>
  <si>
    <t xml:space="preserve"> Removal of margin of iris to improve eye fluid flow</t>
  </si>
  <si>
    <t xml:space="preserve"> Removal of section of iris to improve eye fluid flow</t>
  </si>
  <si>
    <t xml:space="preserve"> Partial removal of iris and eyelid border to improve eye fluid flow</t>
  </si>
  <si>
    <t xml:space="preserve"> Repair of iris and lens</t>
  </si>
  <si>
    <t xml:space="preserve"> Suture of iris and lens</t>
  </si>
  <si>
    <t xml:space="preserve"> Destruction of lens tissue</t>
  </si>
  <si>
    <t xml:space="preserve"> Destruction of lens tissue using laser</t>
  </si>
  <si>
    <t xml:space="preserve"> Destruction of tissue encircling lens using an endoscope</t>
  </si>
  <si>
    <t xml:space="preserve"> Destruction of tissue encircling lens</t>
  </si>
  <si>
    <t xml:space="preserve"> Destruction of tissue of eyelid border</t>
  </si>
  <si>
    <t xml:space="preserve"> Creation of eye fluid drainage tracts in iris using a laser, per session</t>
  </si>
  <si>
    <t xml:space="preserve"> Creation of opening of iris for eye fluid drainage using a laser</t>
  </si>
  <si>
    <t xml:space="preserve"> Destruction of growth of iris using a laser</t>
  </si>
  <si>
    <t xml:space="preserve"> Removal of recurring cataract in lens capsule by stab incision</t>
  </si>
  <si>
    <t xml:space="preserve"> Removal of recurring cataract in lens capsule using a laser</t>
  </si>
  <si>
    <t xml:space="preserve"> Repositioning of lens prosthesis</t>
  </si>
  <si>
    <t xml:space="preserve"> Removal of recurring cataract in lens capsule with sectioning of cornea and scleral areas</t>
  </si>
  <si>
    <t xml:space="preserve"> Aspiration of lens material by aspiration</t>
  </si>
  <si>
    <t xml:space="preserve"> Aspiration of lens material by fragmenting and aspiration</t>
  </si>
  <si>
    <t xml:space="preserve"> Removal of lens material</t>
  </si>
  <si>
    <t xml:space="preserve"> Removal of lens material and capsule</t>
  </si>
  <si>
    <t xml:space="preserve"> Removal of lens material and capsule for dislocated lens</t>
  </si>
  <si>
    <t xml:space="preserve"> Removal of lens material and portion of lens capsule</t>
  </si>
  <si>
    <t xml:space="preserve"> Complex removal of cataract with insertion of prosthetic lens</t>
  </si>
  <si>
    <t xml:space="preserve"> Removal of cataract and capsule with insertion of prosthetic lens</t>
  </si>
  <si>
    <t xml:space="preserve"> Removal of cataract with insertion of prosthetic lens</t>
  </si>
  <si>
    <t xml:space="preserve"> Insertion of prosthetic lens</t>
  </si>
  <si>
    <t xml:space="preserve"> Exchange of prosthetic lens</t>
  </si>
  <si>
    <t xml:space="preserve"> Complex removal of cataract with insertion of prosthetic lens and laser treatment to decrease fluid production in eye</t>
  </si>
  <si>
    <t xml:space="preserve"> Removal of cataract with insertion of prosthetic lens and laser treatment to decrease fluid production in eye</t>
  </si>
  <si>
    <t xml:space="preserve"> Complex extracapsular removal of cataract with insertion of artificial lens and insertion of drainage device in front chamber of eye</t>
  </si>
  <si>
    <t xml:space="preserve"> Exam of eye using an endoscope</t>
  </si>
  <si>
    <t xml:space="preserve"> Extracapsular removal of cataract with insertion of artificial lens and insertion of drainage device in front chamber of eye</t>
  </si>
  <si>
    <t xml:space="preserve"> Other procedure on front of eye</t>
  </si>
  <si>
    <t xml:space="preserve"> Partial removal of eye fluid between lens and retina</t>
  </si>
  <si>
    <t xml:space="preserve"> Partial removal of eye fluid between lens and retina with mechanical removal of eye fluid</t>
  </si>
  <si>
    <t xml:space="preserve"> Aspiration or release of eye fluid between lens and retina</t>
  </si>
  <si>
    <t xml:space="preserve"> Injection of synthetic eye fluid</t>
  </si>
  <si>
    <t xml:space="preserve"> Implantation of eye drug delivery system</t>
  </si>
  <si>
    <t xml:space="preserve"> Injection of drug into eye</t>
  </si>
  <si>
    <t xml:space="preserve"> Cutting of strands of eye fluid between lens and retina</t>
  </si>
  <si>
    <t xml:space="preserve"> Release of scar tissue between lens and retina using a laser</t>
  </si>
  <si>
    <t xml:space="preserve"> Removal of eye fluid (vitreous) between lens and retina</t>
  </si>
  <si>
    <t xml:space="preserve"> Destruction of eye fluid (vitreous) between lens and retina using a laser</t>
  </si>
  <si>
    <t xml:space="preserve"> Destruction of eye fluid (vitreous) between lens and retina and all of retina using a laser</t>
  </si>
  <si>
    <t xml:space="preserve"> Removal of membrane of retina</t>
  </si>
  <si>
    <t xml:space="preserve"> Removal of membrane of retina with removal of internal limiting membrane of retina</t>
  </si>
  <si>
    <t xml:space="preserve"> Removal of membrane of retina with removal of subretinal membrane</t>
  </si>
  <si>
    <t xml:space="preserve"> Repair of detached retina by cold treatment</t>
  </si>
  <si>
    <t xml:space="preserve"> Repair of detached retina using a laser</t>
  </si>
  <si>
    <t xml:space="preserve"> Repair of detached retina and drainage of eye fluid between lens and retina</t>
  </si>
  <si>
    <t xml:space="preserve"> Repair of detached retina with drainage and removal of eye fluid between lens and retina</t>
  </si>
  <si>
    <t xml:space="preserve"> Repair of detached retina by injection of air or gas</t>
  </si>
  <si>
    <t xml:space="preserve"> Complex repair of detached retina and drainage of eye fluid between lens and retina</t>
  </si>
  <si>
    <t xml:space="preserve"> Release of material used for retina repair</t>
  </si>
  <si>
    <t xml:space="preserve"> Removal of implant material from outside of eye</t>
  </si>
  <si>
    <t xml:space="preserve"> Removal of implant material from inside of eye</t>
  </si>
  <si>
    <t xml:space="preserve"> Heat or freezing treatment to prevent detachment of retina</t>
  </si>
  <si>
    <t xml:space="preserve"> Photocoagulation treatment to prevent detachment of retina</t>
  </si>
  <si>
    <t xml:space="preserve"> Destruction of growth of retina by heat or freezing</t>
  </si>
  <si>
    <t xml:space="preserve"> Destruction of growth of retina using a laser</t>
  </si>
  <si>
    <t xml:space="preserve"> Destruction of growth of retina by implantation of radiation source</t>
  </si>
  <si>
    <t xml:space="preserve"> Destruction of vascular growth between retina and sclera by photocoagulation</t>
  </si>
  <si>
    <t xml:space="preserve"> Destruction of vascular growth between retina and sclera by photodynamic therapy</t>
  </si>
  <si>
    <t xml:space="preserve"> Destruction of vascular growth between retina and sclera by photodynamic therapy for second eye at 1 session</t>
  </si>
  <si>
    <t xml:space="preserve"> Destruction of leaking blood vessels of retina</t>
  </si>
  <si>
    <t xml:space="preserve"> Destruction of leaking blood vessels of retina using laser</t>
  </si>
  <si>
    <t xml:space="preserve"> Destruction of leaking blood vessels of retina, preterm infant</t>
  </si>
  <si>
    <t xml:space="preserve"> Repair of defect of sclera</t>
  </si>
  <si>
    <t xml:space="preserve"> Repair of defect of sclera with graft</t>
  </si>
  <si>
    <t xml:space="preserve"> Realignment of horizontal eye muscle</t>
  </si>
  <si>
    <t xml:space="preserve"> Realignment of eye by repair of 2 horizontal muscles</t>
  </si>
  <si>
    <t xml:space="preserve"> Realignment of vertical eye muscle</t>
  </si>
  <si>
    <t xml:space="preserve"> Realignment of multiple vertical eye muscles</t>
  </si>
  <si>
    <t xml:space="preserve"> Realignment of eye muscle at upper inner edge of eye</t>
  </si>
  <si>
    <t xml:space="preserve"> Relocation of eye muscle to restore function</t>
  </si>
  <si>
    <t xml:space="preserve"> Realignment of eye muscle following injury or eye surgery</t>
  </si>
  <si>
    <t xml:space="preserve"> Realignment of eye muscle complicated by scarring or restrictive muscle movement</t>
  </si>
  <si>
    <t xml:space="preserve"> Realignment of eye muscle by suture</t>
  </si>
  <si>
    <t xml:space="preserve"> Placement of adjustable sutures during eye muscle surgery</t>
  </si>
  <si>
    <t xml:space="preserve"> Realignment and repair of detached eye muscle</t>
  </si>
  <si>
    <t xml:space="preserve"> Release of extensive scar tissue of eye</t>
  </si>
  <si>
    <t xml:space="preserve"> Destruction of eye muscle by injection of chemical</t>
  </si>
  <si>
    <t xml:space="preserve"> Biopsy of eye muscle</t>
  </si>
  <si>
    <t xml:space="preserve"> Exploration of cavity behind eye</t>
  </si>
  <si>
    <t xml:space="preserve"> Incision and drainage of cavity behind eye</t>
  </si>
  <si>
    <t xml:space="preserve"> Removal of growth of cavity behind eye</t>
  </si>
  <si>
    <t xml:space="preserve"> Removal of foreign body in cavity behind eye</t>
  </si>
  <si>
    <t xml:space="preserve"> Removal of bone cavity behind eye for decompression</t>
  </si>
  <si>
    <t xml:space="preserve"> Fine needle aspiration of orbital contents</t>
  </si>
  <si>
    <t xml:space="preserve"> Removal of bone and growth of cavity behind eye</t>
  </si>
  <si>
    <t xml:space="preserve"> Removal of bone and foreign body in cavity behind eye</t>
  </si>
  <si>
    <t xml:space="preserve"> Removal of bone with drainage from cavity behind eye</t>
  </si>
  <si>
    <t xml:space="preserve"> Removal of bone from cavity behind eye with bone flap</t>
  </si>
  <si>
    <t xml:space="preserve"> Exploration of cavity behind eye with bone flap</t>
  </si>
  <si>
    <t xml:space="preserve"> Injection of drug into cavity behind eye</t>
  </si>
  <si>
    <t xml:space="preserve"> Injection of alcohol into cavity behind eye</t>
  </si>
  <si>
    <t xml:space="preserve"> Injection of drug or substance into membrane covering eyeball</t>
  </si>
  <si>
    <t xml:space="preserve"> Injection of drug into the space between the cornea and retina in the eye</t>
  </si>
  <si>
    <t xml:space="preserve"> Insertion of implant outside eye muscles</t>
  </si>
  <si>
    <t xml:space="preserve"> Removal or revision of implant outside eye muscles</t>
  </si>
  <si>
    <t xml:space="preserve"> Release of optic nerve</t>
  </si>
  <si>
    <t xml:space="preserve"> Incision and drainage of abscess of eyelid</t>
  </si>
  <si>
    <t xml:space="preserve"> Removal of sutures between upper and lower eyelids</t>
  </si>
  <si>
    <t xml:space="preserve"> Incision of corner of eye at eyelid</t>
  </si>
  <si>
    <t xml:space="preserve"> Removal of chronic growth of eyelid</t>
  </si>
  <si>
    <t xml:space="preserve"> Removal of multiple chronic growths of same eyelid</t>
  </si>
  <si>
    <t xml:space="preserve"> Removal of multiple chronic growths of different eyelids</t>
  </si>
  <si>
    <t xml:space="preserve"> Removal of chronic eyelid growth under general anesthesia and/or requiring hospitalization</t>
  </si>
  <si>
    <t xml:space="preserve"> Biopsy of eyelid</t>
  </si>
  <si>
    <t xml:space="preserve"> Removal of eyelashes using forceps</t>
  </si>
  <si>
    <t xml:space="preserve"> Removal of eyelashes</t>
  </si>
  <si>
    <t xml:space="preserve"> Removal of eyelashes by incision</t>
  </si>
  <si>
    <t xml:space="preserve"> Removal of eyelashes with graft</t>
  </si>
  <si>
    <t xml:space="preserve"> Removal of growth of eyelid</t>
  </si>
  <si>
    <t xml:space="preserve"> Destruction of growth of eyelid margin, 1.0 cm or less</t>
  </si>
  <si>
    <t xml:space="preserve"> Temporary closure of eyelids by suture</t>
  </si>
  <si>
    <t xml:space="preserve"> Creation of permanent eyelid margin scarring</t>
  </si>
  <si>
    <t xml:space="preserve"> Creation of permanent eyelid margin scarring with relocation of eyelid tissue</t>
  </si>
  <si>
    <t xml:space="preserve"> Repair of brow paralysis</t>
  </si>
  <si>
    <t xml:space="preserve"> Repair of upper eyelid muscle to correct drooping or paralysis using external material</t>
  </si>
  <si>
    <t xml:space="preserve"> Repair of upper eyelid muscle to correct drooping or paralysis using internal tissues</t>
  </si>
  <si>
    <t xml:space="preserve"> Shortening or advancement of upper eyelid muscle to correct drooping or paralysis</t>
  </si>
  <si>
    <t xml:space="preserve"> Repair of tendon of upper eyelid</t>
  </si>
  <si>
    <t xml:space="preserve"> Suspension of upper eyelid muscle to correct drooping or paralysis</t>
  </si>
  <si>
    <t xml:space="preserve"> Removal of tissue, muscle, and membrane to correct eyelid drooping or paralysis</t>
  </si>
  <si>
    <t xml:space="preserve"> Revision of surgery to correct drooping or paralyzed upper eyelid</t>
  </si>
  <si>
    <t xml:space="preserve"> Correction of widely-opened upper eyelid</t>
  </si>
  <si>
    <t xml:space="preserve"> Restoration of eyelid blinking function with implant</t>
  </si>
  <si>
    <t xml:space="preserve"> Suture repair of turning-outward upper or lower eyelid defect</t>
  </si>
  <si>
    <t xml:space="preserve"> Repair of turning-outward defect of upper or lower eyelid using heat</t>
  </si>
  <si>
    <t xml:space="preserve"> Repair of turning-outward eyelid defect</t>
  </si>
  <si>
    <t xml:space="preserve"> Extensive repair of turning-outward eyelid defect</t>
  </si>
  <si>
    <t xml:space="preserve"> Suture repair of turning-inward eyelid defect</t>
  </si>
  <si>
    <t xml:space="preserve"> Repair of turning-inward eyelid defect using heat</t>
  </si>
  <si>
    <t xml:space="preserve"> Repair of turning-inward eyelid defect</t>
  </si>
  <si>
    <t xml:space="preserve"> Extensive repair of turning-inward eyelid defect</t>
  </si>
  <si>
    <t xml:space="preserve"> Suture of recent wound of eyelid</t>
  </si>
  <si>
    <t xml:space="preserve"> Repair of wound of eyelid margin</t>
  </si>
  <si>
    <t xml:space="preserve"> Removal of embedded foreign body in eyelid</t>
  </si>
  <si>
    <t xml:space="preserve"> Reconstruction of eyelid margin</t>
  </si>
  <si>
    <t xml:space="preserve"> Removal of up to 1/4 of eyelid margin and repair of eyelid</t>
  </si>
  <si>
    <t xml:space="preserve"> Removal of over 1/4 of eyelid margin and repair of eyelid</t>
  </si>
  <si>
    <t xml:space="preserve"> Reconstruction of up to 2/3 of eyelid with tissue from opposite eyelid</t>
  </si>
  <si>
    <t xml:space="preserve"> Reconstruction of lower eyelid by transfer of eyelid tissue from opposite eyelid</t>
  </si>
  <si>
    <t xml:space="preserve"> Reconstruction of upper eyelid with tissue from opposite eyelid</t>
  </si>
  <si>
    <t xml:space="preserve"> Reconstruction of eyelid by transfer of eyelid tissue from opposite eyelid</t>
  </si>
  <si>
    <t xml:space="preserve"> Incision and drainage of cyst of eye</t>
  </si>
  <si>
    <t xml:space="preserve"> Removal of scars of eyelid lining due to infection</t>
  </si>
  <si>
    <t xml:space="preserve"> Biopsy of eyelid lining</t>
  </si>
  <si>
    <t xml:space="preserve"> Removal of growth of eyelid lining, 1.0 cm or less</t>
  </si>
  <si>
    <t xml:space="preserve"> Removal of growth of eyelid lining, more than 1.0 cm</t>
  </si>
  <si>
    <t xml:space="preserve"> Removal of growth of eyelid lining and sclera</t>
  </si>
  <si>
    <t xml:space="preserve"> Destruction of growth of eyelid lining</t>
  </si>
  <si>
    <t xml:space="preserve"> Injection into conjunctiva</t>
  </si>
  <si>
    <t xml:space="preserve"> Repair of eyelid lining with graft from external eye</t>
  </si>
  <si>
    <t xml:space="preserve"> Repair of conjunctiva with graft from cheek tissue</t>
  </si>
  <si>
    <t xml:space="preserve"> Reconstruction of conjunctiva with graft from outer eye or rearrangement</t>
  </si>
  <si>
    <t xml:space="preserve"> Reconstruction of conjunctiva with graft from cheek</t>
  </si>
  <si>
    <t xml:space="preserve"> Release of scar tissue from conjunctiva</t>
  </si>
  <si>
    <t xml:space="preserve"> Release of scar tissue from eyelids with graft</t>
  </si>
  <si>
    <t xml:space="preserve"> Release of scar tissue from eyelids</t>
  </si>
  <si>
    <t xml:space="preserve"> Partial relocation of conjunctival flap</t>
  </si>
  <si>
    <t xml:space="preserve"> Relocation of conjunctival flap</t>
  </si>
  <si>
    <t xml:space="preserve"> Harvest of donor conjunctiva</t>
  </si>
  <si>
    <t xml:space="preserve"> Other procedure on conjunctiva</t>
  </si>
  <si>
    <t xml:space="preserve"> Incision and drainage of tear producing gland</t>
  </si>
  <si>
    <t xml:space="preserve"> Incision and drainage of tear duct sac</t>
  </si>
  <si>
    <t xml:space="preserve"> Snip incision of tear duct at inner corner of eye</t>
  </si>
  <si>
    <t xml:space="preserve"> Removal of tear producing gland</t>
  </si>
  <si>
    <t xml:space="preserve"> Partial removal of tear producing gland</t>
  </si>
  <si>
    <t xml:space="preserve"> Biopsy of tear producing gland</t>
  </si>
  <si>
    <t xml:space="preserve"> Removal of tear sac</t>
  </si>
  <si>
    <t xml:space="preserve"> Biopsy of tear sac</t>
  </si>
  <si>
    <t xml:space="preserve"> Removal of foreign body or stone in tear passages</t>
  </si>
  <si>
    <t xml:space="preserve"> Removal of growth of tear producing gland</t>
  </si>
  <si>
    <t xml:space="preserve"> Removal of growth of tear producing gland with osteotomy</t>
  </si>
  <si>
    <t xml:space="preserve"> Plastic repair of tear duct</t>
  </si>
  <si>
    <t xml:space="preserve"> Release of tissue at tear duct opening</t>
  </si>
  <si>
    <t xml:space="preserve"> Creation of drainage tract from tear sac to nasal cavity</t>
  </si>
  <si>
    <t xml:space="preserve"> Creation of tear drainage tract to nasal cavity</t>
  </si>
  <si>
    <t xml:space="preserve"> Creation of tear drainage tract to nasal cavity with insertion of tube or stent</t>
  </si>
  <si>
    <t xml:space="preserve"> Repair tear duct opening by heat, tying, or laser surgery</t>
  </si>
  <si>
    <t xml:space="preserve"> Closure of tear duct opening using plug</t>
  </si>
  <si>
    <t xml:space="preserve"> Closure of abnormal tear drainage tract</t>
  </si>
  <si>
    <t xml:space="preserve"> Dilation of tear drainage opening</t>
  </si>
  <si>
    <t xml:space="preserve"> Insertion of probe into nasal tear duct</t>
  </si>
  <si>
    <t xml:space="preserve"> Insertion of probe into nasal tear duct under anesthesia</t>
  </si>
  <si>
    <t xml:space="preserve"> Probing of nasal tear duct with insertion of tube or stent</t>
  </si>
  <si>
    <t xml:space="preserve"> Probing of nasal tear duct with balloon tube dilation</t>
  </si>
  <si>
    <t xml:space="preserve"> Probing of nasal tear duct</t>
  </si>
  <si>
    <t xml:space="preserve"> Insertion of drug delivery implant into tear duct of eye</t>
  </si>
  <si>
    <t xml:space="preserve"> Injection of contrast for imaging of tear sac</t>
  </si>
  <si>
    <t xml:space="preserve"> Other procedure on tear producing drainage system</t>
  </si>
  <si>
    <t xml:space="preserve"> Simple drainage of abscess or blood accumulation of external ear</t>
  </si>
  <si>
    <t xml:space="preserve"> Complicated drainage of external ear abscess or blood accumulation</t>
  </si>
  <si>
    <t xml:space="preserve"> Drainage of abscess of ear canal</t>
  </si>
  <si>
    <t xml:space="preserve"> Biopsy of ear</t>
  </si>
  <si>
    <t xml:space="preserve"> Biopsy of ear canal</t>
  </si>
  <si>
    <t xml:space="preserve"> Partial removal of external ear with simple repair</t>
  </si>
  <si>
    <t xml:space="preserve"> Removal of entire ear</t>
  </si>
  <si>
    <t xml:space="preserve"> Removal of bony growths of ear canal</t>
  </si>
  <si>
    <t xml:space="preserve"> Removal of growth in soft tissue of ear canal</t>
  </si>
  <si>
    <t xml:space="preserve"> Removal of growth of ear canal</t>
  </si>
  <si>
    <t xml:space="preserve"> Removal of foreign body in ear canal</t>
  </si>
  <si>
    <t xml:space="preserve"> Removal of foreign body in ear canal under anesthesia</t>
  </si>
  <si>
    <t xml:space="preserve"> Removal of impacted ear wax by washing</t>
  </si>
  <si>
    <t xml:space="preserve"> Removal of impacted ear wax</t>
  </si>
  <si>
    <t xml:space="preserve"> Simple removal of skin debris and drainage of mastoid cavity</t>
  </si>
  <si>
    <t xml:space="preserve"> Complex removal of skin debris and drainage of mastoid cavity</t>
  </si>
  <si>
    <t xml:space="preserve"> Repair of protruding ear</t>
  </si>
  <si>
    <t xml:space="preserve"> Reconstruction of ear canal</t>
  </si>
  <si>
    <t xml:space="preserve"> Creation of ear canal</t>
  </si>
  <si>
    <t xml:space="preserve"> Other procedure on external ear</t>
  </si>
  <si>
    <t xml:space="preserve"> Incision, aspiration, and/or inflation of eardrum</t>
  </si>
  <si>
    <t xml:space="preserve"> Incision, aspiration, and inflation of eardrum under anesthesia</t>
  </si>
  <si>
    <t xml:space="preserve"> Removal of implanted eardrum tube under anesthesia</t>
  </si>
  <si>
    <t xml:space="preserve"> Incision of eardrum with insertion of eardrum tube under local or topical anesthesia</t>
  </si>
  <si>
    <t xml:space="preserve"> Incision of eardrum with placement of eardrum tube under general anesthesia</t>
  </si>
  <si>
    <t xml:space="preserve"> Exploration of middle ear</t>
  </si>
  <si>
    <t xml:space="preserve"> Incision of ear canal with release of scar tissue</t>
  </si>
  <si>
    <t xml:space="preserve"> Incision of mastoid bone</t>
  </si>
  <si>
    <t xml:space="preserve"> Removal of middle ear (mastoid) bone</t>
  </si>
  <si>
    <t xml:space="preserve"> Removal of middle ear bone and removal of growth of middle ear</t>
  </si>
  <si>
    <t xml:space="preserve"> Extensive removal of mastoid bone</t>
  </si>
  <si>
    <t xml:space="preserve"> Extensive removal of bones around inner ear and mastoid bone</t>
  </si>
  <si>
    <t xml:space="preserve"> Removal of polyp of outer ear</t>
  </si>
  <si>
    <t xml:space="preserve"> Removal of growth of outer ear through ear canal</t>
  </si>
  <si>
    <t xml:space="preserve"> Removal of growth of outer ear through mastoid bone</t>
  </si>
  <si>
    <t xml:space="preserve"> Revision of operation of middle ear bones and removal of remaining bones</t>
  </si>
  <si>
    <t xml:space="preserve"> Revision of previous mastoid bone surgery</t>
  </si>
  <si>
    <t xml:space="preserve"> Extensive revision of previous mastoid bone surgery</t>
  </si>
  <si>
    <t xml:space="preserve"> Revision of operation of middle ear and eardrum</t>
  </si>
  <si>
    <t xml:space="preserve"> Repair of eardrum</t>
  </si>
  <si>
    <t xml:space="preserve"> Repair of defect or tear of eardrum</t>
  </si>
  <si>
    <t xml:space="preserve"> Repair of eardrum and ear canal with opening to ear bones</t>
  </si>
  <si>
    <t xml:space="preserve"> Repair of eardrum, ear canal, and bones</t>
  </si>
  <si>
    <t xml:space="preserve"> Repair of eardrum, ear canal, and bones with insertion of prosthesis</t>
  </si>
  <si>
    <t xml:space="preserve"> Repair of eardrum and ear canal with incision of middle ear bone</t>
  </si>
  <si>
    <t xml:space="preserve"> Repair of eardrum, ear canal, and bones with incision of middle ear bone</t>
  </si>
  <si>
    <t xml:space="preserve"> Repair of eardrum, ear canal, and bones with placement of implant and opening of middle ear</t>
  </si>
  <si>
    <t xml:space="preserve"> Complex repair of eardrum and ear canal with removal of mastoid bone</t>
  </si>
  <si>
    <t xml:space="preserve"> Repair of eardrum, ear canal, and bones with removal of middle ear bone</t>
  </si>
  <si>
    <t xml:space="preserve"> Repair of eardrum and ear canal with removal of middle ear bone</t>
  </si>
  <si>
    <t xml:space="preserve"> Repair of eardrum, ear canal, and bones with removal of mastoid bone, with intact canal wall</t>
  </si>
  <si>
    <t xml:space="preserve"> Extensive repair of eardrum and ear canal with removal of middle ear bone</t>
  </si>
  <si>
    <t xml:space="preserve"> Extensive repair and reconstruction of eardrum and ear canal with removal of middle ear bone</t>
  </si>
  <si>
    <t xml:space="preserve"> Release of ear bone</t>
  </si>
  <si>
    <t xml:space="preserve"> Incision or removal of middle ear bone</t>
  </si>
  <si>
    <t xml:space="preserve"> Incision or removal of ear bone with drilling</t>
  </si>
  <si>
    <t xml:space="preserve"> Revision of operation of ear bone</t>
  </si>
  <si>
    <t xml:space="preserve"> Repair of opening of middle to inner ear</t>
  </si>
  <si>
    <t xml:space="preserve"> Repair of opening to cochlea</t>
  </si>
  <si>
    <t xml:space="preserve"> Creation of flap to close mastoid cavity</t>
  </si>
  <si>
    <t xml:space="preserve"> Removal of eardrum nerve</t>
  </si>
  <si>
    <t xml:space="preserve"> Closure of drainage tract of middle ear</t>
  </si>
  <si>
    <t xml:space="preserve"> Dilation of canal between middle ear and throat (eustachian tube) on one side of body, using endoscope inserted through nose</t>
  </si>
  <si>
    <t xml:space="preserve"> Dilation of canal between middle ear and throat (eustachian tube) on both sides of body, using endoscope inserted through nose</t>
  </si>
  <si>
    <t xml:space="preserve"> Insertion or replacement of ear bone hearing device</t>
  </si>
  <si>
    <t xml:space="preserve"> Removal or repair of hearing device in skull bone surrounding ear</t>
  </si>
  <si>
    <t xml:space="preserve"> Implantation of cochlear stimulating system into skull with attachment through skin to external speech processor</t>
  </si>
  <si>
    <t xml:space="preserve"> Implantation of cochlear stimulating system into mastoid bone of skull with magnetic attachment to external speech processor</t>
  </si>
  <si>
    <t xml:space="preserve"> Replacement of cochlear stimulating system in skull with attachment through skin to external speech processor</t>
  </si>
  <si>
    <t xml:space="preserve"> Replacement of cochlear stimulating system into mastoid bone of skull with magnetic attachment to external speech processor</t>
  </si>
  <si>
    <t xml:space="preserve"> Release of face nerve through side</t>
  </si>
  <si>
    <t xml:space="preserve"> Release of face nerve through bone surrounding ear</t>
  </si>
  <si>
    <t xml:space="preserve"> Removal of entire cochlear stimulating system from skull with attachment through skin to external speech processor</t>
  </si>
  <si>
    <t xml:space="preserve"> Removal of entire cochlear stimulating system from mastoid bone of skull with magnetic attachment to external speech processor</t>
  </si>
  <si>
    <t xml:space="preserve"> Removal of entire cochlear stimulating system from outside mastoid bone of skull with magnetic attachment to external speech processor</t>
  </si>
  <si>
    <t xml:space="preserve"> Implantation of cochlear stimulating system outside mastoid bone of skull with magnetic attachment to external speech processor</t>
  </si>
  <si>
    <t xml:space="preserve"> Replacement of cochlear stimulating system outside mastoid bone of skull with magnetic attachment to external speech processor</t>
  </si>
  <si>
    <t xml:space="preserve"> Repair of facial nerve external to geniculate ganglion</t>
  </si>
  <si>
    <t xml:space="preserve"> Repair of facial nerve internal to geniculate ganglion</t>
  </si>
  <si>
    <t xml:space="preserve"> Other procedure on middle ear</t>
  </si>
  <si>
    <t xml:space="preserve"> Incision of fluid canal of inner ear with infusion of drugs</t>
  </si>
  <si>
    <t xml:space="preserve"> Operation of inner ear</t>
  </si>
  <si>
    <t xml:space="preserve"> Operation of inner ear with insertion of shunt</t>
  </si>
  <si>
    <t xml:space="preserve"> Removal of inner ear canal</t>
  </si>
  <si>
    <t xml:space="preserve"> Removal of inner ear canal and mastoid bone</t>
  </si>
  <si>
    <t xml:space="preserve"> Severing of ear canal nerve through middle ear and skull bones</t>
  </si>
  <si>
    <t xml:space="preserve"> Insertion of cochlear device</t>
  </si>
  <si>
    <t xml:space="preserve"> Release of face nerve</t>
  </si>
  <si>
    <t xml:space="preserve"> Release of ear canal</t>
  </si>
  <si>
    <t xml:space="preserve"> Removal of growth from skull bone surrounding ear</t>
  </si>
  <si>
    <t xml:space="preserve"> Use of operating microscope</t>
  </si>
  <si>
    <t xml:space="preserve"> Review by radiologist of lower back portion of brain image</t>
  </si>
  <si>
    <t xml:space="preserve"> Review by radiologist of brain and spinal cord image</t>
  </si>
  <si>
    <t xml:space="preserve"> X-ray of eye for detection of foreign body</t>
  </si>
  <si>
    <t xml:space="preserve"> X-ray of part of lower jaw, 1-4 views</t>
  </si>
  <si>
    <t xml:space="preserve"> X-ray of lower jaw, minimum of 4 views</t>
  </si>
  <si>
    <t xml:space="preserve"> X-ray of bone behind the ear, 1-2 views per side</t>
  </si>
  <si>
    <t xml:space="preserve"> X-ray of bone behind the ear, minimum of 3 views per side</t>
  </si>
  <si>
    <t xml:space="preserve"> X-ray of inside of ear canal</t>
  </si>
  <si>
    <t xml:space="preserve"> X-ray of face bones, 1-2 views</t>
  </si>
  <si>
    <t xml:space="preserve"> X-ray of face bones, minimum of 3 views</t>
  </si>
  <si>
    <t xml:space="preserve"> X-ray of nose bones, minimum of 3 views</t>
  </si>
  <si>
    <t xml:space="preserve"> Review by radiologist of tear drainage structure of eye image</t>
  </si>
  <si>
    <t xml:space="preserve"> X-ray of eye canal</t>
  </si>
  <si>
    <t xml:space="preserve"> X-ray of eye socket, minimum of 4 views</t>
  </si>
  <si>
    <t xml:space="preserve"> X-ray of paranasal sinus, 1-2 views</t>
  </si>
  <si>
    <t xml:space="preserve"> X-ray of paranasal sinus, minimum of 3 views</t>
  </si>
  <si>
    <t xml:space="preserve"> X-ray of bone at base of skull</t>
  </si>
  <si>
    <t xml:space="preserve"> X-ray of skull, 1-3 views</t>
  </si>
  <si>
    <t xml:space="preserve"> X-ray of skull, minimum of 4 views</t>
  </si>
  <si>
    <t xml:space="preserve"> X-ray of teeth, 1 view</t>
  </si>
  <si>
    <t xml:space="preserve"> X-ray of teeth, less than full mouth</t>
  </si>
  <si>
    <t xml:space="preserve"> X-ray of teeth, full mouth</t>
  </si>
  <si>
    <t xml:space="preserve"> X-ray of jaw joint on 1 side of mouth</t>
  </si>
  <si>
    <t xml:space="preserve"> X-ray of jaw joints on both sides of mouth</t>
  </si>
  <si>
    <t xml:space="preserve"> Review by radiologist of hinged joint of upper and lower jaw bones image</t>
  </si>
  <si>
    <t xml:space="preserve"> MRI scan of jaw joint</t>
  </si>
  <si>
    <t xml:space="preserve"> Imaging of jaws and skull</t>
  </si>
  <si>
    <t xml:space="preserve"> X-ray of lower jaws, upper jaws and teeth</t>
  </si>
  <si>
    <t xml:space="preserve"> X-ray of soft tissue of neck</t>
  </si>
  <si>
    <t xml:space="preserve"> X-ray of voice box or throat</t>
  </si>
  <si>
    <t xml:space="preserve"> Imaging of voice box with speech evaluation</t>
  </si>
  <si>
    <t xml:space="preserve"> X-ray of saliva gland</t>
  </si>
  <si>
    <t xml:space="preserve"> Review by radiologist of salivary structure image</t>
  </si>
  <si>
    <t xml:space="preserve"> CT scan head or brain without contrast</t>
  </si>
  <si>
    <t xml:space="preserve"> CT scan head or brain with contrast</t>
  </si>
  <si>
    <t xml:space="preserve"> CT scan of head or brain before and after contrast</t>
  </si>
  <si>
    <t xml:space="preserve"> CT scan of cranial cavity without contrast</t>
  </si>
  <si>
    <t xml:space="preserve"> CT scan of cranial cavity with contrast</t>
  </si>
  <si>
    <t xml:space="preserve"> CT scan of cranial cavity before and after contrast</t>
  </si>
  <si>
    <t xml:space="preserve"> CT scan of face without contrast</t>
  </si>
  <si>
    <t xml:space="preserve"> CT scan of face with contrast</t>
  </si>
  <si>
    <t xml:space="preserve"> CT scan of face before and after contrast</t>
  </si>
  <si>
    <t xml:space="preserve"> CT scan of soft tissue of neck without contrast</t>
  </si>
  <si>
    <t xml:space="preserve"> CT scan of soft tissue of neck with contrast</t>
  </si>
  <si>
    <t xml:space="preserve"> CT scan of soft tissue of neck before and after contrast</t>
  </si>
  <si>
    <t xml:space="preserve"> CT scan of blood vessels of head with contrast</t>
  </si>
  <si>
    <t xml:space="preserve"> CT scan of blood vessels of neck with contrast</t>
  </si>
  <si>
    <t xml:space="preserve"> MRI scan of bone of eye socket, face, and/or neck without contrast</t>
  </si>
  <si>
    <t xml:space="preserve"> MRI scan of bone of eye socket, face, and/or neck with contrast</t>
  </si>
  <si>
    <t xml:space="preserve"> MRI scan of bone of eye socket, face, and/or neck before and after contrast</t>
  </si>
  <si>
    <t xml:space="preserve"> MRI scan of blood vessels of head without contrast</t>
  </si>
  <si>
    <t xml:space="preserve"> MRI scan of blood vessels of head with contrast</t>
  </si>
  <si>
    <t xml:space="preserve"> MRI scan of blood vessels of head before and after contrast</t>
  </si>
  <si>
    <t xml:space="preserve"> MRI scan of blood vessels of neck without contrast</t>
  </si>
  <si>
    <t xml:space="preserve"> MRI scan of blood vessels of neck with contrast</t>
  </si>
  <si>
    <t xml:space="preserve"> MRI scan of blood vessels of neck before and after contrast</t>
  </si>
  <si>
    <t xml:space="preserve"> MRI scan of brain without contrast</t>
  </si>
  <si>
    <t xml:space="preserve"> MRI scan of brain with contrast</t>
  </si>
  <si>
    <t xml:space="preserve"> MRI scan of brain before and after contrast</t>
  </si>
  <si>
    <t xml:space="preserve"> Functional MRI scan of brain</t>
  </si>
  <si>
    <t xml:space="preserve"> Functional MRI scan of brain with neurofunctional testing</t>
  </si>
  <si>
    <t xml:space="preserve"> MRI scan of brain without contrast during brain procedure</t>
  </si>
  <si>
    <t xml:space="preserve"> MRI scan of brain with contrast during brain procedure</t>
  </si>
  <si>
    <t xml:space="preserve"> MRI scan of brain before and after contrast during brain procedure</t>
  </si>
  <si>
    <t xml:space="preserve"> X-ray of chest, 1 view</t>
  </si>
  <si>
    <t xml:space="preserve"> X-ray of chest, 2 views</t>
  </si>
  <si>
    <t xml:space="preserve"> X-ray of chest, 3 views</t>
  </si>
  <si>
    <t xml:space="preserve"> X-ray of chest, minimum of 4 views</t>
  </si>
  <si>
    <t xml:space="preserve"> X-ray of ribs on side of body, 2 views</t>
  </si>
  <si>
    <t xml:space="preserve"> X-ray of ribs on side of body, minimum of 3 views</t>
  </si>
  <si>
    <t xml:space="preserve"> X-ray of ribs on both sides of body, 3 views</t>
  </si>
  <si>
    <t xml:space="preserve"> X-ray of ribs on both sides of body, minimum of 4 views</t>
  </si>
  <si>
    <t xml:space="preserve"> X-ray of chest bone, minimum of 2 views</t>
  </si>
  <si>
    <t xml:space="preserve"> X-ray of joint between breast and collar bones, minimum of 2 views</t>
  </si>
  <si>
    <t xml:space="preserve"> CT scan of chest without contrast</t>
  </si>
  <si>
    <t xml:space="preserve"> CT scan of chest with contrast</t>
  </si>
  <si>
    <t xml:space="preserve"> CT scan of chest before and after contrast</t>
  </si>
  <si>
    <t xml:space="preserve"> Low dose CT scan of chest for lung cancer screening</t>
  </si>
  <si>
    <t xml:space="preserve"> CT scan of blood vessels of chest with contrast</t>
  </si>
  <si>
    <t xml:space="preserve"> MRI scan of chest without contrast</t>
  </si>
  <si>
    <t xml:space="preserve"> MRI scan of chest with contrast</t>
  </si>
  <si>
    <t xml:space="preserve"> MRI scan of chest before and after contrast</t>
  </si>
  <si>
    <t xml:space="preserve"> MRI scan of blood vessels of chest</t>
  </si>
  <si>
    <t xml:space="preserve"> X-ray of spine, 1 view</t>
  </si>
  <si>
    <t xml:space="preserve"> X-ray of upper spine, 2-3 views</t>
  </si>
  <si>
    <t xml:space="preserve"> X-ray of upper spine, 4-5 views</t>
  </si>
  <si>
    <t xml:space="preserve"> X-ray of upper spine, 6 or more views</t>
  </si>
  <si>
    <t xml:space="preserve"> X-ray of middle spine, 2 views</t>
  </si>
  <si>
    <t xml:space="preserve"> X-ray of middle spine, 3 views</t>
  </si>
  <si>
    <t xml:space="preserve"> X-ray of middle spine, minimum of 4 views</t>
  </si>
  <si>
    <t xml:space="preserve"> X-ray of middle and lower spine, 2 views</t>
  </si>
  <si>
    <t xml:space="preserve"> X-ray of entire middle and lower spine, 1 view</t>
  </si>
  <si>
    <t xml:space="preserve"> X-ray of entire middle and lower spine, 2-3 views</t>
  </si>
  <si>
    <t xml:space="preserve"> X-ray of entire middle and lower spine, 4-5 views</t>
  </si>
  <si>
    <t xml:space="preserve"> X-ray of entire middle and lower spine, minimum of 6 views</t>
  </si>
  <si>
    <t xml:space="preserve"> X-ray of lower and sacral spine, 2-3 views</t>
  </si>
  <si>
    <t xml:space="preserve"> X-ray of lower and sacral spine, minimum of 4 views</t>
  </si>
  <si>
    <t xml:space="preserve"> X-ray lower and sacral spine, minimum of 6 views</t>
  </si>
  <si>
    <t xml:space="preserve"> X-ray lower and sacral spine, 2-3 views bending views</t>
  </si>
  <si>
    <t xml:space="preserve"> CT scan of upper spine without contrast</t>
  </si>
  <si>
    <t xml:space="preserve"> CT scan of upper spine with contrast</t>
  </si>
  <si>
    <t xml:space="preserve"> CT scan of upper spine before and after contrast</t>
  </si>
  <si>
    <t xml:space="preserve"> CT scan of middle spine without contrast</t>
  </si>
  <si>
    <t xml:space="preserve"> CT scan of middle spine with contrast</t>
  </si>
  <si>
    <t xml:space="preserve"> CT scan of middle spine before and after contrast</t>
  </si>
  <si>
    <t xml:space="preserve"> CT scan of lower spine without contrast</t>
  </si>
  <si>
    <t xml:space="preserve"> CT scan of lower spine with contrast</t>
  </si>
  <si>
    <t xml:space="preserve"> CT scan of lower spine before and after contrast</t>
  </si>
  <si>
    <t xml:space="preserve"> MRI scan of upper spinal canal without contrast</t>
  </si>
  <si>
    <t xml:space="preserve"> MRI scan of upper spinal canal with contrast</t>
  </si>
  <si>
    <t xml:space="preserve"> MRI scan of middle spinal canal without contrast</t>
  </si>
  <si>
    <t xml:space="preserve"> MRI scan of middle spinal canal with contrast</t>
  </si>
  <si>
    <t xml:space="preserve"> MRI scan of lower spinal canal without contrast</t>
  </si>
  <si>
    <t xml:space="preserve"> MRI scan of lower spinal canal with contrast</t>
  </si>
  <si>
    <t xml:space="preserve"> MRI scan of upper spinal canal before and after contrast</t>
  </si>
  <si>
    <t xml:space="preserve"> MRI scan of middle spinal canal before and after contrast</t>
  </si>
  <si>
    <t xml:space="preserve"> MRI scan of lower spinal canal before and after contrast</t>
  </si>
  <si>
    <t xml:space="preserve"> MRI scan of blood vessels of spinal canal</t>
  </si>
  <si>
    <t xml:space="preserve"> X-ray of pelvis, 1-2 views</t>
  </si>
  <si>
    <t xml:space="preserve"> X-ray of pelvis, minimum of 3 views</t>
  </si>
  <si>
    <t xml:space="preserve"> CT scan of blood vessels of pelvis with contrast</t>
  </si>
  <si>
    <t xml:space="preserve"> CT scan of pelvis without contrast</t>
  </si>
  <si>
    <t xml:space="preserve"> CT scan of pelvis with contrast</t>
  </si>
  <si>
    <t xml:space="preserve"> CT scan of pelvis before and after contrast</t>
  </si>
  <si>
    <t xml:space="preserve"> MRI scan of pelvis without contrast</t>
  </si>
  <si>
    <t xml:space="preserve"> MRI scan of pelvis with contrast</t>
  </si>
  <si>
    <t xml:space="preserve"> MRI scan of pelvis before and after contrast</t>
  </si>
  <si>
    <t xml:space="preserve"> MRI scan of blood vessels of pelvis</t>
  </si>
  <si>
    <t xml:space="preserve"> X-ray of joint between lower spine and hip bone, 1-2 views</t>
  </si>
  <si>
    <t xml:space="preserve"> X-ray of joint between lower spine and hip bone, 3 or more views</t>
  </si>
  <si>
    <t xml:space="preserve"> X-ray of sacrum and tailbone, minimum of 2 views</t>
  </si>
  <si>
    <t xml:space="preserve"> Review by radiologist of upper spinal canal image</t>
  </si>
  <si>
    <t xml:space="preserve"> Review by radiologist of middle spinal canal image</t>
  </si>
  <si>
    <t xml:space="preserve"> Review by radiologist of lower spinal canal image</t>
  </si>
  <si>
    <t xml:space="preserve"> Review by radiologist of multiple spinal canals image</t>
  </si>
  <si>
    <t xml:space="preserve"> Review by radiologist of disc of upper or middle spine image</t>
  </si>
  <si>
    <t xml:space="preserve"> Review by radiologist of disc of lower spine image</t>
  </si>
  <si>
    <t xml:space="preserve"> X-ray of collar bone</t>
  </si>
  <si>
    <t xml:space="preserve"> X-ray of shoulder blade</t>
  </si>
  <si>
    <t xml:space="preserve"> X-ray of shoulder, 1 view</t>
  </si>
  <si>
    <t xml:space="preserve"> X-ray of shoulder, minimum of 2 views</t>
  </si>
  <si>
    <t xml:space="preserve"> Review by radiologist of shoulder joint image</t>
  </si>
  <si>
    <t xml:space="preserve"> X-ray of both collar bones joints</t>
  </si>
  <si>
    <t xml:space="preserve"> X-ray of upper arm, minimum of 2 views</t>
  </si>
  <si>
    <t xml:space="preserve"> X-ray of elbow, 2 views</t>
  </si>
  <si>
    <t xml:space="preserve"> X-ray of elbow, minimum of 3 views</t>
  </si>
  <si>
    <t xml:space="preserve"> Review by radiologist of elbow image</t>
  </si>
  <si>
    <t xml:space="preserve"> X-ray of forearm, 2 views</t>
  </si>
  <si>
    <t xml:space="preserve"> X-ray of infant arm, minimum of 2 views</t>
  </si>
  <si>
    <t xml:space="preserve"> X-ray of wrist, 2 views</t>
  </si>
  <si>
    <t xml:space="preserve"> X-ray of wrist, minimum of 3 views</t>
  </si>
  <si>
    <t xml:space="preserve"> Review by radiologist of wrist joint image</t>
  </si>
  <si>
    <t xml:space="preserve"> X-ray of hand, 2 views</t>
  </si>
  <si>
    <t xml:space="preserve"> X-ray of hand, minimum of 3 views</t>
  </si>
  <si>
    <t xml:space="preserve"> X-ray of finger, minimum of 2 views</t>
  </si>
  <si>
    <t xml:space="preserve"> CT scan of arm without contrast</t>
  </si>
  <si>
    <t xml:space="preserve"> CT scan of arm with contrast</t>
  </si>
  <si>
    <t xml:space="preserve"> CT scan of arm before and after contrast</t>
  </si>
  <si>
    <t xml:space="preserve"> CT scan of blood vessels of arm with contrast</t>
  </si>
  <si>
    <t xml:space="preserve"> MRI scan of arm without contrast</t>
  </si>
  <si>
    <t xml:space="preserve"> MRI scan of arm with contrast</t>
  </si>
  <si>
    <t xml:space="preserve"> MRI scan of arm before and after contrast</t>
  </si>
  <si>
    <t xml:space="preserve"> MRI scan of arm joint without contrast</t>
  </si>
  <si>
    <t xml:space="preserve"> MRI scan of arm joint with contrast</t>
  </si>
  <si>
    <t xml:space="preserve"> MRI scan of arm joint before and after contrast</t>
  </si>
  <si>
    <t xml:space="preserve"> MRI scan of blood vessels of arm</t>
  </si>
  <si>
    <t xml:space="preserve"> X-ray of hip, 1 view</t>
  </si>
  <si>
    <t xml:space="preserve"> X-ray of hip, 2-3 views</t>
  </si>
  <si>
    <t xml:space="preserve"> X-ray of hip, minimum of 4 views</t>
  </si>
  <si>
    <t xml:space="preserve"> X-ray of both hips, 2 views</t>
  </si>
  <si>
    <t xml:space="preserve"> X-ray of both hips, 3-4 views</t>
  </si>
  <si>
    <t xml:space="preserve"> X-ray of both hips, minimum of 5 views</t>
  </si>
  <si>
    <t xml:space="preserve"> Review by radiologist of hip joint image</t>
  </si>
  <si>
    <t xml:space="preserve"> X-ray of thigh bone, 1 view</t>
  </si>
  <si>
    <t xml:space="preserve"> X-ray of thigh bone, minimum 2 views</t>
  </si>
  <si>
    <t xml:space="preserve"> X-ray of knee, 1-2 views</t>
  </si>
  <si>
    <t xml:space="preserve"> X-ray of knee, 3 views</t>
  </si>
  <si>
    <t xml:space="preserve"> X-ray of knee, 4 or more views</t>
  </si>
  <si>
    <t xml:space="preserve"> X-ray of both knees while standing</t>
  </si>
  <si>
    <t xml:space="preserve"> Review by radiologist of knee joint image</t>
  </si>
  <si>
    <t xml:space="preserve"> X-ray of lower leg, 2 views</t>
  </si>
  <si>
    <t xml:space="preserve"> X-ray of infant leg, minimum of 2 views</t>
  </si>
  <si>
    <t xml:space="preserve"> X-ray of ankle, 2 views</t>
  </si>
  <si>
    <t xml:space="preserve"> X-ray of ankle, minimum of 3 views</t>
  </si>
  <si>
    <t xml:space="preserve"> Review by radiologist of ankle joint image</t>
  </si>
  <si>
    <t xml:space="preserve"> X-ray of foot, 2 views</t>
  </si>
  <si>
    <t xml:space="preserve"> X-ray of foot, minimum of 3 views</t>
  </si>
  <si>
    <t xml:space="preserve"> X-ray of heel, minimum of 2 views</t>
  </si>
  <si>
    <t xml:space="preserve"> X-ray of toe, minimum of 2 views</t>
  </si>
  <si>
    <t xml:space="preserve"> CT scan of leg without contrast</t>
  </si>
  <si>
    <t xml:space="preserve"> CT scan of leg with contrast material</t>
  </si>
  <si>
    <t xml:space="preserve"> CT scan of leg before and after contrast</t>
  </si>
  <si>
    <t xml:space="preserve"> CT scan of blood vessels of lower leg with contrast</t>
  </si>
  <si>
    <t xml:space="preserve"> MRI scan of leg without contrast</t>
  </si>
  <si>
    <t xml:space="preserve"> MRI scan of leg with contrast</t>
  </si>
  <si>
    <t xml:space="preserve"> MRI scan of leg before and after contrast</t>
  </si>
  <si>
    <t xml:space="preserve"> MRI scan of leg joint without contrast</t>
  </si>
  <si>
    <t xml:space="preserve"> MRI scan of leg joint with contrast</t>
  </si>
  <si>
    <t xml:space="preserve"> MRI scan of leg joint before and after contrast</t>
  </si>
  <si>
    <t xml:space="preserve"> MRI scan of blood vessels of leg</t>
  </si>
  <si>
    <t xml:space="preserve"> X-ray of abdomen, 1 view</t>
  </si>
  <si>
    <t xml:space="preserve"> X-ray of abdomen, 2 views</t>
  </si>
  <si>
    <t xml:space="preserve"> X-ray of abdomen, minimum of 3 views</t>
  </si>
  <si>
    <t xml:space="preserve"> X-ray series of abdomen with single X-ray of chest</t>
  </si>
  <si>
    <t xml:space="preserve"> CT scan of abdomen without contrast</t>
  </si>
  <si>
    <t xml:space="preserve"> CT scan of abdomen with contrast</t>
  </si>
  <si>
    <t xml:space="preserve"> CT scan of abdomen before and after contrast</t>
  </si>
  <si>
    <t xml:space="preserve"> CT scan of blood vessels of abdomen and pelvis with contrast</t>
  </si>
  <si>
    <t xml:space="preserve"> CT scan of blood vessels of abdomen with contrast</t>
  </si>
  <si>
    <t xml:space="preserve"> CT scan of abdomen and pelvis without contrast</t>
  </si>
  <si>
    <t xml:space="preserve"> CT scan of abdomen and pelvis with contrast</t>
  </si>
  <si>
    <t xml:space="preserve"> CT scan of abdomen and pelvis before and after contrast</t>
  </si>
  <si>
    <t xml:space="preserve"> MRI scan of abdomen without contrast</t>
  </si>
  <si>
    <t xml:space="preserve"> MRI scan of abdomen with contrast</t>
  </si>
  <si>
    <t xml:space="preserve"> MRI scan of abdomen before and after contrast</t>
  </si>
  <si>
    <t xml:space="preserve"> MRI scan of blood vessels of abdomen</t>
  </si>
  <si>
    <t xml:space="preserve"> Review by radiologist of abdominal cavity lining image</t>
  </si>
  <si>
    <t xml:space="preserve"> X-ray of voice box and/or esophagus with contrast</t>
  </si>
  <si>
    <t xml:space="preserve"> Single contrast X-ray of esophagus</t>
  </si>
  <si>
    <t xml:space="preserve"> Double contrast X-ray of esophagus</t>
  </si>
  <si>
    <t xml:space="preserve"> Imaging for evaluation of swallowing function</t>
  </si>
  <si>
    <t xml:space="preserve"> Review by radiologist of imaging for removal of esophageal foreign body in esophagus</t>
  </si>
  <si>
    <t xml:space="preserve"> Single contrast X-ray of upper digestive tract</t>
  </si>
  <si>
    <t xml:space="preserve"> Double contrast X-ray of upper digestive tract</t>
  </si>
  <si>
    <t xml:space="preserve"> Follow-through X-ray of small intestines</t>
  </si>
  <si>
    <t xml:space="preserve"> Single contrast X-ray of small intestine</t>
  </si>
  <si>
    <t xml:space="preserve"> Double contrast X-ray of small intestine</t>
  </si>
  <si>
    <t xml:space="preserve"> Diagnostic CT scan of large intestine without contrast</t>
  </si>
  <si>
    <t xml:space="preserve"> Diagnostic CT scan of large intestine with contrast</t>
  </si>
  <si>
    <t xml:space="preserve"> Single contrast X-ray of large intestine</t>
  </si>
  <si>
    <t xml:space="preserve"> Double contrast X-ray of large intestine</t>
  </si>
  <si>
    <t xml:space="preserve"> Enema using air or contrast</t>
  </si>
  <si>
    <t xml:space="preserve"> Imaging of gallbladder with contrast</t>
  </si>
  <si>
    <t xml:space="preserve"> Review by radiologist of bile and/or pancreatic duct image during surgery</t>
  </si>
  <si>
    <t xml:space="preserve"> Review by radiologist of additional bile and/or pancreatic duct image during surgery</t>
  </si>
  <si>
    <t xml:space="preserve"> Review by radiologist of image from tube placement into bile duct using an endoscope</t>
  </si>
  <si>
    <t xml:space="preserve"> Review by radiologist of image from tube placement into pancreatic duct using an endoscope</t>
  </si>
  <si>
    <t xml:space="preserve"> Review by radiologist of image from tube placement into bile and pancreatic duct using an endoscope</t>
  </si>
  <si>
    <t xml:space="preserve"> Review by radiologist of placement of long small bowel tube</t>
  </si>
  <si>
    <t xml:space="preserve"> Review by radiologist of placement of small bowel tube</t>
  </si>
  <si>
    <t xml:space="preserve"> Review by radiologist of image to guide opening of digestive tract</t>
  </si>
  <si>
    <t xml:space="preserve"> Review by radiologist of image to guide opening of bile duct</t>
  </si>
  <si>
    <t xml:space="preserve"> Imaging of urinary tract with injection of contrast into a vein</t>
  </si>
  <si>
    <t xml:space="preserve"> Imaging of urinary tract using infusion technique</t>
  </si>
  <si>
    <t xml:space="preserve"> Imaging of urinary tract using infusion technique with kidney section filming</t>
  </si>
  <si>
    <t xml:space="preserve"> Imaging of urinary tract following injection of a contrast agent</t>
  </si>
  <si>
    <t xml:space="preserve"> Review by radiologist of upper urinary tract image</t>
  </si>
  <si>
    <t xml:space="preserve"> Review by radiologist of urinary bladder image</t>
  </si>
  <si>
    <t xml:space="preserve"> Review by radiologist of male internal genitals image</t>
  </si>
  <si>
    <t xml:space="preserve"> Review by radiologist of penis image</t>
  </si>
  <si>
    <t xml:space="preserve"> Review by radiologist of urinary bladder and urethra images with contrast</t>
  </si>
  <si>
    <t xml:space="preserve"> Review by radiologist of urinary bladder and urethra images with contrast and after passing urine</t>
  </si>
  <si>
    <t xml:space="preserve"> Review by radiologist of kidney cyst image</t>
  </si>
  <si>
    <t xml:space="preserve"> Review by radiologist of ureter or urethra image</t>
  </si>
  <si>
    <t xml:space="preserve"> MRI scan of fetus for single or first pregnancy</t>
  </si>
  <si>
    <t xml:space="preserve"> MRI scan of fetus for each additional pregnancy</t>
  </si>
  <si>
    <t xml:space="preserve"> Review by radiologist of uterine tube and ovary image</t>
  </si>
  <si>
    <t xml:space="preserve"> Review by radiologist of image from placement of uterine tube</t>
  </si>
  <si>
    <t xml:space="preserve"> Imaging of anogenital region</t>
  </si>
  <si>
    <t xml:space="preserve"> MRI scan of heart without contrast</t>
  </si>
  <si>
    <t xml:space="preserve"> MRI scan of heart without contrast with stress imaging</t>
  </si>
  <si>
    <t xml:space="preserve"> MRI scan of heart before and after contrast</t>
  </si>
  <si>
    <t xml:space="preserve"> MRI scan of heart before and after contrast with stress imaging</t>
  </si>
  <si>
    <t xml:space="preserve"> MRI scan of blood flow of heart</t>
  </si>
  <si>
    <t xml:space="preserve"> CT scan of heart with evaluation of blood vessel calcium</t>
  </si>
  <si>
    <t xml:space="preserve"> CT scan of heart structure with contrast</t>
  </si>
  <si>
    <t xml:space="preserve"> CT scan of congenital heart disease with contrast</t>
  </si>
  <si>
    <t xml:space="preserve"> CT scan of blood vessels and grafts of heart with contrast</t>
  </si>
  <si>
    <t xml:space="preserve"> Review by radiologist of chest aorta image</t>
  </si>
  <si>
    <t xml:space="preserve"> Review by radiologist of chest aorta serial images</t>
  </si>
  <si>
    <t xml:space="preserve"> Review by radiologist of abdominal aorta image</t>
  </si>
  <si>
    <t xml:space="preserve"> Review by radiologist of abdominal aorta and both leg arteries image</t>
  </si>
  <si>
    <t xml:space="preserve"> CT scan of abdominal aorta and both leg arteries with contrast</t>
  </si>
  <si>
    <t xml:space="preserve"> Review by radiologist of spinal artery image</t>
  </si>
  <si>
    <t xml:space="preserve"> Review by radiologist of arm or leg artery image</t>
  </si>
  <si>
    <t xml:space="preserve"> Review by radiologist of both arms or legs arteries image</t>
  </si>
  <si>
    <t xml:space="preserve"> Review by radiologist of abdominal artery image</t>
  </si>
  <si>
    <t xml:space="preserve"> Review by radiologist of adrenal gland artery image</t>
  </si>
  <si>
    <t xml:space="preserve"> Review by radiologist of both adrenal glands arteries image</t>
  </si>
  <si>
    <t xml:space="preserve"> Review by radiologist of pelvis artery image</t>
  </si>
  <si>
    <t xml:space="preserve"> Review by radiologist of lung artery image</t>
  </si>
  <si>
    <t xml:space="preserve"> Review by radiologist of arteries of both lungs image</t>
  </si>
  <si>
    <t xml:space="preserve"> Review by radiologist of lung artery image with contrast</t>
  </si>
  <si>
    <t xml:space="preserve"> Review by radiologist of breast artery of breast image</t>
  </si>
  <si>
    <t xml:space="preserve"> Review by radiologist of additional artery image</t>
  </si>
  <si>
    <t xml:space="preserve"> Review by radiologist of lymphatic system of arm or leg image</t>
  </si>
  <si>
    <t xml:space="preserve"> Review by radiologist of lymphatic system of both arms or legs image</t>
  </si>
  <si>
    <t xml:space="preserve"> Review by radiologist of lymphatic system of side of pelvis and abdomen image</t>
  </si>
  <si>
    <t xml:space="preserve"> Review by radiologist of lymphatic system of both side of pelvis and abdomen image</t>
  </si>
  <si>
    <t xml:space="preserve"> Review by radiologist of previous placed shunt image</t>
  </si>
  <si>
    <t xml:space="preserve"> Review by radiologist of spleen and liver vein image</t>
  </si>
  <si>
    <t xml:space="preserve"> Review by radiologist of 1 arm or leg vein of 1 arm or leg image</t>
  </si>
  <si>
    <t xml:space="preserve"> Review by radiologist of both arms and legs veins of both arms or legs image</t>
  </si>
  <si>
    <t xml:space="preserve"> Review by radiologist of major lower body vein image</t>
  </si>
  <si>
    <t xml:space="preserve"> Review by radiologist of major upper body vein image</t>
  </si>
  <si>
    <t xml:space="preserve"> Review by radiologist of kidney image</t>
  </si>
  <si>
    <t xml:space="preserve"> Review by radiologist of both kidneys veins image</t>
  </si>
  <si>
    <t xml:space="preserve"> Review by radiologist of adrenal gland vein image</t>
  </si>
  <si>
    <t xml:space="preserve"> Review by radiologist of both adrenal gland veins image</t>
  </si>
  <si>
    <t xml:space="preserve"> Review by radiologist of head or neck vein system image</t>
  </si>
  <si>
    <t xml:space="preserve"> Review by radiologist of head vein system image</t>
  </si>
  <si>
    <t xml:space="preserve"> Review by radiologist of spinal canal vein image</t>
  </si>
  <si>
    <t xml:space="preserve"> Review by radiologist of eye socket vein of eye socket image</t>
  </si>
  <si>
    <t xml:space="preserve"> Review by radiologist of the vein that transports blood to the liver image with assessment of blood flow</t>
  </si>
  <si>
    <t xml:space="preserve"> Review by radiologist of the vein that transports blood to the liver image</t>
  </si>
  <si>
    <t xml:space="preserve"> Review by radiologist of liver vein image with assessment of blood flow</t>
  </si>
  <si>
    <t xml:space="preserve"> Review by radiologist of liver vein image</t>
  </si>
  <si>
    <t xml:space="preserve"> Review by radiologist of imaging guidance for removal of blood sample</t>
  </si>
  <si>
    <t xml:space="preserve"> Review by radiologist of image for insertion of material to block blood flow</t>
  </si>
  <si>
    <t xml:space="preserve"> Imaging of blood vessel</t>
  </si>
  <si>
    <t xml:space="preserve"> Review by radiologist of image for removal of obstructive material</t>
  </si>
  <si>
    <t xml:space="preserve"> Review by radiologist of image for removal of tissue or obstructive material from central venous tube</t>
  </si>
  <si>
    <t xml:space="preserve"> Review by radiologist of image for biopsy of blood vessel with tube</t>
  </si>
  <si>
    <t xml:space="preserve"> Review by radiologist of image for replacement of stomach or large bowel tube</t>
  </si>
  <si>
    <t xml:space="preserve"> Review by radiologist of image for drainage of fluid</t>
  </si>
  <si>
    <t xml:space="preserve"> Imaging guidance for procedure, 60 minutes or less</t>
  </si>
  <si>
    <t xml:space="preserve"> X-ray from nose to rectum</t>
  </si>
  <si>
    <t xml:space="preserve"> Review by radiologist of abscess or sinus cavity study</t>
  </si>
  <si>
    <t xml:space="preserve"> X-ray of surgical specimen</t>
  </si>
  <si>
    <t xml:space="preserve"> X-ray of body plane</t>
  </si>
  <si>
    <t xml:space="preserve"> Imaging of organ</t>
  </si>
  <si>
    <t xml:space="preserve"> Imaging of organ, complimenting routine exam</t>
  </si>
  <si>
    <t xml:space="preserve"> Written consultation report on X-ray</t>
  </si>
  <si>
    <t xml:space="preserve"> Medical physics dose evaluation for radiation exposure, including report</t>
  </si>
  <si>
    <t xml:space="preserve"> 3D radiographic procedure</t>
  </si>
  <si>
    <t xml:space="preserve"> 3D radiographic procedure with computerized image postprocessing</t>
  </si>
  <si>
    <t xml:space="preserve"> Limited or follow-up CT scan</t>
  </si>
  <si>
    <t xml:space="preserve"> MRI study for measuring biochemical changes in the brain</t>
  </si>
  <si>
    <t xml:space="preserve"> Magnetic resonance (eg, vibration) elastography</t>
  </si>
  <si>
    <t xml:space="preserve"> Other fluoroscopic procedure</t>
  </si>
  <si>
    <t xml:space="preserve"> Other CT scan</t>
  </si>
  <si>
    <t xml:space="preserve"> Other MRI scan</t>
  </si>
  <si>
    <t xml:space="preserve"> Other diagnostic Imaging procedure</t>
  </si>
  <si>
    <t xml:space="preserve"> Ultrasound scan of brain</t>
  </si>
  <si>
    <t xml:space="preserve"> 1D and 2D ultrasound scan of eye tissue and structures</t>
  </si>
  <si>
    <t xml:space="preserve"> 1D ultrasound scan of eye tissue and structures</t>
  </si>
  <si>
    <t xml:space="preserve"> 2D ultrasound scan of eye tissue and structures</t>
  </si>
  <si>
    <t xml:space="preserve"> Ultrasound scan of eye using water bath method</t>
  </si>
  <si>
    <t xml:space="preserve"> Ultrasound scan of cornea to determine thickness</t>
  </si>
  <si>
    <t xml:space="preserve"> Ultrasound scan to determine eye length</t>
  </si>
  <si>
    <t xml:space="preserve"> Ultrasound scan to determine eye length and lens power</t>
  </si>
  <si>
    <t xml:space="preserve"> Ultrasound scan of eye for foreign body localization</t>
  </si>
  <si>
    <t xml:space="preserve"> Ultrasound scan of head and neck soft tissue</t>
  </si>
  <si>
    <t xml:space="preserve"> Ultrasound scan of chest</t>
  </si>
  <si>
    <t xml:space="preserve"> Complete ultrasound scan of 1 breast</t>
  </si>
  <si>
    <t xml:space="preserve"> Limited ultrasound scan of 1 breast</t>
  </si>
  <si>
    <t xml:space="preserve"> Complete ultrasound scan of abdomen</t>
  </si>
  <si>
    <t xml:space="preserve"> Limited ultrasound scan of abdomen</t>
  </si>
  <si>
    <t xml:space="preserve"> Ultrasound scan of abdominal aorta</t>
  </si>
  <si>
    <t xml:space="preserve"> Complete ultrasound scan behind abdominal cavity</t>
  </si>
  <si>
    <t xml:space="preserve"> Limited ultrasound scan behind abdominal cavity</t>
  </si>
  <si>
    <t xml:space="preserve"> Ultrasound scan of transplanted kidney</t>
  </si>
  <si>
    <t xml:space="preserve"> Ultrasound scan of spinal canal</t>
  </si>
  <si>
    <t xml:space="preserve"> Ultrasound scan of pregnant uterus (less than 14 weeks), single or first fetus</t>
  </si>
  <si>
    <t xml:space="preserve"> Ultrasound scan of pregnant uterus (less than 14 weeks), each additional fetus</t>
  </si>
  <si>
    <t xml:space="preserve"> Ultrasound scan of pregnant uterus (14 weeks or more), single or first fetus</t>
  </si>
  <si>
    <t xml:space="preserve"> Ultrasound scan of pregnant uterus (14 weeks or more), each additional fetus</t>
  </si>
  <si>
    <t xml:space="preserve"> Ultrasound scan of pregnant uterus with detailed fetal anatomic examination, single or first fetus</t>
  </si>
  <si>
    <t xml:space="preserve"> Ultrasound scan of pregnant uterus with detailed fetal anatomic examination, each additional fetus</t>
  </si>
  <si>
    <t xml:space="preserve"> Ultrasound scan of pregnant uterus (less than 14 weeks), with measurement of the clear space beneath skin at the back of fetal neck, single or first fetus</t>
  </si>
  <si>
    <t xml:space="preserve"> Ultrasound scan of pregnant uterus (less than 14 weeks), with measurement of the clear space beneath skin at the back of fetal neck, each additional fetus</t>
  </si>
  <si>
    <t xml:space="preserve"> Limited ultrasound of pregnant uterus</t>
  </si>
  <si>
    <t xml:space="preserve"> Follow-up ultrasound scan of pregnant uterus</t>
  </si>
  <si>
    <t xml:space="preserve"> Vaginal ultrasound of pregnant uterus</t>
  </si>
  <si>
    <t xml:space="preserve"> Ultrasound and monitoring of heart of fetus</t>
  </si>
  <si>
    <t xml:space="preserve"> Ultrasound scan of fetus</t>
  </si>
  <si>
    <t xml:space="preserve"> Ultrasound scan of fetal umbilical artery blood flow rate</t>
  </si>
  <si>
    <t xml:space="preserve"> Ultrasound scan of fetal brain artery blood flow rate</t>
  </si>
  <si>
    <t xml:space="preserve"> Ultrasound scan of fetal heart</t>
  </si>
  <si>
    <t xml:space="preserve"> Follow-up ultrasound scan of fetal heart</t>
  </si>
  <si>
    <t xml:space="preserve"> Ultrasound scan of fetal heart blood flow</t>
  </si>
  <si>
    <t xml:space="preserve"> Follow-up ultrasound scan of fetal heart blood flow</t>
  </si>
  <si>
    <t xml:space="preserve"> Ultrasound scan of uterus, ovaries, tubes, cervix and pelvic area through vagina</t>
  </si>
  <si>
    <t xml:space="preserve"> Ultrasound scan of uterus and uterine cavity</t>
  </si>
  <si>
    <t xml:space="preserve"> Complete ultrasound scan of pelvis</t>
  </si>
  <si>
    <t xml:space="preserve"> Limited ultrasound scan of pelvis</t>
  </si>
  <si>
    <t xml:space="preserve"> Ultrasound scan of scrotum</t>
  </si>
  <si>
    <t xml:space="preserve"> Ultrasound scan of pelvic region through rectum</t>
  </si>
  <si>
    <t xml:space="preserve"> Ultrasound scan of prostate through rectum</t>
  </si>
  <si>
    <t xml:space="preserve"> Complete ultrasound scan of joint</t>
  </si>
  <si>
    <t xml:space="preserve"> Limited ultrasound scan of joint or other extremity structure except blood vessels</t>
  </si>
  <si>
    <t xml:space="preserve"> Ultrasound scan of infant hip during movement</t>
  </si>
  <si>
    <t xml:space="preserve"> Ultrasound scan of infant hip</t>
  </si>
  <si>
    <t xml:space="preserve"> Ultrasonic guidance for biopsy of heart muscle</t>
  </si>
  <si>
    <t xml:space="preserve"> Ultrasound guided compression repair of blood vessel</t>
  </si>
  <si>
    <t xml:space="preserve"> Ultrasonic guidance for blood vessel access</t>
  </si>
  <si>
    <t xml:space="preserve"> Ultrasound guidance for tissue removal</t>
  </si>
  <si>
    <t xml:space="preserve"> Ultrasonic guidance for fetal transfusion or umbilical blood sampling</t>
  </si>
  <si>
    <t xml:space="preserve"> Ultrasonic guidance for needle placement</t>
  </si>
  <si>
    <t xml:space="preserve"> Ultrasonic guidance for testing placental tissue</t>
  </si>
  <si>
    <t xml:space="preserve"> Ultrasonic guidance for removal of amniotic fluid</t>
  </si>
  <si>
    <t xml:space="preserve"> Ultrasonic guidance for retrieval of egg</t>
  </si>
  <si>
    <t xml:space="preserve"> Ultrasonic guidance for administration of radiation therapy</t>
  </si>
  <si>
    <t xml:space="preserve"> Review by radiologist of ultrasound of digestive tract using an endoscope</t>
  </si>
  <si>
    <t xml:space="preserve"> Ultrasound scan of bone for measuring loss</t>
  </si>
  <si>
    <t xml:space="preserve"> Ultrasound scan of growth using contrast, first growth</t>
  </si>
  <si>
    <t xml:space="preserve"> Ultrasound scan of growth using contrast, each additional growth</t>
  </si>
  <si>
    <t xml:space="preserve"> Ultrasound scan of organ tissue for measuring elasticity</t>
  </si>
  <si>
    <t xml:space="preserve"> Ultrasound scan of growth for measuring elasticity, first growth</t>
  </si>
  <si>
    <t xml:space="preserve"> Ultrasound scan of growth for measuring elasticity, each additional growth</t>
  </si>
  <si>
    <t xml:space="preserve"> Ultrasonic guidance during surgery</t>
  </si>
  <si>
    <t xml:space="preserve"> Other ultrasound procedure</t>
  </si>
  <si>
    <t xml:space="preserve"> Fluoroscopic guidance for insertion or removal of central vein access device</t>
  </si>
  <si>
    <t xml:space="preserve"> Fluoroscopic guidance for needle placement</t>
  </si>
  <si>
    <t xml:space="preserve"> Fluoroscopic guidance for spine or back muscle injection</t>
  </si>
  <si>
    <t xml:space="preserve"> CT guidance for needle or tube localization</t>
  </si>
  <si>
    <t xml:space="preserve"> Review by radiologist of CT guidance for needle placement</t>
  </si>
  <si>
    <t xml:space="preserve"> CT guidance for tissue removal</t>
  </si>
  <si>
    <t xml:space="preserve"> CT guidance for insertion of radiation therapy fields</t>
  </si>
  <si>
    <t xml:space="preserve"> Review by radiologist of MRI guidance for needle placement</t>
  </si>
  <si>
    <t xml:space="preserve"> MRI guidance for tissue removal</t>
  </si>
  <si>
    <t xml:space="preserve"> MRI scan of 1 breast without contrast</t>
  </si>
  <si>
    <t xml:space="preserve"> MRI scan of both breasts without contrast</t>
  </si>
  <si>
    <t xml:space="preserve"> MRI scan of 1 breast</t>
  </si>
  <si>
    <t xml:space="preserve"> MRI scan of both breasts</t>
  </si>
  <si>
    <t xml:space="preserve"> Review by radiologist of breast duct image, 1 duct</t>
  </si>
  <si>
    <t xml:space="preserve"> Review by radiologist of breast duct image, multiple ducts</t>
  </si>
  <si>
    <t xml:space="preserve"> Diagnostic mammography of 1 breast</t>
  </si>
  <si>
    <t xml:space="preserve"> Diagnostic mammography of both breasts</t>
  </si>
  <si>
    <t xml:space="preserve"> Screening mammography</t>
  </si>
  <si>
    <t xml:space="preserve"> Application of stress by physician for joint imaging</t>
  </si>
  <si>
    <t xml:space="preserve"> X-ray for estimating bone age</t>
  </si>
  <si>
    <t xml:space="preserve"> X-ray for bone length assessment</t>
  </si>
  <si>
    <t xml:space="preserve"> Limited X-ray of body bones</t>
  </si>
  <si>
    <t xml:space="preserve"> Complete X-ray of body bones</t>
  </si>
  <si>
    <t xml:space="preserve"> X-ray of infant body bones</t>
  </si>
  <si>
    <t xml:space="preserve"> X-ray of joints, multiple</t>
  </si>
  <si>
    <t xml:space="preserve"> CT scan for measuring calcium and other minerals in bone</t>
  </si>
  <si>
    <t xml:space="preserve"> DXA bone density measurement of hip, pelvis, spine</t>
  </si>
  <si>
    <t xml:space="preserve"> DXA bone density measurement of forearm, finger, hand, or foot</t>
  </si>
  <si>
    <t xml:space="preserve"> MRI scan of bone marrow</t>
  </si>
  <si>
    <t xml:space="preserve"> DXA bone density measurement of hip, pelvis, spine including spine fracture assessment</t>
  </si>
  <si>
    <t xml:space="preserve"> Fracture assessment of spine bones using DXA</t>
  </si>
  <si>
    <t xml:space="preserve"> Simple radiation therapy planning</t>
  </si>
  <si>
    <t xml:space="preserve"> Intermediate radiation therapy planning</t>
  </si>
  <si>
    <t xml:space="preserve"> Complex radiation therapy planning</t>
  </si>
  <si>
    <t xml:space="preserve"> Obtaining data needed to develop the optimal radiation treatment, 1 treatment area</t>
  </si>
  <si>
    <t xml:space="preserve"> Obtaining data needed to develop the optimal radiation treatment, 2 treatment areas</t>
  </si>
  <si>
    <t xml:space="preserve"> Obtaining data needed to develop the optimal radiation treatment, 3 or more treatment areas or any number of treatment areas where special treatment is involved</t>
  </si>
  <si>
    <t xml:space="preserve"> Obtaining respiratory data needed to develop the optimal radiation treatment</t>
  </si>
  <si>
    <t xml:space="preserve"> 3D radiation therapy planning</t>
  </si>
  <si>
    <t xml:space="preserve"> Other management of radiation therapy or therapeutic radiology</t>
  </si>
  <si>
    <t xml:space="preserve"> Calculation of radiation therapy dose</t>
  </si>
  <si>
    <t xml:space="preserve"> High precision radiation therapy planning</t>
  </si>
  <si>
    <t xml:space="preserve"> Simple radiation therapy planning for delivery of external radiation</t>
  </si>
  <si>
    <t xml:space="preserve"> Complex radiation therapy planning for delivery of external radiation</t>
  </si>
  <si>
    <t xml:space="preserve"> Simple radiation therapy planning for delivery of internal radiation</t>
  </si>
  <si>
    <t xml:space="preserve"> Intermediate radiation therapy planning for delivery of internal radiation</t>
  </si>
  <si>
    <t xml:space="preserve"> Complex radiation therapy planning for delivery of internal radiation</t>
  </si>
  <si>
    <t xml:space="preserve"> Special radiation therapy planning for delivery of external radiation</t>
  </si>
  <si>
    <t xml:space="preserve"> Special radiation therapy planning</t>
  </si>
  <si>
    <t xml:space="preserve"> Design and construction of simple radiation treatment device</t>
  </si>
  <si>
    <t xml:space="preserve"> Design and construction of intermediate radiation treatment device</t>
  </si>
  <si>
    <t xml:space="preserve"> Design and construction of complex radiation treatment device</t>
  </si>
  <si>
    <t xml:space="preserve"> Continuing radiation therapy consultation per week</t>
  </si>
  <si>
    <t xml:space="preserve"> Design and construction of radiation treatment device for high precision radiation therapy</t>
  </si>
  <si>
    <t xml:space="preserve"> Special medical radiation therapy consultation</t>
  </si>
  <si>
    <t xml:space="preserve"> Delivery of simple high precision radiation treatment</t>
  </si>
  <si>
    <t xml:space="preserve"> Delivery of complex high precision radiation treatment</t>
  </si>
  <si>
    <t xml:space="preserve"> Imaging guidance for localization of radiation treatment</t>
  </si>
  <si>
    <t xml:space="preserve"> Other management of radiation therapy and medical radiation physics</t>
  </si>
  <si>
    <t xml:space="preserve"> Superficial and/or low voltage radiation treatment delivery</t>
  </si>
  <si>
    <t xml:space="preserve"> Delivery of simple radiation treatment</t>
  </si>
  <si>
    <t xml:space="preserve"> Delivery of intermediate radiation treatment</t>
  </si>
  <si>
    <t xml:space="preserve"> Delivery of complex radiation treatment</t>
  </si>
  <si>
    <t xml:space="preserve"> X-ray during radiation therapy</t>
  </si>
  <si>
    <t xml:space="preserve"> Delivery of specialized external radiation treatment</t>
  </si>
  <si>
    <t xml:space="preserve"> Delivery of single session of intraoperative radiation treatment with X-ray</t>
  </si>
  <si>
    <t xml:space="preserve"> Delivery of single session of intraoperative radiation treatment with electron beam</t>
  </si>
  <si>
    <t xml:space="preserve"> Radiation treatment management, 5 treatment sessions</t>
  </si>
  <si>
    <t xml:space="preserve"> Radiation treatment management, 1-2 treatment sessions</t>
  </si>
  <si>
    <t xml:space="preserve"> Management of complete single session course of cranial lesion surgery using radiation</t>
  </si>
  <si>
    <t xml:space="preserve"> Management of cranial lesion surgery using radiation over multiple sessions</t>
  </si>
  <si>
    <t xml:space="preserve"> Special radiation treatment</t>
  </si>
  <si>
    <t xml:space="preserve"> Other management of radiation therapy</t>
  </si>
  <si>
    <t xml:space="preserve"> Simple proton beam radiation treatment</t>
  </si>
  <si>
    <t xml:space="preserve"> Simple proton beam radiation treatment with compensation</t>
  </si>
  <si>
    <t xml:space="preserve"> Intermediate proton beam radiation treatment</t>
  </si>
  <si>
    <t xml:space="preserve"> Complex proton beam radiation treatment</t>
  </si>
  <si>
    <t xml:space="preserve"> Use of externally generated heat to increase temperature of cancer cell, heating to depths 4.0 cm or less</t>
  </si>
  <si>
    <t xml:space="preserve"> Use of externally generated heat to increase temperature of cancer cell, heating to depths more than 4.0 cm</t>
  </si>
  <si>
    <t xml:space="preserve"> Use of interstitial probe generated heat to increase temperature of cancer cell, 1-5 probes</t>
  </si>
  <si>
    <t xml:space="preserve"> Use of interstitial probe generated heat to increase temperature of cancer cell, more than 5 probes</t>
  </si>
  <si>
    <t xml:space="preserve"> Use of body cavity probe generated heat to increase temperature of cancer cell</t>
  </si>
  <si>
    <t xml:space="preserve"> Infusion or instillation of radioelement solution</t>
  </si>
  <si>
    <t xml:space="preserve"> Simple body cavity radiation source application</t>
  </si>
  <si>
    <t xml:space="preserve"> Intermediate body cavity radiation source application</t>
  </si>
  <si>
    <t xml:space="preserve"> Complex body cavity radiation source application</t>
  </si>
  <si>
    <t xml:space="preserve"> High dose skin surface radiation therapy, 1 channel or lesion diameter 2.0 cm or less</t>
  </si>
  <si>
    <t xml:space="preserve"> High dose skin surface radiation therapy, 2 channels and lesion diameter more than 2.0 cm, or multiple lesions</t>
  </si>
  <si>
    <t xml:space="preserve"> High dose radiation therapy, 1 channel</t>
  </si>
  <si>
    <t xml:space="preserve"> High dose radiation therapy, 2-12 channels</t>
  </si>
  <si>
    <t xml:space="preserve"> High dose radiation therapy, more than 12 channels</t>
  </si>
  <si>
    <t xml:space="preserve"> Complex application of radiation source</t>
  </si>
  <si>
    <t xml:space="preserve"> Surface application of low dose rate source</t>
  </si>
  <si>
    <t xml:space="preserve"> Supervision, handling, and loading of radiation source</t>
  </si>
  <si>
    <t xml:space="preserve"> Other administration of radiation therapy</t>
  </si>
  <si>
    <t xml:space="preserve"> Nuclear medicine study of thyroid function</t>
  </si>
  <si>
    <t xml:space="preserve"> Nuclear medicine study of thyroid</t>
  </si>
  <si>
    <t xml:space="preserve"> Nuclear medicine study of thyroid and thyroid function</t>
  </si>
  <si>
    <t xml:space="preserve"> Nuclear medicine study of limited area for thyroid cancer</t>
  </si>
  <si>
    <t xml:space="preserve"> Nuclear medicine studies for thyroid cancer, additional studies</t>
  </si>
  <si>
    <t xml:space="preserve"> Nuclear medicine study of whole body for thyroid cancer</t>
  </si>
  <si>
    <t xml:space="preserve"> Nuclear medicine study of thyroid function for thyroid cancer</t>
  </si>
  <si>
    <t xml:space="preserve"> Nuclear medicine study of parathyroid</t>
  </si>
  <si>
    <t xml:space="preserve"> Nuclear medicine study of parathyroid with SPECT</t>
  </si>
  <si>
    <t xml:space="preserve"> Nuclear medicine study of parathyroid with SPECT and CT scan</t>
  </si>
  <si>
    <t xml:space="preserve"> Nuclear medicine study of adrenal glands</t>
  </si>
  <si>
    <t xml:space="preserve"> Nuclear medicine study of endocrine organs</t>
  </si>
  <si>
    <t xml:space="preserve"> Nuclear medicine study of bone marrow limited area</t>
  </si>
  <si>
    <t xml:space="preserve"> Nuclear medicine study of bone marrow multiple areas</t>
  </si>
  <si>
    <t xml:space="preserve"> Nuclear medicine study of bone marrow whole body</t>
  </si>
  <si>
    <t xml:space="preserve"> Nuclear medicine study of plasma volume, 1 sampling</t>
  </si>
  <si>
    <t xml:space="preserve"> Nuclear medicine study of plasma volume, multiple samplings</t>
  </si>
  <si>
    <t xml:space="preserve"> Nuclear medicine study of red blood cell volume, single sample</t>
  </si>
  <si>
    <t xml:space="preserve"> Nuclear medicine study of red blood cell volume, multiple samples</t>
  </si>
  <si>
    <t xml:space="preserve"> Nuclear medicine study of whole blood volume</t>
  </si>
  <si>
    <t xml:space="preserve"> Nuclear medicine study of red blood cell survival</t>
  </si>
  <si>
    <t xml:space="preserve"> Nuclear medicine study of radioisotope labeled red blood cells</t>
  </si>
  <si>
    <t xml:space="preserve"> Nuclear medicine study of spleen</t>
  </si>
  <si>
    <t xml:space="preserve"> Nuclear medicine study of platelet survival</t>
  </si>
  <si>
    <t xml:space="preserve"> Nuclear medicine study of lymphatic system</t>
  </si>
  <si>
    <t xml:space="preserve"> Nuclear medicine study of blood and lymphatic systems</t>
  </si>
  <si>
    <t xml:space="preserve"> Nuclear medicine study of liver</t>
  </si>
  <si>
    <t xml:space="preserve"> Nuclear medicine study of liver and blood flow</t>
  </si>
  <si>
    <t xml:space="preserve"> Nuclear medicine study of liver and spleen</t>
  </si>
  <si>
    <t xml:space="preserve"> Nuclear medicine study of liver, spleen, and blood flow</t>
  </si>
  <si>
    <t xml:space="preserve"> Nuclear medicine study of liver and bile duct system</t>
  </si>
  <si>
    <t xml:space="preserve"> Nuclear medicine study of liver and bile duct system with use of drugs</t>
  </si>
  <si>
    <t xml:space="preserve"> Nuclear medicine study of salivary gland</t>
  </si>
  <si>
    <t xml:space="preserve"> Nuclear medicine study of salivary gland with serial images</t>
  </si>
  <si>
    <t xml:space="preserve"> Nuclear medicine study of salivary gland function</t>
  </si>
  <si>
    <t xml:space="preserve"> Nuclear medicine study of esophagus to assess movement</t>
  </si>
  <si>
    <t xml:space="preserve"> Nuclear medicine study of stomach lining</t>
  </si>
  <si>
    <t xml:space="preserve"> Nuclear medicine study of stomach and esophagus to assess reflux</t>
  </si>
  <si>
    <t xml:space="preserve"> Nuclear medicine study of stomach to assess emptying</t>
  </si>
  <si>
    <t xml:space="preserve"> Nuclear medicine study of stomach to assess emptying and small bowel movement</t>
  </si>
  <si>
    <t xml:space="preserve"> Nuclear medicine study of stomach to assess emptying and small and large bowel movement</t>
  </si>
  <si>
    <t xml:space="preserve"> Nuclear medicine study to acquire exhaled breath samples</t>
  </si>
  <si>
    <t xml:space="preserve"> Nuclear medicine study to assess exhaled breath samples</t>
  </si>
  <si>
    <t xml:space="preserve"> Nuclear medicine study to assess blood loss</t>
  </si>
  <si>
    <t xml:space="preserve"> Nuclear medicine study to assess protein loss into the digestive tract</t>
  </si>
  <si>
    <t xml:space="preserve"> Nuclear medicine study of intestine</t>
  </si>
  <si>
    <t xml:space="preserve"> Nuclear medicine study to assess the degree of openness of shunt from jugular vein to abdominal cavity</t>
  </si>
  <si>
    <t xml:space="preserve"> Nuclear medicine study of digestive tracts</t>
  </si>
  <si>
    <t xml:space="preserve"> Nuclear medicine study of bone and/or joint limited area</t>
  </si>
  <si>
    <t xml:space="preserve"> Nuclear medicine study of bone and/or joint multiple areas</t>
  </si>
  <si>
    <t xml:space="preserve"> Nuclear medicine study of bone and/or joint whole body</t>
  </si>
  <si>
    <t xml:space="preserve"> Nuclear medicine study of bone taken at different times</t>
  </si>
  <si>
    <t xml:space="preserve"> Nuclear medicine study to measure bone loss using 1 photon beam</t>
  </si>
  <si>
    <t xml:space="preserve"> Nuclear medicine study to measure bone loss using 2 photon beams</t>
  </si>
  <si>
    <t xml:space="preserve"> Other nuclear medicine study of musculoskeletal system</t>
  </si>
  <si>
    <t xml:space="preserve"> Nuclear medicine study of cardiovascular function</t>
  </si>
  <si>
    <t xml:space="preserve"> Nuclear medicine study for detecting heart shunt</t>
  </si>
  <si>
    <t xml:space="preserve"> Nuclear medicine study of heart muscle with metabolic evaluation and concurrent CT scan</t>
  </si>
  <si>
    <t xml:space="preserve"> Nuclear medicine study of blood flow in heart muscle at rest and with stress with concurrent CT scan</t>
  </si>
  <si>
    <t xml:space="preserve"> Nuclear medicine studies of blood flow in heart muscle at rest and with stress with concurrent CT scan</t>
  </si>
  <si>
    <t xml:space="preserve"> Nuclear medicine study of heart muscle with metabolic and blood flow evaluation requiring 2 injections</t>
  </si>
  <si>
    <t xml:space="preserve"> Nuclear medicine study of heart muscle with metabolic and blood flow evaluation requiring 2 injections and concurrent CT scan</t>
  </si>
  <si>
    <t xml:space="preserve"> Nuclear medicine study of heart muscle blood flow by PET</t>
  </si>
  <si>
    <t xml:space="preserve"> Nuclear medicine study of non-cardiac blood flow</t>
  </si>
  <si>
    <t xml:space="preserve"> Nuclear medicine study of heart muscle at rest and with stress and SPECT</t>
  </si>
  <si>
    <t xml:space="preserve"> Nuclear medicine studies of heart muscle at rest and with stress and SPECT</t>
  </si>
  <si>
    <t xml:space="preserve"> Nuclear medicine study of heart muscle at rest and with stress with single 2D image</t>
  </si>
  <si>
    <t xml:space="preserve"> Nuclear medicine studies of heart muscle at rest and with stress with single 2D image</t>
  </si>
  <si>
    <t xml:space="preserve"> Nuclear medicine study to assess blood clot in vein using radiolabeled peptide</t>
  </si>
  <si>
    <t xml:space="preserve"> Nuclear medicine study to assess blood clot in vein of side</t>
  </si>
  <si>
    <t xml:space="preserve"> Nuclear medicine study to assess blood clot in vein of both sides</t>
  </si>
  <si>
    <t xml:space="preserve"> Nuclear medicine study of heart muscle with metabolic evaluation</t>
  </si>
  <si>
    <t xml:space="preserve"> Nuclear medicine study of heart muscle following heart attack</t>
  </si>
  <si>
    <t xml:space="preserve"> Nuclear medicine study of heart muscle following heart attack with measurement of internal blood volume ejected with every beat</t>
  </si>
  <si>
    <t xml:space="preserve"> Nuclear medicine study of heart muscle following heart attack with SPECT</t>
  </si>
  <si>
    <t xml:space="preserve"> Nuclear medicine study of heart pumping function by labeling red blood cells with measurement of internal blood volume ejected with every beat over multiple cycles</t>
  </si>
  <si>
    <t xml:space="preserve"> Nuclear medicine studies of heart pumping function by labeling red blood cells with measurement of internal blood volume ejected with every beat over multiple cycles</t>
  </si>
  <si>
    <t xml:space="preserve"> Nuclear medicine study of heart pumping function with measurement of internal blood volume ejected with every beat over a single cycle</t>
  </si>
  <si>
    <t xml:space="preserve"> Nuclear medicine studies of heart pumping function by first pass technique with measurement of internal blood volume ejected with every beat over a single cycle</t>
  </si>
  <si>
    <t xml:space="preserve"> Nuclear medicine study of blood flow in heart muscle at rest and with stress</t>
  </si>
  <si>
    <t xml:space="preserve"> Nuclear medicine studies of blood flow in heart muscle at rest and with stress</t>
  </si>
  <si>
    <t xml:space="preserve"> Nuclear medicine study of heart pumping function by labeling red blood cells with measurement of internal blood volume ejected with every beat over multiple cycles with SPECT</t>
  </si>
  <si>
    <t xml:space="preserve"> Nuclear medicine study of heart pumping function over single cycle</t>
  </si>
  <si>
    <t xml:space="preserve"> Other nuclear medicine study of cardiovascular system</t>
  </si>
  <si>
    <t xml:space="preserve"> Nuclear medicine study of lung ventilation</t>
  </si>
  <si>
    <t xml:space="preserve"> Nuclear medicine study of lung circulation</t>
  </si>
  <si>
    <t xml:space="preserve"> Nuclear medicine study of lung ventilation and circulation</t>
  </si>
  <si>
    <t xml:space="preserve"> Nuclear medicine study of lung ventilation and blood flow to lung</t>
  </si>
  <si>
    <t xml:space="preserve"> Nuclear medicine study of lung ventilation and circulation and blood flow to lung</t>
  </si>
  <si>
    <t xml:space="preserve"> Other nuclear medicine study of respiratory system</t>
  </si>
  <si>
    <t xml:space="preserve"> Nuclear medicine study of brain, less than 4 static views</t>
  </si>
  <si>
    <t xml:space="preserve"> Nuclear medicine study of brain and blood flow</t>
  </si>
  <si>
    <t xml:space="preserve"> Nuclear medicine study of brain, 4 static views or more</t>
  </si>
  <si>
    <t xml:space="preserve"> Nuclear medicine study of brain and blood flow, 4 static views or more</t>
  </si>
  <si>
    <t xml:space="preserve"> Nuclear medicine study of brain with metabolic evaluation</t>
  </si>
  <si>
    <t xml:space="preserve"> Nuclear medicine study of brain with blood flow evaluation</t>
  </si>
  <si>
    <t xml:space="preserve"> Nuclear medicine study of brain with blood flow</t>
  </si>
  <si>
    <t xml:space="preserve"> Nuclear medicine study of cerebrospinal fluid flow after injection of contrast into lower spine</t>
  </si>
  <si>
    <t xml:space="preserve"> Nuclear medicine study of cerebrospinal fluid flow after injection of contrast into ventricles</t>
  </si>
  <si>
    <t xml:space="preserve"> Nuclear medicine study of cerebrospinal fluid flow to evaluate shunt</t>
  </si>
  <si>
    <t xml:space="preserve"> Nuclear medicine study of cerebrospinal fluid flow to locate leakage</t>
  </si>
  <si>
    <t xml:space="preserve"> Nuclear medicine study of tear drainage structure</t>
  </si>
  <si>
    <t xml:space="preserve"> Other nuclear medicine study of nervous system</t>
  </si>
  <si>
    <t xml:space="preserve"> Nuclear medicine study of kidney</t>
  </si>
  <si>
    <t xml:space="preserve"> Nuclear medicine study of kidney and blood flow</t>
  </si>
  <si>
    <t xml:space="preserve"> Nuclear medicine study of kidney, blood flow, and function</t>
  </si>
  <si>
    <t xml:space="preserve"> Nuclear medicine study of kidney, blood, flow, and function with drug administration</t>
  </si>
  <si>
    <t xml:space="preserve"> Nuclear medicine studies of kidney, blood flow, and function</t>
  </si>
  <si>
    <t xml:space="preserve"> Nuclear medicine study of kidney function</t>
  </si>
  <si>
    <t xml:space="preserve"> Nuclear medicine study of remaining urine in bladder</t>
  </si>
  <si>
    <t xml:space="preserve"> Nuclear medicine study to assess urine flow</t>
  </si>
  <si>
    <t xml:space="preserve"> Nuclear medicine study of testicle and blood flow</t>
  </si>
  <si>
    <t xml:space="preserve"> Other nuclear medicine study of urogenital system</t>
  </si>
  <si>
    <t xml:space="preserve"> Nuclear medicine study, 1 area</t>
  </si>
  <si>
    <t xml:space="preserve"> Nuclear medicine study, multiple areas</t>
  </si>
  <si>
    <t xml:space="preserve"> Nuclear medicine study, whole body</t>
  </si>
  <si>
    <t xml:space="preserve"> Nuclear medicine study, SPECT imaging, 1 area or single acquisition, single day imaging</t>
  </si>
  <si>
    <t xml:space="preserve"> Nuclear medicine study, whole body requiring multiple imaging days</t>
  </si>
  <si>
    <t xml:space="preserve"> Injection of radioactive contrast into a vein for non-imaging gamma probe</t>
  </si>
  <si>
    <t xml:space="preserve"> Nuclear medicine study limited area</t>
  </si>
  <si>
    <t xml:space="preserve"> Nuclear medicine study from skull base to mid-thigh</t>
  </si>
  <si>
    <t xml:space="preserve"> Nuclear medicine study whole body</t>
  </si>
  <si>
    <t xml:space="preserve"> Nuclear medicine study limited area with CT scan</t>
  </si>
  <si>
    <t xml:space="preserve"> Nuclear medicine study from skull base to mid-thigh with CT scan</t>
  </si>
  <si>
    <t xml:space="preserve"> Nuclear medicine study whole body with CT scan</t>
  </si>
  <si>
    <t xml:space="preserve"> Nuclear medicine study, SPECT imaging with concurrent CT scan, 1 area or single acquisition, single day imaging</t>
  </si>
  <si>
    <t xml:space="preserve"> Nuclear medicine study, SPECT imaging, at least 2 areas or separate acquisitions, single day imaging, or single area or acquisition over multiple days</t>
  </si>
  <si>
    <t xml:space="preserve"> Nuclear medicine study, SPECT imaging with concurrent CT scan, at least 2 areas or separate acquisitions, single day imaging, or single area or acquisition over multiple days</t>
  </si>
  <si>
    <t xml:space="preserve"> Quantification of radioactive materials</t>
  </si>
  <si>
    <t xml:space="preserve"> Other nuclear medicine study</t>
  </si>
  <si>
    <t xml:space="preserve"> Radioactive drug therapy by mouth</t>
  </si>
  <si>
    <t xml:space="preserve"> Radioactive drug therapy through a vein</t>
  </si>
  <si>
    <t xml:space="preserve"> Radioactive drug therapy into a body cavity</t>
  </si>
  <si>
    <t xml:space="preserve"> Radioactive drug therapy into a tissue</t>
  </si>
  <si>
    <t xml:space="preserve"> Radioactive drug therapy of radiolabeled monoclonal antibody through a vein</t>
  </si>
  <si>
    <t xml:space="preserve"> Radioactive drug therapy into a joint</t>
  </si>
  <si>
    <t xml:space="preserve"> Radioactive drug therapy through a tube inserted in an artery</t>
  </si>
  <si>
    <t xml:space="preserve"> Radioactive drug therapy</t>
  </si>
  <si>
    <t xml:space="preserve"> Human immune globulin for infusions</t>
  </si>
  <si>
    <t xml:space="preserve"> Hepatitis B immune globulin for injection into muscle</t>
  </si>
  <si>
    <t xml:space="preserve"> Rabies immune globulin for injection</t>
  </si>
  <si>
    <t xml:space="preserve"> Rabies immune globulin for injection beneath the skin and/or into muscle, heat-treated</t>
  </si>
  <si>
    <t xml:space="preserve"> Rabies immune globulin for injection beneath the skin and/or into muscle</t>
  </si>
  <si>
    <t xml:space="preserve"> Respiratory syncytial virus antibody for injection into tissue or muscle</t>
  </si>
  <si>
    <t xml:space="preserve"> Rho(D) immune globulin (full dose) for injection into muscle</t>
  </si>
  <si>
    <t xml:space="preserve"> Rho(D) immune globulin (mini dose) for injection into muscle</t>
  </si>
  <si>
    <t xml:space="preserve"> Rho(D) immune globulin for infusion into vein</t>
  </si>
  <si>
    <t xml:space="preserve"> Vaccinia immune globulin for injection into muscle</t>
  </si>
  <si>
    <t xml:space="preserve"> Varicella (chicken pox) zoster immune globulin for injection into muscle</t>
  </si>
  <si>
    <t xml:space="preserve"> Adenovirus type 4 vaccine</t>
  </si>
  <si>
    <t xml:space="preserve"> Immunization administration by intramuscular injection of severe acute respiratory syndrome coronavirus 2 (sarscov-2) (coronavirus disease [covid-19]) vaccine, single dose</t>
  </si>
  <si>
    <t xml:space="preserve"> Anthrax vaccine</t>
  </si>
  <si>
    <t xml:space="preserve"> Smallpox and monkeypox vaccine, attenuated vaccinia virus, live, non-replicating, preservative free, 0.5 mL dosage, suspension, for subcutaneous use</t>
  </si>
  <si>
    <t xml:space="preserve"> Vaccinia (smallpox) virus vaccine, live, lyophilized, 0.3 mL dosage, for percutaneous use</t>
  </si>
  <si>
    <t xml:space="preserve"> Influenza vaccine, quadrivalent</t>
  </si>
  <si>
    <t xml:space="preserve"> Hepatitis A vaccine adult dosage</t>
  </si>
  <si>
    <t xml:space="preserve"> Hepatitis A vaccine pediatric or adolescent dosage</t>
  </si>
  <si>
    <t xml:space="preserve"> Hepatitis A vaccine pediatric or adolescent dosage (3 dose schedule)</t>
  </si>
  <si>
    <t xml:space="preserve"> Hepatitis A and hepatitis B vaccine</t>
  </si>
  <si>
    <t xml:space="preserve"> Haemophilus influenzae type b vaccine, PRP-OMP conjugate</t>
  </si>
  <si>
    <t xml:space="preserve"> Haemophilus influenzae type b vaccine, PRP-T conjugate</t>
  </si>
  <si>
    <t xml:space="preserve"> Influenza vaccine, inactivated</t>
  </si>
  <si>
    <t xml:space="preserve"> Influenza vaccine, trivalent, split virus, preservative-free</t>
  </si>
  <si>
    <t xml:space="preserve"> Influenza vaccine, trivalent, split virus, preservative-free, 0.25 mL dosage</t>
  </si>
  <si>
    <t xml:space="preserve"> Influenza vaccine, trivalent, split virus, preservative-free, 0.5 mL dosage</t>
  </si>
  <si>
    <t xml:space="preserve"> Influenza vaccine, trivalent, 0.25 mL dosage</t>
  </si>
  <si>
    <t xml:space="preserve"> Influenza vaccine, trivalent, 0.5 mL dosage</t>
  </si>
  <si>
    <t xml:space="preserve"> Influenza vaccine, trivalent for nasal administration</t>
  </si>
  <si>
    <t xml:space="preserve"> Influenza vaccine, trivalent derived from cell cultures</t>
  </si>
  <si>
    <t xml:space="preserve"> Influenza vaccine split virus, preservative free</t>
  </si>
  <si>
    <t xml:space="preserve"> Pneumococcal vaccine, 13-valent</t>
  </si>
  <si>
    <t xml:space="preserve"> Influenza vaccine, quadrivalent for nasal administration</t>
  </si>
  <si>
    <t xml:space="preserve"> Influenza vaccine, trivalent derived from recombinant DNA</t>
  </si>
  <si>
    <t xml:space="preserve"> Influenza vaccine, quadrivalent derived from cell cultures, preservative and antibiotic free</t>
  </si>
  <si>
    <t xml:space="preserve"> Rabies vaccine for injection into muscle</t>
  </si>
  <si>
    <t xml:space="preserve"> Rabies vaccine for injection into skin</t>
  </si>
  <si>
    <t xml:space="preserve"> Rotavirus vaccine, pentavalent</t>
  </si>
  <si>
    <t xml:space="preserve"> Influenza vaccine, quadrivalent derived from recombinant DNA</t>
  </si>
  <si>
    <t xml:space="preserve"> Influenza vaccine, quadrivalent, preservative free, 0.25 mL dosage</t>
  </si>
  <si>
    <t xml:space="preserve"> Influenza vaccine, quadrivalent, preservative free, 0.5 mL dosage</t>
  </si>
  <si>
    <t xml:space="preserve"> Influenza vaccine, quadrivalent, 0.25 mL dosage</t>
  </si>
  <si>
    <t xml:space="preserve"> Influenza vaccine, quadrivalent, 0.5 mL dosage</t>
  </si>
  <si>
    <t xml:space="preserve"> Influenza vaccine, quadrivalent inactivated, 0.25 ml dosage</t>
  </si>
  <si>
    <t xml:space="preserve"> Typhoid vaccine</t>
  </si>
  <si>
    <t xml:space="preserve"> Typhoid vaccine for injection into muscle</t>
  </si>
  <si>
    <t xml:space="preserve"> Influenza vaccine, quadrivalent inactivated, 0.5 ml dosage</t>
  </si>
  <si>
    <t xml:space="preserve"> Diphtheria, tetanus, acellular pertussis, and polio vaccine</t>
  </si>
  <si>
    <t xml:space="preserve"> Diphtheria, tetanus, acellular pertussis, polio, and Haemophilus influenzae type b vaccine</t>
  </si>
  <si>
    <t xml:space="preserve"> Diphtheria, tetanus, and acellular pertussis vaccine (7 years or older)</t>
  </si>
  <si>
    <t xml:space="preserve"> Yellow fever vaccine</t>
  </si>
  <si>
    <t xml:space="preserve"> Pneumococcal vaccine, 23-valent</t>
  </si>
  <si>
    <t xml:space="preserve"> Hepatitis B vaccine (HepB), CpG-adjuvanted, adult dosage, 2 dose or 4 dose schedule, for intramuscular use</t>
  </si>
  <si>
    <t xml:space="preserve"> Hepatitis B vaccine, dialysis or immunosuppressed patient dosage</t>
  </si>
  <si>
    <t xml:space="preserve"> Hepatitis B vaccine, adolescent dosage</t>
  </si>
  <si>
    <t xml:space="preserve"> Hepatitis B vaccine, pediatric or adolescent dosage (3 dose schedule)</t>
  </si>
  <si>
    <t xml:space="preserve"> Hepatitis B vaccine, adult dosage (3 dose schedule)</t>
  </si>
  <si>
    <t xml:space="preserve"> Hepatitis B vaccine, dialysis or immunosuppressed patient dosage (4 dose schedule)</t>
  </si>
  <si>
    <t xml:space="preserve"> Other vaccine or toxoid injection or infusion procedure</t>
  </si>
  <si>
    <t xml:space="preserve"> Influenza vaccine, quadrivalent derived from cell cultures</t>
  </si>
  <si>
    <t xml:space="preserve"> Vaccine for Hepatitis B (3 dose schedule) for injection into muscle, 10 mcg dosage</t>
  </si>
  <si>
    <t xml:space="preserve"> Therapy using electrical currents</t>
  </si>
  <si>
    <t xml:space="preserve"> Psychophysiological therapy incorporating biofeedback training with psychotherapy, 30 minutes</t>
  </si>
  <si>
    <t xml:space="preserve"> Psychophysiological therapy incorporating biofeedback training with psychotherapy, 45 minutes</t>
  </si>
  <si>
    <t xml:space="preserve"> Other inpatient or outpatient dialysis procedure</t>
  </si>
  <si>
    <t xml:space="preserve"> Study of esophagus to assess movement</t>
  </si>
  <si>
    <t xml:space="preserve"> Study of stomach to assess movement</t>
  </si>
  <si>
    <t xml:space="preserve"> Study of upper small bowel to assess movement</t>
  </si>
  <si>
    <t xml:space="preserve"> Test for esophageal reflux disease</t>
  </si>
  <si>
    <t xml:space="preserve"> Monitoring and recording of esophageal function through a capsule attached to the esophagus wall</t>
  </si>
  <si>
    <t xml:space="preserve"> Measurement of hydrogen in breath to test for stomach and bowel symptoms</t>
  </si>
  <si>
    <t xml:space="preserve"> Study of rectum sensitivity and function</t>
  </si>
  <si>
    <t xml:space="preserve"> Other diagnostic procedure for gastrointestine</t>
  </si>
  <si>
    <t xml:space="preserve"> Severe acute respiratory syndrome coronavirus 2 (COVID-19) vaccine, recombinant spike protein nanoparticle, saponin-based adjuvant, preservative free, 5 mcg/0.5mL dosage, for intramuscular use</t>
  </si>
  <si>
    <t xml:space="preserve"> Severe acute respiratory syndrome coronavirus 2 (sarscov-2) (coronavirus disease [covid-19]) vaccine, mrnalnp, spike protein, 3 mcg/0.3 ml dosage, tris-sucrose formulation, for intramuscular use</t>
  </si>
  <si>
    <t xml:space="preserve"> Severe acute respiratory syndrome coronavirus 2 (sarscov-2) (coronavirus disease [covid-19]) vaccine, mrnalnp, spike protein, 10 mcg/0.3 ml dosage, tris-sucrose formulation, for intramuscular use</t>
  </si>
  <si>
    <t xml:space="preserve"> Severe acute respiratory syndrome coronavirus 2 (sarscov-2) (coronavirus disease [covid-19]) vaccine, mrnalnp, spike protein, 30 mcg/0.3 ml dosage, tris-sucrose formulation, for intramuscular use</t>
  </si>
  <si>
    <t xml:space="preserve"> Severe acute respiratory syndrome coronavirus 2 (sarscov-2) (coronavirus disease [covid-19]) vaccine, mrnalnp, 25 mcg/0.25 ml dosage, for intramuscular use</t>
  </si>
  <si>
    <t xml:space="preserve"> Severe acute respiratory syndrome coronavirus 2 (sarscov-2) (coronavirus disease [covid-19]) vaccine, mrnalnp, 50 mcg/0.5 ml dosage, for intramuscular use</t>
  </si>
  <si>
    <t xml:space="preserve"> Complete exam of visual system under general anesthesia</t>
  </si>
  <si>
    <t xml:space="preserve"> Limited exam of visual system under general anesthesia</t>
  </si>
  <si>
    <t xml:space="preserve"> Exam of retinal blood vessels using a special camera after injection of a dye</t>
  </si>
  <si>
    <t xml:space="preserve"> Exam of blood vessels between the white part of eye and retina using a special camera after injection of a dye</t>
  </si>
  <si>
    <t xml:space="preserve"> Exam of retinal blood vessels and blood vessels between the white part of eye and retina using a special camera after injection of a dye</t>
  </si>
  <si>
    <t xml:space="preserve"> Exam of head, neck, including ears, nose and throat under general anesthesia</t>
  </si>
  <si>
    <t xml:space="preserve"> Exam of ear using a microscope</t>
  </si>
  <si>
    <t xml:space="preserve"> Exam of the nose and throat using an endoscope</t>
  </si>
  <si>
    <t xml:space="preserve"> Evaluation and testing for balance with recording</t>
  </si>
  <si>
    <t xml:space="preserve"> Test for balance and posture</t>
  </si>
  <si>
    <t xml:space="preserve"> Test for eardrum and muscle function</t>
  </si>
  <si>
    <t xml:space="preserve"> Comprehensive hearing test</t>
  </si>
  <si>
    <t xml:space="preserve"> Screening evaluation of brain response to sound with automated analysis</t>
  </si>
  <si>
    <t xml:space="preserve"> Evaluation of brain response to sound for determination of hearing status with interpretation and report</t>
  </si>
  <si>
    <t xml:space="preserve"> Evaluation of brain response to sound for determination of hearing threshold with interpretation and report</t>
  </si>
  <si>
    <t xml:space="preserve"> Evaluation of brain response to sound for diagnosis of nervous system disorders with interpretation and report</t>
  </si>
  <si>
    <t xml:space="preserve"> Balloon dilation of single coronary artery or branch</t>
  </si>
  <si>
    <t xml:space="preserve"> Balloon dilation of coronary artery or branch, each additional artery or branch</t>
  </si>
  <si>
    <t xml:space="preserve"> Insertion of stents with balloon dilation of coronary artery or branch, single artery or branch</t>
  </si>
  <si>
    <t xml:space="preserve"> Insertion of stents with balloon dilation of coronary artery or branch, each additional artery or branch</t>
  </si>
  <si>
    <t xml:space="preserve"> Internal shock to heart to regulate heart beat</t>
  </si>
  <si>
    <t xml:space="preserve"> Ultrasound evaluation of heart blood vessel or graft with review by radiologist, initial vessel</t>
  </si>
  <si>
    <t xml:space="preserve"> Ultrasound evaluation of heart blood vessel or graft with review by radiologist, each additional vessel</t>
  </si>
  <si>
    <t xml:space="preserve"> Exercise or drug-induced heart stress test with electrocardiogram (ECG) with supervision and review by physician</t>
  </si>
  <si>
    <t xml:space="preserve"> Heart rhythm recording, analysis, report, review, and interpretation of continuous external EKG over more than 48 hours up to 7 days</t>
  </si>
  <si>
    <t xml:space="preserve"> Heart rhythm recording continuous external EKG over more than 48 hours up to 7 days</t>
  </si>
  <si>
    <t xml:space="preserve"> Heart rhythm analysis and report of continuous external EKG over more than 48 hours up to 7 days</t>
  </si>
  <si>
    <t xml:space="preserve"> Heart rhythm review, and interpretation of continuous external EKG over more than 48 hours up to 7 days</t>
  </si>
  <si>
    <t xml:space="preserve"> Heart rhythm recording, analysis, interpretation and report of continuous external EKG over more than 1 week up to 1 weeks</t>
  </si>
  <si>
    <t xml:space="preserve"> Heart rhythm recording of continuous external EKG over 8-15 days</t>
  </si>
  <si>
    <t xml:space="preserve"> Heart rhythm analysis and report of continuous external EKG over 8-15 days</t>
  </si>
  <si>
    <t xml:space="preserve"> Heart rhythm review and interpretation of continuous external EKG over 8-15 days</t>
  </si>
  <si>
    <t xml:space="preserve"> Remote monitoring of pulmonary artery pressure sensor, up to 30 days</t>
  </si>
  <si>
    <t xml:space="preserve"> Ultrasound of heart for congenital defect</t>
  </si>
  <si>
    <t xml:space="preserve"> Ultrasound of heart for congenital defect, follow-up</t>
  </si>
  <si>
    <t xml:space="preserve"> Ultrasound of heart with probe in esophagus for congenital defect, with report</t>
  </si>
  <si>
    <t xml:space="preserve"> Insertion of probe in esophagus for congenital heart ultrasound</t>
  </si>
  <si>
    <t xml:space="preserve"> Interpretation and report of congenital heart ultrasound</t>
  </si>
  <si>
    <t xml:space="preserve"> Ultrasound of heart with probe in esophagus to assess heart pump function</t>
  </si>
  <si>
    <t xml:space="preserve"> Insertion of tube in right heart chambers for measurement</t>
  </si>
  <si>
    <t xml:space="preserve"> Insertion of tube in left heart chambers for diagnosis with review by radiologist</t>
  </si>
  <si>
    <t xml:space="preserve"> Insertion of tube in right and left heart chambers for diagnosis with review by radiologist</t>
  </si>
  <si>
    <t xml:space="preserve"> Insertion of tube in coronary artery for diagnosis with review by radiologist</t>
  </si>
  <si>
    <t xml:space="preserve"> Insertion of tube in bypass graft for diagnosis with review by radiologist</t>
  </si>
  <si>
    <t xml:space="preserve"> Insertion of tube in right heart chambers and coronary artery for diagnosis with review by radiologist</t>
  </si>
  <si>
    <t xml:space="preserve"> Insertion of tube in right heart chambers, coronary artery, and bypass graft for diagnosis with review by radiologist</t>
  </si>
  <si>
    <t xml:space="preserve"> Insertion of tube in left lower heart chamber and coronary artery for diagnosis with review by radiologist</t>
  </si>
  <si>
    <t xml:space="preserve"> Insertion of tube in left lower heart chamber, coronary artery and bypass graft for diagnosis with review by radiologist</t>
  </si>
  <si>
    <t xml:space="preserve"> Insertion of tube in right and left heart chambers and coronary artery for diagnosis with review by radiologist</t>
  </si>
  <si>
    <t xml:space="preserve"> Insertion of tube in right and left heart chambers, coronary artery, and bypass graft for diagnosis with review by radiologist</t>
  </si>
  <si>
    <t xml:space="preserve"> Insertion of tube in left heart chamber through heart septum</t>
  </si>
  <si>
    <t xml:space="preserve"> Drug infusion during cardiac catheterization</t>
  </si>
  <si>
    <t xml:space="preserve"> Injection for imaging of right heart chambers with review by radiologist</t>
  </si>
  <si>
    <t xml:space="preserve"> Injection for imaging of aorta above heart valve with review by radiologist</t>
  </si>
  <si>
    <t xml:space="preserve"> Injection for nonselective imaging of pulmonary artery during heart catheterization</t>
  </si>
  <si>
    <t xml:space="preserve"> Ultrasound evaluation of heart blood vessel during diagnosis or treatment, initial vessel</t>
  </si>
  <si>
    <t xml:space="preserve"> Ultrasound evaluation of heart blood vessel during diagnosis or treatment, each additional vessel</t>
  </si>
  <si>
    <t xml:space="preserve"> Repair of leak adjacent to mitral valve, first closure device</t>
  </si>
  <si>
    <t xml:space="preserve"> Repair of leak adjacent to aortic valve, first closure device</t>
  </si>
  <si>
    <t xml:space="preserve"> Repair of lead adjacent to heart valve, each additional closure device</t>
  </si>
  <si>
    <t xml:space="preserve"> Ultrasound evaluation of heart blood vessel with review by radiologist</t>
  </si>
  <si>
    <t xml:space="preserve"> Patient/caregiver training for monitoring of anticoagulant therapy</t>
  </si>
  <si>
    <t xml:space="preserve"> Anticoagulant management of patient taking warfarin</t>
  </si>
  <si>
    <t xml:space="preserve"> Complete ultrasound of artery and vein blood flow pre-op assessment on both sides of body for hemodialysis access</t>
  </si>
  <si>
    <t xml:space="preserve"> Complete ultrasound of artery and vein blood flow pre-op assessment on side of body for hemodialysis access</t>
  </si>
  <si>
    <t xml:space="preserve"> Test for exercise-induced spasm of lung airways</t>
  </si>
  <si>
    <t xml:space="preserve"> Test for exercise-induced lung stress</t>
  </si>
  <si>
    <t xml:space="preserve"> Exercise test for spasm of lung airways</t>
  </si>
  <si>
    <t xml:space="preserve"> Test for exercise-induced heart and lung stress</t>
  </si>
  <si>
    <t xml:space="preserve"> Continuous monitoring of blood sugar level in tissue fluid using sensor under skin</t>
  </si>
  <si>
    <t xml:space="preserve"> Needle measurement of electrical activity in muscles on side of body</t>
  </si>
  <si>
    <t xml:space="preserve"> Testing of autonomic nervous system function and heart rate response to deep breathing</t>
  </si>
  <si>
    <t xml:space="preserve"> Testing of autonomic (sympathetic) nervous system function, heart rate response to breathing exercises, and passive tilt</t>
  </si>
  <si>
    <t xml:space="preserve"> Testing of autonomic (sympathetic) nervous system function</t>
  </si>
  <si>
    <t xml:space="preserve"> Electronic analysis of implanted brain, spinal cord, or peripheral neurostimulator generator</t>
  </si>
  <si>
    <t xml:space="preserve"> Electronic analysis of implanted neurostimulator generator with simple spinal cord or peripheral nerve stimulator programming</t>
  </si>
  <si>
    <t xml:space="preserve"> Electronic analysis of neurostimulator generator with simple cranial nerve stimulator programming</t>
  </si>
  <si>
    <t xml:space="preserve"> Electronic analysis of implanted neurostimulator generator with complex cranial nerve stimulator programming</t>
  </si>
  <si>
    <t xml:space="preserve"> Electronic analysis of implanted gastric neurostimulator generator during surgery with programming</t>
  </si>
  <si>
    <t xml:space="preserve"> Electronic analysis of implanted gastric neurostimulator generator</t>
  </si>
  <si>
    <t xml:space="preserve"> Electronic analysis of implanted gastric neurostimulator generator with programming</t>
  </si>
  <si>
    <t xml:space="preserve"> Electronic analysis of implanted brain, spinal cord, or peripheral neurostimulator generator with brain stimulator programming, first 15 minutes with qualified health professional</t>
  </si>
  <si>
    <t xml:space="preserve"> Electronic analysis of implanted brain, spinal cord, or peripheral neurostimulator generator with brain stimulator programming, each additional 15 minutes with qualified health professional</t>
  </si>
  <si>
    <t xml:space="preserve"> Administration and interpretation of patient-focused health risk assessment</t>
  </si>
  <si>
    <t xml:space="preserve"> Administration and interpretation of caregiver-focused health risk assessment</t>
  </si>
  <si>
    <t xml:space="preserve"> Infusion into a vein for hydration, 31-60 minutes</t>
  </si>
  <si>
    <t xml:space="preserve"> Infusion into a vein for hydration, each additional hour</t>
  </si>
  <si>
    <t xml:space="preserve"> Infusion into a vein for therapy, prevention, or diagnosis, 1 hour or less</t>
  </si>
  <si>
    <t xml:space="preserve"> Infusion into a vein for therapy, prevention, or diagnosis, each additional hour</t>
  </si>
  <si>
    <t xml:space="preserve"> Infusion into a vein for therapy, prevention, or diagnosis, additional sequential infusion, 1 hour or less</t>
  </si>
  <si>
    <t xml:space="preserve"> Infusion into a vein for therapy, prevention, or diagnosis concurrent with another infusion</t>
  </si>
  <si>
    <t xml:space="preserve"> Infusion into tissue for therapy or prevention, 1 hour or less</t>
  </si>
  <si>
    <t xml:space="preserve"> Infusion into tissue for therapy or prevention, each additional hour</t>
  </si>
  <si>
    <t xml:space="preserve"> Establishment of new infusion site into tissue with pump set up</t>
  </si>
  <si>
    <t xml:space="preserve"> Injection of drug or substance under skin or into muscle</t>
  </si>
  <si>
    <t xml:space="preserve"> Injection of drug or substance into artery</t>
  </si>
  <si>
    <t xml:space="preserve"> Injection of drug or substance into vein</t>
  </si>
  <si>
    <t xml:space="preserve"> Injection of additional new drug or substance into vein</t>
  </si>
  <si>
    <t xml:space="preserve"> Injection of additional drug or substance into vein provided in a facility</t>
  </si>
  <si>
    <t xml:space="preserve"> Application of on-body injector for under skin injection</t>
  </si>
  <si>
    <t xml:space="preserve"> Injection or infusion into a vein or artery for therapy, prevention, or diagnosis</t>
  </si>
  <si>
    <t xml:space="preserve"> Refilling and maintenance of portable pump</t>
  </si>
  <si>
    <t xml:space="preserve"> Refilling and maintenance of implantable pump or reservoir for drug delivery</t>
  </si>
  <si>
    <t xml:space="preserve"> Irrigation of implanted venous access drug delivery device</t>
  </si>
  <si>
    <t xml:space="preserve"> Application of light to destroy precancer skin growth using an endoscope, initial 30 minutes</t>
  </si>
  <si>
    <t xml:space="preserve"> Application of light to destroy precancer skin growth using an endoscope, each additional 15 minutes</t>
  </si>
  <si>
    <t xml:space="preserve"> Application of light by qualified health care professional to destroy precancer skin growth</t>
  </si>
  <si>
    <t xml:space="preserve"> Application of light with debridement to destroy precancer skin growth</t>
  </si>
  <si>
    <t xml:space="preserve"> Therapy procedure using manual technique, each 15 minutes</t>
  </si>
  <si>
    <t xml:space="preserve"> Evaluation for physical therapy, typically 20 minutes</t>
  </si>
  <si>
    <t xml:space="preserve"> Evaluation for physical therapy, typically 30 minutes</t>
  </si>
  <si>
    <t xml:space="preserve"> Evaluation for physical therapy, typically 45 minutes</t>
  </si>
  <si>
    <t xml:space="preserve"> Re-evaluation for physical therapy, typically 20 minutes</t>
  </si>
  <si>
    <t xml:space="preserve"> Evaluation for occupational therapy, typically 30 minutes</t>
  </si>
  <si>
    <t xml:space="preserve"> Evaluation for occupational therapy, typically 45 minutes</t>
  </si>
  <si>
    <t xml:space="preserve"> Evaluation for occupational therapy, typically 1 hour</t>
  </si>
  <si>
    <t xml:space="preserve"> Re-evaluation for occupational therapy, typically 30 minutes</t>
  </si>
  <si>
    <t xml:space="preserve"> Evaluation for athletic training, typically 15 minutes</t>
  </si>
  <si>
    <t xml:space="preserve"> Evaluation for athletic training, typically 30 minutes</t>
  </si>
  <si>
    <t xml:space="preserve"> Evaluation for athletic training, typically 45 minutes</t>
  </si>
  <si>
    <t xml:space="preserve"> Re-evaluation for athletic training, typically 20 minutes</t>
  </si>
  <si>
    <t xml:space="preserve"> Removal of tissue from wound gradually</t>
  </si>
  <si>
    <t xml:space="preserve"> Follow-up training in the use of orthopedic device or artificial arm, leg and/or trunk, each 15 minutes</t>
  </si>
  <si>
    <t xml:space="preserve"> Chiropractic manipulative treatment, 1-2 spinal regions</t>
  </si>
  <si>
    <t xml:space="preserve"> Chiropractic manipulative treatment, 3-4 spinal regions</t>
  </si>
  <si>
    <t xml:space="preserve"> Chiropractic manipulative treatment, 5 spinal regions</t>
  </si>
  <si>
    <t xml:space="preserve"> Chiropractic manipulative treatment to regions other than spine</t>
  </si>
  <si>
    <t xml:space="preserve"> Use of a drug to induce depression of consciousness by physician performing a procedure (younger than 5 years), initial 15 minutes</t>
  </si>
  <si>
    <t xml:space="preserve"> Use of a drug to induce depression of consciousness by physician performing a procedure (5 years or older), initial 15 minutes</t>
  </si>
  <si>
    <t xml:space="preserve"> Use of a drug to induce depression of consciousness by physician performing a procedure, each additional 15 minutes</t>
  </si>
  <si>
    <t xml:space="preserve"> Use of a drug to induce depression of consciousness by physician not performing a procedure (younger than 5 years), initial 15 minutes</t>
  </si>
  <si>
    <t xml:space="preserve"> Use of a drug to induce depression of consciousness by physician not performing a procedure (5 years or older), initial 15 minutes</t>
  </si>
  <si>
    <t xml:space="preserve"> Use of a drug to induce depression of consciousness by physician not performing a procedure, each additional 15 minutes</t>
  </si>
  <si>
    <t xml:space="preserve"> Exam of genital and anal region for suspected trauma using an endoscope, child</t>
  </si>
  <si>
    <t xml:space="preserve"> Screening of eye with special instrument with remote analysis</t>
  </si>
  <si>
    <t xml:space="preserve"> Preventive medicine counseling, typically 15 minutes</t>
  </si>
  <si>
    <t xml:space="preserve"> Smoking and tobacco use intensive counseling, 4-10 minutes</t>
  </si>
  <si>
    <t xml:space="preserve"> Smoking and tobacco use intensive counseling, more than 10 minutes</t>
  </si>
  <si>
    <t xml:space="preserve"> Online digital evaluation and management service for an established patient for up to 7 days, total time 5-10 minutes</t>
  </si>
  <si>
    <t xml:space="preserve"> Online digital evaluation and management service for an established patient for up to 7 days, total time 11-20 minutes</t>
  </si>
  <si>
    <t xml:space="preserve"> Online digital evaluation and management service for an established patient for up to 7 days, total time 21 or more minutes</t>
  </si>
  <si>
    <t xml:space="preserve"> Telephone medical discussion with physician, 5-10 minutes</t>
  </si>
  <si>
    <t xml:space="preserve"> Telephone medical discussion with physician, 11-20 minutes</t>
  </si>
  <si>
    <t xml:space="preserve"> Telephone medical discussion with physician, 21-30 minutes</t>
  </si>
  <si>
    <t xml:space="preserve"> Telephone, internet, or electronic health record assessment and management with verbal and written report by consulting physician, 5-10 minutes</t>
  </si>
  <si>
    <t xml:space="preserve"> Telephone or internet assessment with verbal and written report by consulting physician, 11-20 minutes</t>
  </si>
  <si>
    <t xml:space="preserve"> Telephone or internet assessment with verbal and written report by consulting physician, 21-30 minutes</t>
  </si>
  <si>
    <t xml:space="preserve"> Telephone or internet assessment with verbal and written report by consulting physician, more than 30 minutes</t>
  </si>
  <si>
    <t xml:space="preserve"> Telephone, internet, or electronic health record assessment and management with written report by consulting physician, at least 5 minutes</t>
  </si>
  <si>
    <t xml:space="preserve"> Telephone or internet referral service, 30 minutes</t>
  </si>
  <si>
    <t xml:space="preserve"> Remote monitoring of physiologic parameters, initial set-up and patient education on use of equipment</t>
  </si>
  <si>
    <t xml:space="preserve"> Remote monitoring of physiologic parameters, initial supply of devices with daily recordings or programmed alerts transmission, each 30 days</t>
  </si>
  <si>
    <t xml:space="preserve"> Management using the results of remote vital sign monitoring per calendar month, first 20 minutes</t>
  </si>
  <si>
    <t xml:space="preserve"> Management using the results of remote vital sign monitoring per calendar month, each additional 20 minutes</t>
  </si>
  <si>
    <t xml:space="preserve"> Education and training to self measure blood pressure</t>
  </si>
  <si>
    <t xml:space="preserve"> Self measured blood pressure measurements</t>
  </si>
  <si>
    <t xml:space="preserve"> Assessment of and care planning for patient with impaired thought processing, typically 60 minutes</t>
  </si>
  <si>
    <t xml:space="preserve"> Care management services for behavioral health conditions, 20 minutes or more clinical staff time directed by health care professional</t>
  </si>
  <si>
    <t xml:space="preserve"> Initial psychiatric collaborative care management, first calendar month, first 70 minutes</t>
  </si>
  <si>
    <t xml:space="preserve"> Follow-up psychiatric collaborative care management, subsequent calendar month, first 60 minutes</t>
  </si>
  <si>
    <t xml:space="preserve"> Psychiatric collaborative care management per calendar month, each additional 30 minutes</t>
  </si>
  <si>
    <t xml:space="preserve"> Innovamatrix ac, per square centimeter</t>
  </si>
  <si>
    <t xml:space="preserve"> Mirragen advanced wound matrix, per square centimeter</t>
  </si>
  <si>
    <t xml:space="preserve"> Xcellistem, 1 mg</t>
  </si>
  <si>
    <t xml:space="preserve"> Microlyte matrix, per square centimeter</t>
  </si>
  <si>
    <t xml:space="preserve"> Novosorb synpath dermal matrix, per square centimeter</t>
  </si>
  <si>
    <t xml:space="preserve"> Restrata, per square centimeter</t>
  </si>
  <si>
    <t xml:space="preserve"> Theragenesis, per square centimeter</t>
  </si>
  <si>
    <t xml:space="preserve"> Symphony, per square centimeter</t>
  </si>
  <si>
    <t xml:space="preserve"> Apis, per square centimeter</t>
  </si>
  <si>
    <t xml:space="preserve"> Supra sdrm, per square centimeter</t>
  </si>
  <si>
    <t xml:space="preserve"> Suprathel, per square centimeter</t>
  </si>
  <si>
    <t xml:space="preserve"> Innovamatrix fs, per square centimeter</t>
  </si>
  <si>
    <t xml:space="preserve"> Omeza collagen matrix, per 100 mg</t>
  </si>
  <si>
    <t xml:space="preserve"> Phoenix wound matrix, per square centimeter</t>
  </si>
  <si>
    <t xml:space="preserve"> Permeaderm b, per square centimeter</t>
  </si>
  <si>
    <t xml:space="preserve"> Permeaderm glove, each</t>
  </si>
  <si>
    <t xml:space="preserve"> Permeaderm c, per square centimeter</t>
  </si>
  <si>
    <t xml:space="preserve"> Kerecis omega3 marigen shield, per square centimeter</t>
  </si>
  <si>
    <t xml:space="preserve"> Ac5 advanced wound system (ac5)</t>
  </si>
  <si>
    <t xml:space="preserve"> Neomatrix, per square centimeter</t>
  </si>
  <si>
    <t xml:space="preserve"> Innovaburn or innovamatrix xl, per square centimeter</t>
  </si>
  <si>
    <t xml:space="preserve"> Innovamatrix pd, 1 mg</t>
  </si>
  <si>
    <t xml:space="preserve"> Resolve matrix, per square centimeter</t>
  </si>
  <si>
    <t xml:space="preserve"> Miro3d, per cubic centimeter</t>
  </si>
  <si>
    <t xml:space="preserve"> Skin substitute, fda cleared as a device, not otherwise specified</t>
  </si>
  <si>
    <t xml:space="preserve"> Chlorhexidine containing antiseptic, 1 ml</t>
  </si>
  <si>
    <t xml:space="preserve"> Indwelling catheter, foley type, two-way, all silicone or polyurethane, each</t>
  </si>
  <si>
    <t xml:space="preserve"> Bedside drainage bag, day or night, with or without anti-reflux device, with or without tube, each</t>
  </si>
  <si>
    <t xml:space="preserve"> Disposable underpads, all sizes</t>
  </si>
  <si>
    <t xml:space="preserve"> Electrode/transducer for use with electrical stimulation device used for cancer treatment, replacement only</t>
  </si>
  <si>
    <t xml:space="preserve"> Cast supplies (e.g., plaster)</t>
  </si>
  <si>
    <t xml:space="preserve"> Sleeve for intermittent limb compression device, replacement only, each</t>
  </si>
  <si>
    <t xml:space="preserve"> Lithium ion battery, rechargeable, for non-prosthetic use, replacement</t>
  </si>
  <si>
    <t xml:space="preserve"> Replacement battery for patient-owned ear pulse generator, each</t>
  </si>
  <si>
    <t xml:space="preserve"> Oral mucoadhesive, any type (liquid, gel, paste, etc.), per 1 ml</t>
  </si>
  <si>
    <t xml:space="preserve"> Technetium tc-99m sestamibi, diagnostic, per study dose</t>
  </si>
  <si>
    <t xml:space="preserve"> Technetium tc-99m teboroxime, diagnostic, per study dose</t>
  </si>
  <si>
    <t xml:space="preserve"> Technetium tc-99m tetrofosmin, diagnostic, per study dose</t>
  </si>
  <si>
    <t xml:space="preserve"> Technetium tc-99m medronate, diagnostic, per study dose, up to 30 millicuries</t>
  </si>
  <si>
    <t xml:space="preserve"> Technetium tc-99m apcitide, diagnostic, per study dose, up to 20 millicuries</t>
  </si>
  <si>
    <t xml:space="preserve"> Thallium tl-201 thallous chloride, diagnostic, per millicurie</t>
  </si>
  <si>
    <t xml:space="preserve"> Indium in-111 capromab pendetide, diagnostic, per study dose, up to 10 millicuries</t>
  </si>
  <si>
    <t xml:space="preserve"> Iodine i-131 iobenguane sulfate, diagnostic, per 0.5 millicurie</t>
  </si>
  <si>
    <t xml:space="preserve"> Iodine i-123 sodium iodide, diagnostic, per millicurie</t>
  </si>
  <si>
    <t xml:space="preserve"> Technetium tc-99m disofenin, diagnostic, per study dose, up to 15 millicuries</t>
  </si>
  <si>
    <t xml:space="preserve"> Technetium tc-99m pertechnetate, diagnostic, per millicurie</t>
  </si>
  <si>
    <t xml:space="preserve"> Choline c-11, diagnostic, per study dose up to 20 millicuries</t>
  </si>
  <si>
    <t xml:space="preserve"> Iodine i-123 sodium iodide, diagnostic, per 100 microcuries, up to 999 microcuries</t>
  </si>
  <si>
    <t xml:space="preserve"> Technetium tc-99m tilmanocept, diagnostic, up to 0.5 millicuries</t>
  </si>
  <si>
    <t xml:space="preserve"> Technetium tc-99m exametazime, diagnostic, per study dose, up to 25 millicuries</t>
  </si>
  <si>
    <t xml:space="preserve"> Iodine i-131 iodinated serum albumin, diagnostic, per 5 microcuries</t>
  </si>
  <si>
    <t xml:space="preserve"> Nitrogen n-13 ammonia, diagnostic, per study dose, up to 40 millicuries</t>
  </si>
  <si>
    <t xml:space="preserve"> Iodine i-125, sodium iodide solution, therapeutic, per millicurie</t>
  </si>
  <si>
    <t xml:space="preserve"> Iodine i-131 sodium iodide capsule(s), diagnostic, per millicurie</t>
  </si>
  <si>
    <t xml:space="preserve"> Iodine i-131 sodium iodide solution, diagnostic, per millicurie</t>
  </si>
  <si>
    <t xml:space="preserve"> Iodine i-131 sodium iodide, diagnostic, per microcurie (up to 100 microcuries)</t>
  </si>
  <si>
    <t xml:space="preserve"> Iodine i-125 serum albumin, diagnostic, per 5 microcuries</t>
  </si>
  <si>
    <t xml:space="preserve"> Technetium tc-99m depreotide, diagnostic, per study dose, up to 35 millicuries</t>
  </si>
  <si>
    <t xml:space="preserve"> Technetium tc-99m mebrofenin, diagnostic, per study dose, up to 15 millicuries</t>
  </si>
  <si>
    <t xml:space="preserve"> Technetium tc-99m pyrophosphate, diagnostic, per study dose, up to 25 millicuries</t>
  </si>
  <si>
    <t xml:space="preserve"> Technetium tc-99m pentetate, diagnostic, per study dose, up to 25 millicuries</t>
  </si>
  <si>
    <t xml:space="preserve"> Technetium tc-99m macroaggregated albumin, diagnostic, per study dose, up to 10 millicuries</t>
  </si>
  <si>
    <t xml:space="preserve"> Technetium tc-99m sulfur colloid, diagnostic, per study dose, up to 20 millicuries</t>
  </si>
  <si>
    <t xml:space="preserve"> Indium in-111 ibritumomab tiuxetan, diagnostic, per study dose, up to 5 millicuries</t>
  </si>
  <si>
    <t xml:space="preserve"> Cobalt co-57/58, cyanocobalamin, diagnostic, per study dose, up to 1 microcurie</t>
  </si>
  <si>
    <t xml:space="preserve"> Indium in-111 oxyquinoline, diagnostic, per 0.5 millicurie</t>
  </si>
  <si>
    <t xml:space="preserve"> Indium in-111 pentetate, diagnostic, per 0.5 millicurie</t>
  </si>
  <si>
    <t xml:space="preserve"> Technetium tc-99m sodium gluceptate, diagnostic, per study dose, up to 25 millicurie</t>
  </si>
  <si>
    <t xml:space="preserve"> Technetium tc-99m succimer, diagnostic, per study dose, up to 10 millicuries</t>
  </si>
  <si>
    <t xml:space="preserve"> Fluorodeoxyglucose f-18 fdg, diagnostic, per study dose, up to 45 millicuries</t>
  </si>
  <si>
    <t xml:space="preserve"> Chromium cr-51 sodium chromate, diagnostic, per study dose, up to 250 microcuries</t>
  </si>
  <si>
    <t xml:space="preserve"> Iodine i-125 sodium iothalamate, diagnostic, per study dose, up to 10 microcuries</t>
  </si>
  <si>
    <t xml:space="preserve"> Rubidium rb-82, diagnostic, per study dose, up to 60 millicuries</t>
  </si>
  <si>
    <t xml:space="preserve"> Gallium ga-67 citrate, diagnostic, per millicurie</t>
  </si>
  <si>
    <t xml:space="preserve"> Technetium tc-99m bicisate, diagnostic, per study dose, up to 25 millicuries</t>
  </si>
  <si>
    <t xml:space="preserve"> Xenon xe-133 gas, diagnostic, per 10 millicuries</t>
  </si>
  <si>
    <t xml:space="preserve"> Cobalt co-57 cyanocobalamin, oral, diagnostic, per study dose, up to 1 microcurie</t>
  </si>
  <si>
    <t xml:space="preserve"> Technetium tc-99m labeled red blood cells, diagnostic, per study dose, up to 30 millicuries</t>
  </si>
  <si>
    <t xml:space="preserve"> Technetium tc-99m oxidronate, diagnostic, per study dose, up to 30 millicuries</t>
  </si>
  <si>
    <t xml:space="preserve"> Technetium tc-99m mertiatide, diagnostic, per study dose, up to 15 millicuries</t>
  </si>
  <si>
    <t xml:space="preserve"> Technetium tc-99m fanolesomab, diagnostic, per study dose, up to 25 millicuries</t>
  </si>
  <si>
    <t xml:space="preserve"> Technetium tc-99m pentetate, diagnostic, aerosol, per study dose, up to 75 millicuries</t>
  </si>
  <si>
    <t xml:space="preserve"> Technetium tc-99m arcitumomab, diagnostic, per study dose, up to 45 millicuries</t>
  </si>
  <si>
    <t xml:space="preserve"> Technetium tc-99m exametazime labeled autologous white blood cells, diagnostic, per study dose</t>
  </si>
  <si>
    <t xml:space="preserve"> Indium in-111 labeled autologous white blood cells, diagnostic, per study dose</t>
  </si>
  <si>
    <t xml:space="preserve"> Indium in-111 labeled autologous platelets, diagnostic, per study dose</t>
  </si>
  <si>
    <t xml:space="preserve"> Indium in-111 pentetreotide, diagnostic, per study dose, up to 6 millicuries</t>
  </si>
  <si>
    <t xml:space="preserve"> Injection, gadopiclenol, 1 ml</t>
  </si>
  <si>
    <t xml:space="preserve"> Injection, gadoterate meglumine, 0.1 ml</t>
  </si>
  <si>
    <t xml:space="preserve"> Injection, gadoteridol, (prohance multipack), per ml</t>
  </si>
  <si>
    <t xml:space="preserve"> Injection, gadobenate dimeglumine (multihance), per ml</t>
  </si>
  <si>
    <t xml:space="preserve"> Injection, gadobenate dimeglumine (multihance multipack), per ml</t>
  </si>
  <si>
    <t xml:space="preserve"> Injection, gadolinium-based magnetic resonance contrast agent, not otherwise specified (nos), per ml</t>
  </si>
  <si>
    <t xml:space="preserve"> Sodium fluoride f-18, diagnostic, per study dose, up to 30 millicuries</t>
  </si>
  <si>
    <t xml:space="preserve"> Injection, gadoxetate disodium, 1 ml</t>
  </si>
  <si>
    <t xml:space="preserve"> Iodine i-123 iobenguane, diagnostic, per study dose, up to 15 millicuries</t>
  </si>
  <si>
    <t xml:space="preserve"> Injection, gadofosveset trisodium, 1 ml</t>
  </si>
  <si>
    <t xml:space="preserve"> Iodine 1-123 ioflupane, diagnostic, per study dose, up to 5 millicuries</t>
  </si>
  <si>
    <t xml:space="preserve"> Injection, gadobutrol, 0.1 ml</t>
  </si>
  <si>
    <t xml:space="preserve"> Florbetapir f18, diagnostic, per study dose, up to 10 millicuries</t>
  </si>
  <si>
    <t xml:space="preserve"> Gallium ga-68, dotatate, diagnostic, 0.1 millicurie</t>
  </si>
  <si>
    <t xml:space="preserve"> Fluciclovine f-18, diagnostic, 1 millicurie</t>
  </si>
  <si>
    <t xml:space="preserve"> Iodine i-131, iobenguane, 1 millicurie</t>
  </si>
  <si>
    <t xml:space="preserve"> Fluoroestradiol f 18, diagnostic, 1 millicurie</t>
  </si>
  <si>
    <t xml:space="preserve"> Copper cu-64, dotatate, diagnostic, 1 millicurie</t>
  </si>
  <si>
    <t xml:space="preserve"> Gallium ga-68 psma-11, diagnostic, (ucsf), 1 millicurie</t>
  </si>
  <si>
    <t xml:space="preserve"> Gallium ga-68 psma-11, diagnostic, (ucla), 1 millicurie</t>
  </si>
  <si>
    <t xml:space="preserve"> Piflufolastat f-18, diagnostic, 1 millicurie</t>
  </si>
  <si>
    <t xml:space="preserve"> Gallium ga-68 gozetotide, diagnostic, (illuccix), 1 millicurie</t>
  </si>
  <si>
    <t xml:space="preserve"> Positron emission tomography radiopharmaceutical, diagnostic, for tumor identification, not otherwise classified</t>
  </si>
  <si>
    <t xml:space="preserve"> Positron emission tomography radiopharmaceutical, diagnostic, for non-tumor identification, not otherwise classified</t>
  </si>
  <si>
    <t xml:space="preserve"> Flortaucipir f 18 injection, diagnostic, 1 millicurie</t>
  </si>
  <si>
    <t xml:space="preserve"> Fluorodopa f-18, diagnostic, per millicurie</t>
  </si>
  <si>
    <t xml:space="preserve"> Injection, pafolacianine, 0.1 mg</t>
  </si>
  <si>
    <t xml:space="preserve"> Flotufolastat f 18, diagnostic, 1 millicurie</t>
  </si>
  <si>
    <t xml:space="preserve"> Fludeoxyglucose f18 up to 15 millicuries</t>
  </si>
  <si>
    <t xml:space="preserve"> Injection, carboxydextran-coated superparamagnetic iron oxide, per study dose</t>
  </si>
  <si>
    <t xml:space="preserve"> Non-radioactive contrast imaging material, not otherwise classified, per study</t>
  </si>
  <si>
    <t xml:space="preserve"> Supply of injectable contrast material for use in echocardiography, per study</t>
  </si>
  <si>
    <t xml:space="preserve"> Gallium ga-68 gozetotide, diagnostic, (locametz), 1 millicurie</t>
  </si>
  <si>
    <t xml:space="preserve"> Hemostatic agent, gastrointestinal, topical</t>
  </si>
  <si>
    <t xml:space="preserve"> Intravertebral body fracture augmentation with implant (e.g., metal, polymer)</t>
  </si>
  <si>
    <t xml:space="preserve"> Catheter, transluminal intravascular lesion preparation device, bladed, sheathed (insertable)</t>
  </si>
  <si>
    <t xml:space="preserve"> Endoscope, single-use (i.e. disposable), pulmonary, imaging/illumination device (insertable)</t>
  </si>
  <si>
    <t xml:space="preserve"> Orthopedic/device/drug matrix/absorbable bone void filler, antimicrobial-eluting (implantable)</t>
  </si>
  <si>
    <t xml:space="preserve"> Retrieval device, insertable, laser (used to retrieve intravascular inferior vena cava filter)</t>
  </si>
  <si>
    <t xml:space="preserve"> Graft, transmural transvenous arterial bypass (implantable), with all delivery system components</t>
  </si>
  <si>
    <t xml:space="preserve"> Anchor/screw for opposing bone-to-bone or soft tissue-to-bone (implantable)</t>
  </si>
  <si>
    <t xml:space="preserve"> Catheter, transluminal atherectomy, directional</t>
  </si>
  <si>
    <t xml:space="preserve"> Brachytherapy needle</t>
  </si>
  <si>
    <t xml:space="preserve"> Brachytherapy source, non-stranded, gold-198, per source</t>
  </si>
  <si>
    <t xml:space="preserve"> Brachytherapy source, non-stranded, high dose rate iridium-192, per source</t>
  </si>
  <si>
    <t xml:space="preserve"> Brachytherapy source, non-stranded, non-high dose rate iridium-192, per source</t>
  </si>
  <si>
    <t xml:space="preserve"> Cardioverter-defibrillator, dual chamber (implantable)</t>
  </si>
  <si>
    <t xml:space="preserve"> Cardioverter-defibrillator, single chamber (implantable)</t>
  </si>
  <si>
    <t xml:space="preserve"> Catheter, transluminal atherectomy, rotational</t>
  </si>
  <si>
    <t xml:space="preserve"> Catheter, transluminal angioplasty, non-laser (may include guidance, infusion/perfusion capability)</t>
  </si>
  <si>
    <t xml:space="preserve"> Catheter, balloon dilatation, non-vascular</t>
  </si>
  <si>
    <t xml:space="preserve"> Catheter, balloon tissue dissector, non-vascular (insertable)</t>
  </si>
  <si>
    <t xml:space="preserve"> Catheter, brachytherapy seed administration</t>
  </si>
  <si>
    <t xml:space="preserve"> Catheter, drainage</t>
  </si>
  <si>
    <t xml:space="preserve"> Catheter, electrophysiology, diagnostic, other than 3d mapping (19 or fewer electrodes)</t>
  </si>
  <si>
    <t xml:space="preserve"> Catheter, electrophysiology, diagnostic, other than 3d mapping (20 or more electrodes)</t>
  </si>
  <si>
    <t xml:space="preserve"> Catheter, electrophysiology, diagnostic/ablation, 3d or vector mapping</t>
  </si>
  <si>
    <t xml:space="preserve"> Catheter, electrophysiology, diagnostic/ablation, other than 3d or vector mapping, other than cool-tip</t>
  </si>
  <si>
    <t xml:space="preserve"> Orthopedic/device/drug matrix for opposing bone-to-bone or soft tissue-to bone (implantable)</t>
  </si>
  <si>
    <t xml:space="preserve"> Endoscope, single-use (i.e. disposable), urinary tract, imaging/illumination device (insertable)</t>
  </si>
  <si>
    <t xml:space="preserve"> Endoscope, single-use (i.e. disposable), upper gi, imaging/illumination device (insertable)</t>
  </si>
  <si>
    <t xml:space="preserve"> Endoscope, retrograde imaging/illumination colonoscope device (implantable)</t>
  </si>
  <si>
    <t xml:space="preserve"> Catheter, hemodialysis/peritoneal, long-term</t>
  </si>
  <si>
    <t xml:space="preserve"> Catheter, infusion, inserted peripherally, centrally or midline (other than hemodialysis)</t>
  </si>
  <si>
    <t xml:space="preserve"> Catheter, hemodialysis/peritoneal, short-term</t>
  </si>
  <si>
    <t xml:space="preserve"> Catheter, intravascular ultrasound</t>
  </si>
  <si>
    <t xml:space="preserve"> Catheter, intradiscal</t>
  </si>
  <si>
    <t xml:space="preserve"> Catheter, intraspinal</t>
  </si>
  <si>
    <t xml:space="preserve"> Catheter, pacing, transesophageal</t>
  </si>
  <si>
    <t xml:space="preserve"> Catheter, thrombectomy/embolectomy</t>
  </si>
  <si>
    <t xml:space="preserve"> Catheter, ureteral</t>
  </si>
  <si>
    <t xml:space="preserve"> Catheter, intracardiac echocardiography</t>
  </si>
  <si>
    <t xml:space="preserve"> Closure device, vascular (implantable/insertable)</t>
  </si>
  <si>
    <t xml:space="preserve"> Catheter, transluminal intravascular lithotripsy, coronary</t>
  </si>
  <si>
    <t xml:space="preserve"> Connective tissue, human (includes fascia lata)</t>
  </si>
  <si>
    <t xml:space="preserve"> Connective tissue, non-human (includes synthetic)</t>
  </si>
  <si>
    <t xml:space="preserve"> Event recorder, cardiac (implantable)</t>
  </si>
  <si>
    <t xml:space="preserve"> Adhesion barrier</t>
  </si>
  <si>
    <t xml:space="preserve"> Introducer/sheath, guiding, intracardiac electrophysiological, steerable, other than peel-away</t>
  </si>
  <si>
    <t xml:space="preserve"> Generator, neurostimulator (implantable), non-rechargeable</t>
  </si>
  <si>
    <t xml:space="preserve"> Graft, vascular</t>
  </si>
  <si>
    <t xml:space="preserve"> Guide wire</t>
  </si>
  <si>
    <t xml:space="preserve"> Imaging coil, magnetic resonance (insertable)</t>
  </si>
  <si>
    <t xml:space="preserve"> Repair device, urinary, incontinence, with sling graft</t>
  </si>
  <si>
    <t xml:space="preserve"> Infusion pump, programmable (implantable)</t>
  </si>
  <si>
    <t xml:space="preserve"> Retrieval device, insertable (used to retrieve fractured medical devices)</t>
  </si>
  <si>
    <t xml:space="preserve"> Joint device (implantable)</t>
  </si>
  <si>
    <t xml:space="preserve"> Lead, cardioverter-defibrillator, endocardial single coil (implantable)</t>
  </si>
  <si>
    <t xml:space="preserve"> Lead, neurostimulator (implantable)</t>
  </si>
  <si>
    <t xml:space="preserve"> Lead, pacemaker, transvenous vdd single pass</t>
  </si>
  <si>
    <t xml:space="preserve"> Lens, intraocular (new technology)</t>
  </si>
  <si>
    <t xml:space="preserve"> Mesh (implantable)</t>
  </si>
  <si>
    <t xml:space="preserve"> Morcellator</t>
  </si>
  <si>
    <t xml:space="preserve"> Ocular implant, aqueous drainage assist device</t>
  </si>
  <si>
    <t xml:space="preserve"> Ocular device, intraoperative, detached retina</t>
  </si>
  <si>
    <t xml:space="preserve"> Pacemaker, dual chamber, rate-responsive (implantable)</t>
  </si>
  <si>
    <t xml:space="preserve"> Pacemaker, single chamber, rate-responsive (implantable)</t>
  </si>
  <si>
    <t xml:space="preserve"> Patient programmer, neurostimulator</t>
  </si>
  <si>
    <t xml:space="preserve"> Port, indwelling (implantable)</t>
  </si>
  <si>
    <t xml:space="preserve"> Prosthesis, breast (implantable)</t>
  </si>
  <si>
    <t xml:space="preserve"> Prosthesis, penile, inflatable</t>
  </si>
  <si>
    <t xml:space="preserve"> Retinal tamponade device, silicone oil</t>
  </si>
  <si>
    <t xml:space="preserve"> Prosthesis, urinary sphincter (implantable)</t>
  </si>
  <si>
    <t xml:space="preserve"> Receiver and/or transmitter, neurostimulator (implantable)</t>
  </si>
  <si>
    <t xml:space="preserve"> Septal defect implant system, intracardiac</t>
  </si>
  <si>
    <t xml:space="preserve"> Integrated keratoprosthesis</t>
  </si>
  <si>
    <t xml:space="preserve"> Surgical tissue localization and excision device (implantable)</t>
  </si>
  <si>
    <t xml:space="preserve"> Generator, neurostimulator (implantable), with rechargeable battery and charging system</t>
  </si>
  <si>
    <t xml:space="preserve"> Interspinous process distraction device (implantable)</t>
  </si>
  <si>
    <t xml:space="preserve"> Generator, neurostimulator (implantable), high frequency, with rechargeable battery and charging system</t>
  </si>
  <si>
    <t xml:space="preserve"> Generator, neurostimulator (implantable), non-rechargeable, with transvenous sensing and stimulation leads</t>
  </si>
  <si>
    <t xml:space="preserve"> Generator, cardiac contractility modulation (implantable)</t>
  </si>
  <si>
    <t xml:space="preserve"> Generator, neurostimulator (implantable), non-rechargeable with carotid sinus baroreceptor stimulation lead(s)</t>
  </si>
  <si>
    <t xml:space="preserve"> Generator, neurostimulator (implantable), includes closed feedback loop leads and all implantable components, with rechargeable battery and charging system</t>
  </si>
  <si>
    <t xml:space="preserve"> Generator, neurostimulator (implantable), non-rechargeable, with implantable stimulation lead and external paired stimulation controller</t>
  </si>
  <si>
    <t xml:space="preserve"> Powered bone marrow biopsy needle</t>
  </si>
  <si>
    <t xml:space="preserve"> Interbody cage, anterior, lateral or posterior, personalized (implantable)</t>
  </si>
  <si>
    <t xml:space="preserve"> Autograft suspension, including cell processing and application, and all system components</t>
  </si>
  <si>
    <t xml:space="preserve"> Monitor, cardiac, including intracardiac lead and all system components (implantable)</t>
  </si>
  <si>
    <t xml:space="preserve"> Iris prosthesis</t>
  </si>
  <si>
    <t xml:space="preserve"> Lens, intraocular (telescopic)</t>
  </si>
  <si>
    <t xml:space="preserve"> Stent, coated/covered, with delivery system</t>
  </si>
  <si>
    <t xml:space="preserve"> Stent, coated/covered, without delivery system</t>
  </si>
  <si>
    <t xml:space="preserve"> Stent, non-coated/non-covered, with delivery system</t>
  </si>
  <si>
    <t xml:space="preserve"> Stent, non-coated/non-covered, without delivery system</t>
  </si>
  <si>
    <t xml:space="preserve"> Material for vocal cord medialization, synthetic (implantable)</t>
  </si>
  <si>
    <t xml:space="preserve"> Vena cava filter</t>
  </si>
  <si>
    <t xml:space="preserve"> Dialysis access system (implantable)</t>
  </si>
  <si>
    <t xml:space="preserve"> Cardioverter-defibrillator, other than single or dual chamber (implantable)</t>
  </si>
  <si>
    <t xml:space="preserve"> Adapter/extension, pacing lead or neurostimulator lead (implantable)</t>
  </si>
  <si>
    <t xml:space="preserve"> Embolization protective system</t>
  </si>
  <si>
    <t xml:space="preserve"> Catheter, transluminal angioplasty, laser</t>
  </si>
  <si>
    <t xml:space="preserve"> Catheter, extravascular tissue ablation, any modality (insertable)</t>
  </si>
  <si>
    <t xml:space="preserve"> Catheter, guiding (may include infusion/perfusion capability)</t>
  </si>
  <si>
    <t xml:space="preserve"> Catheter, ablation, non-cardiac, endovascular (implantable)</t>
  </si>
  <si>
    <t xml:space="preserve"> Implantable/insertable device, not otherwise classified</t>
  </si>
  <si>
    <t xml:space="preserve"> No implantable/insertable device used with device-intensive procedures</t>
  </si>
  <si>
    <t xml:space="preserve"> Infusion pump, non-programmable, permanent (implantable)</t>
  </si>
  <si>
    <t xml:space="preserve"> Introducer/sheath, guiding, intracardiac electrophysiological, fixed-curve, peel-away</t>
  </si>
  <si>
    <t xml:space="preserve"> Introducer/sheath, guiding, intracardiac electrophysiological, fixed-curve, other than peel-away</t>
  </si>
  <si>
    <t xml:space="preserve"> Introducer/sheath, other than guiding, other than intracardiac electrophysiological, non-laser</t>
  </si>
  <si>
    <t xml:space="preserve"> Lead, cardioverter-defibrillator, endocardial dual coil (implantable)</t>
  </si>
  <si>
    <t xml:space="preserve"> Lead, cardioverter-defibrillator, other than endocardial single or dual coil (implantable)</t>
  </si>
  <si>
    <t xml:space="preserve"> Lead, neurostimulator test kit (implantable)</t>
  </si>
  <si>
    <t xml:space="preserve"> Lead, pacemaker, other than transvenous vdd single pass</t>
  </si>
  <si>
    <t xml:space="preserve"> Lead, pacemaker/cardioverter-defibrillator combination (implantable)</t>
  </si>
  <si>
    <t xml:space="preserve"> Lead, left ventricular coronary venous system</t>
  </si>
  <si>
    <t xml:space="preserve"> Catheter, pressure-generating, one-way valve, intermittently occlusive</t>
  </si>
  <si>
    <t xml:space="preserve"> Probe, image-guided, robotic, waterjet ablation</t>
  </si>
  <si>
    <t xml:space="preserve"> Lung biopsy plug with delivery system</t>
  </si>
  <si>
    <t xml:space="preserve"> Probe, percutaneous lumbar discectomy</t>
  </si>
  <si>
    <t xml:space="preserve"> Sealant, pulmonary, liquid</t>
  </si>
  <si>
    <t xml:space="preserve"> Brachytherapy source, non-stranded, yttrium-90, per source</t>
  </si>
  <si>
    <t xml:space="preserve"> Stent, non-coronary, temporary, without delivery system</t>
  </si>
  <si>
    <t xml:space="preserve"> Probe/needle, cryoablation</t>
  </si>
  <si>
    <t xml:space="preserve"> Pacemaker, dual chamber, non rate-responsive (implantable)</t>
  </si>
  <si>
    <t xml:space="preserve"> Pacemaker, single chamber, non rate-responsive (implantable)</t>
  </si>
  <si>
    <t xml:space="preserve"> Pacemaker, other than single or dual chamber (implantable)</t>
  </si>
  <si>
    <t xml:space="preserve"> Prosthesis, penile, non-inflatable</t>
  </si>
  <si>
    <t xml:space="preserve"> Catheter, transluminal angioplasty, drug-coated, non-laser</t>
  </si>
  <si>
    <t xml:space="preserve"> Implantable wireless pulmonary artery pressure sensor with delivery catheter, including all system components</t>
  </si>
  <si>
    <t xml:space="preserve"> Stent, non-coronary, temporary, with delivery system</t>
  </si>
  <si>
    <t xml:space="preserve"> Infusion pump, non-programmable, temporary (implantable)</t>
  </si>
  <si>
    <t xml:space="preserve"> Catheter, suprapubic/cystoscopic</t>
  </si>
  <si>
    <t xml:space="preserve"> Catheter, occlusion</t>
  </si>
  <si>
    <t xml:space="preserve"> Introducer/sheath, other than guiding, other than intracardiac electrophysiological, laser</t>
  </si>
  <si>
    <t xml:space="preserve"> Catheter, electrophysiology, diagnostic/ablation, other than 3d or vector mapping, cool-tip</t>
  </si>
  <si>
    <t xml:space="preserve"> Repair device, urinary, incontinence, without sling graft</t>
  </si>
  <si>
    <t xml:space="preserve"> Brachytherapy source, non-stranded, high activity, iodine-125, greater than 1.01 mci (nist), per source</t>
  </si>
  <si>
    <t xml:space="preserve"> Brachytherapy source, non-stranded, high activity, palladium-103, greater than 2.2 mci (nist), per source</t>
  </si>
  <si>
    <t xml:space="preserve"> Brachytherapy linear source, non-stranded, palladium-103, per 1 mm</t>
  </si>
  <si>
    <t xml:space="preserve"> Brachytherapy source, stranded, iodine-125, per source</t>
  </si>
  <si>
    <t xml:space="preserve"> Brachytherapy source, non-stranded, iodine-125, per source</t>
  </si>
  <si>
    <t xml:space="preserve"> Brachytherapy source, stranded, palladium-103, per source</t>
  </si>
  <si>
    <t xml:space="preserve"> Brachytherapy source, non-stranded, palladium-103, per source</t>
  </si>
  <si>
    <t xml:space="preserve"> Brachytherapy source, stranded, cesium-131, per source</t>
  </si>
  <si>
    <t xml:space="preserve"> Brachytherapy source, non-stranded, cesium-131, per source</t>
  </si>
  <si>
    <t xml:space="preserve"> Brachytherapy source, cesium-131 chloride solution, per millicurie</t>
  </si>
  <si>
    <t xml:space="preserve"> Brachytherapy planar source, palladium-103, per square millimeter</t>
  </si>
  <si>
    <t xml:space="preserve"> Brachytherapy source, stranded, not otherwise specified, per source</t>
  </si>
  <si>
    <t xml:space="preserve"> Brachytherapy source, non-stranded, not otherwise specified, per source</t>
  </si>
  <si>
    <t xml:space="preserve"> Application of low cost skin substitute graft to trunk, arms, legs, total wound surface area up to 100 sq cm; first 25 sq cm or less wound surface area</t>
  </si>
  <si>
    <t xml:space="preserve"> Application of low cost skin substitute graft to trunk, arms, legs, total wound surface area up to 100 sq cm; each additional 25 sq cm wound surface area, or part thereof (list separately in addition to code for primary procedure)</t>
  </si>
  <si>
    <t xml:space="preserve"> Application of low cost skin substitute graft to trunk, arms, legs, total wound surface area greater than or equal to 100 sq cm; first 100 sq cm wound surface area, or 1% of body area of infants and children</t>
  </si>
  <si>
    <t xml:space="preserve"> 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</si>
  <si>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 xml:space="preserve"> Application of low cost skin substitute graft to face, scalp, eyelids, mouth, neck, ears, orbits, genitalia, hands, feet, and/or multiple digits, total wound surface area up to 100 sq cm; first 25 sq cm or less wound surface area</t>
  </si>
  <si>
    <t xml:space="preserve"> 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t>
  </si>
  <si>
    <t xml:space="preserve"> Application of low cost skin substitute graft to face, scalp, eyelids, mouth, neck, ears, orbits, genitalia, hands, feet, and/or multiple digits, total wound surface area greater than or equal to 100 sq cm; first 100 sq cm wound surface area, or 1% of body area of infants and children</t>
  </si>
  <si>
    <t xml:space="preserve"> 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</si>
  <si>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 xml:space="preserve"> Debridement, bone including epidermis, dermis, subcutaneous tissue, muscle and/or fascia, if performed, first 20 sq cm or less with manual preparation and insertion of deep (eg, subfacial) drug-delivery device(s)</t>
  </si>
  <si>
    <t xml:space="preserve"> Percutaneous breast biopsies using stereotactic guidance, with placement of breast localization device(s) (eg, clip, metallic pellet), when performed, and imaging of the biopsy specimen, when performed, all lesions unilateral and bilateral (for single lesion biopsy, use appropriate code)</t>
  </si>
  <si>
    <t xml:space="preserve"> Percutaneous breast biopsies using magnetic resonance guidance, with placement of breast localization device(s) (eg, clip, metallic pellet), when performed, and imaging of the biopsy specimen, when performed, all lesions unilateral or bilateral (for single lesion biopsy, use appropriate code)</t>
  </si>
  <si>
    <t xml:space="preserve"> Open biopsy or excision of deep cervical node(s) with intraoperative identification (eg, mapping) of sentinel lymph node(s) including injection of non-radioactive dye when performed</t>
  </si>
  <si>
    <t xml:space="preserve"> Percutaneous vertebroplasties (bone biopsies included when performed), first cervicothoracic and any additional cervicothoracic or lumbosacral vertebral bodies, unilateral or bilateral injection, inclusive of all imaging guidance</t>
  </si>
  <si>
    <t xml:space="preserve"> Percutaneous vertebroplasties (bone biopsies included when performed), first lumbosacral and any additional cervicothoracic or lumbosacral vertebral bodies, unilateral or bilateral injection, inclusive of all imaging guidance</t>
  </si>
  <si>
    <t xml:space="preserve"> Arthrodesis, interphalangeal joints, with or without internal fixation</t>
  </si>
  <si>
    <t xml:space="preserve"> Percutaneous vertebral augmentations, first thoracic and any additional thoracic or lumbar vertebral bodies, including cavity creations (fracture reductions and bone biopsies included when performed) using mechanical device (eg, kyphoplasty), unilateral or bilateral cannulations, inclusive of all imaging guidance</t>
  </si>
  <si>
    <t xml:space="preserve"> Percutaneous vertebral augmentations, first lumbar and any additional thoracic or lumbar vertebral bodies, including cavity creations (fracture reductions and bone biopsies included when performed) using mechanical device (eg, kyphoplasty), unilateral or bilateral cannulations, inclusive of all imaging guidance</t>
  </si>
  <si>
    <t xml:space="preserve"> Bronchoscopy, rigid or flexible, diagnostic with cell washing(s) when performed, with computer-assisted image-guided navigation, including fluoroscopic guidance when performed</t>
  </si>
  <si>
    <t xml:space="preserve"> Bronchoscopy, rigid or flexible, with bronchial alveolar lavage(s), with computer-assisted image-guided navigation, including fluoroscopic guidance when performed</t>
  </si>
  <si>
    <t xml:space="preserve"> Bronchoscopy, rigid or flexible, with single or multiple bronchial or endobronchial biopsy(ies), single or multiple sites, with computer-assisted image-guided navigation, including fluoroscopic guidance when performed</t>
  </si>
  <si>
    <t xml:space="preserve"> Bronchoscopy, rigid or flexible, with single or multiple bronchial or endobronchial biopsy(ies), single or multiple sites, with transendoscopic endobronchial ultrasound (ebus) during bronchoscopic diagnostic or therapeutic intervention(s) for peripheral lesion(s), including fluoroscopic guidance when performed</t>
  </si>
  <si>
    <t xml:space="preserve"> 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transluminal balloon angioplasty of central dialysis segment, performed through dialysis circuit, including all required imaging, radiological supervision and interpretation, image documentation and report</t>
  </si>
  <si>
    <t xml:space="preserve"> 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all angioplasty in the central dialysis segment, and transcatheter placement of intravascular stent(s), central dialysis segment, performed through dialysis circuit, including all required imaging, radiological supervision and interpretation, image documentation and report</t>
  </si>
  <si>
    <t xml:space="preserve"> 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dialysis circuit permanent endovascular embolization or occlusion of main circuit or any accessory veins, including all required imaging, radiological supervision and interpretation, image documentation and report</t>
  </si>
  <si>
    <t xml:space="preserve"> Catheter placement in coronary artery(s) for coronary angiography, including intraprocedural injection(s) for coronary angiography, with endoluminal imaging of initial coronary vessel or graft using intravascular ultrasound (ivus) or optical coherence tomography (oct) during diagnostic evaluation and/or therapeutic intervention including imaging supervision, interpretation and report</t>
  </si>
  <si>
    <t xml:space="preserve"> Catheter placement in coronary artery(s) for coronary angiography, including intraprocedural injection(s) for coronary angiography, with 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t>
  </si>
  <si>
    <t xml:space="preserve"> Catheter placement in coronary artery(ies) for coronary angiography, including intraprocedural injection(s) for coronary angiography, imaging supervision and interpretation, with catheter placement(s) in bypass graft(s) (internal mammary, free arterial, venous grafts) includes intraprocedural injection(s) for bypass graft angiography with 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t>
  </si>
  <si>
    <t xml:space="preserve"> Catheter placement in coronary artery(ies) for coronary angiography, including intraprocedural injection(s) for coronary angiography with right heart catheterization with endoluminal imaging of initial coronary vessel or graft using intravascular ultrasound (ivus) or optical coherence tomography (oct) during diagnostic evaluation and/or therapeutic intervention including imaging supervision, interpretation and report</t>
  </si>
  <si>
    <t xml:space="preserve"> Catheter placement in coronary artery(ies) for coronary angiography, including intraprocedural injection(s) for coronary angiography, imaging supervision and interpretation with right heart catheterization, with intravascular doppler velocity and/or pressure derived coronary flow reserve measurement (initial coronary vessel or graft) during coronary angiography including pharmacologically induced stress</t>
  </si>
  <si>
    <t xml:space="preserve"> 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endoluminal imaging of initial coronary vessel or graft using intravascular ultrasound (ivus) or optical coherence tomography (oct) during diagnostic evaluation and/or therapeutic intervention including imaging supervision, interpretation and report</t>
  </si>
  <si>
    <t xml:space="preserve"> 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intravascular doppler velocity and/or pressure derived coronary flow reserve measurement (initial coronary vessel or graft) during coronary angiography including pharmacologically induced stress</t>
  </si>
  <si>
    <t xml:space="preserve"> 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with endoluminal imaging of initial coronary vessel or graft using intravascular ultrasound (ivus) or optical coherence tomography (oct) during diagnostic evaluation and/or therapeutic intervention including imaging supervision, interpretation and report</t>
  </si>
  <si>
    <t xml:space="preserve"> 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with intravascular doppler velocity and/or pressure derived coronary flow reserve measurement (initial coronary vessel or graft) during coronary angiography including pharmacologically induced stress</t>
  </si>
  <si>
    <t xml:space="preserve"> 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endoluminal imaging of initial coronary vessel or graft using intravascular ultrasound (ivus) or optical coherence tomography (oct) during diagnostic evaluation and/or therapeutic intervention including imaging supervision, interpretation and report</t>
  </si>
  <si>
    <t xml:space="preserve"> 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intravascular doppler velocity and/or pressure derived coronary flow reserve measurement (initial coronary vessel or graft) during coronary angiography including pharmacologically induced stress</t>
  </si>
  <si>
    <t xml:space="preserve"> 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with intravascular doppler velocity and/or pressure derived coronary flow reserve measurement (initial coronary vessel or graft) during coronary angiography including pharmacologically induced stress</t>
  </si>
  <si>
    <t xml:space="preserve"> 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transluminal balloon angioplasty, peripheral dialysis segment, including all imaging and radiological supervision and interpretation necessary to perform the angioplasty and all angioplasty in the central dialysis segment, with transcatheter placement of intravascular stent(s), central dialysis segment, performed through dialysis circuit, including all imaging, radiological supervision and interpretation, documentation and report</t>
  </si>
  <si>
    <t xml:space="preserve"> Revascularization, endovascular, open or percutaneous, femoral, popliteal artery(ies), unilateral, with transluminal angioplasty with intravascular ultrasound (initial noncoronary vessel) during diagnostic evaluation and/or therapeutic intervention, including radiological supervision and interpretation</t>
  </si>
  <si>
    <t xml:space="preserve"> Transluminal balloon angioplasty (except lower extremity artery(ies) for occlusive disease, intracranial, coronary, pulmonary, or dialysis circuit), initial artery, open or percutaneous, including all imaging and radiological supervision and interpretation necessary to perform the angioplasty within the same artery, with intravascular ultrasound (initial noncoronary vessel) during diagnostic evaluation and/or therapeutic intervention, including radiological supervision and interpretation</t>
  </si>
  <si>
    <t xml:space="preserve"> Percutaneous transluminal coronary angioplasty, single major coronary artery or branch with transcatheter placement of radiation delivery device for subsequent coronary intravascular brachytherapy</t>
  </si>
  <si>
    <t xml:space="preserve"> Revascularization, endovascular, open or percutaneous, femoral, popliteal artery(ies), unilateral, with transluminal stent placement(s), includes angioplasty within the same vessel, when performed, with intravascular ultrasound (initial noncoronary vessel) during diagnostic evaluation and/or therapeutic intervention, including radiological supervision and interpretation</t>
  </si>
  <si>
    <t xml:space="preserve"> Insertion of new or replacement of permanent pacemaker with atrial transvenous electrode(s), with insertion of pacing electrode, cardiac venous system, for left ventricular pacing, at time of insertion of implantable debribrillator or pacemake pulse generator (eg, for upgrade to dual chamber system)</t>
  </si>
  <si>
    <t xml:space="preserve"> Insertion of new or replacement of permanent pacemaker with ventricular transvenous electrode(s), with insertion of pacing electrode, cardiac venous system, for left ventricular pacing, at time of insertion of implantable defribrillator or pacemaker pulse generator (eg, for upgrade to dual chamber system)</t>
  </si>
  <si>
    <t xml:space="preserve"> Insertion of new or replacement of permanent pacemaker with atrial and ventricular transvenous electrode(s), with insertion of pacing electrode, cardiac venous system, for left ventricular pacing, at time of insertion of implantable defibrillator or pacemaker pulse generator (eg, for upgrade to dual chamber system)</t>
  </si>
  <si>
    <t xml:space="preserve"> Removal of permanent pacemaker pulse generator with replacement of pacemaker pulse generator, dual lead system, with insertion of pacing electrode, cardiac venous system, for left ventricular pacing, at time of insertion of implantable defibrillator or pacemaker pulse generator (eg, for upgrade to dual chamber system)</t>
  </si>
  <si>
    <t xml:space="preserve"> Percutaneous exchange of biliary drainage catheter (eg, external, internal-external, or conversion of internal-external to external only), with removal of calculi/debris from biliary duct(s) and/or gallbladder, including destruction of calculi by any method (eg, mechanical, electrohydraulic, lithotripsy) when performed, including diagnostic cholangiography(ies) when performed, imaging guidance (eg, fluoroscopy), and all associated radiological supervision and interpretation</t>
  </si>
  <si>
    <t xml:space="preserve"> Convert nephrostomy catheter to nephroureteral catheter, percutaneous via pre-existing nephrostomy tract, with ureteral stricture balloon dialation, including diagnostic nephrostogram and/or ureterogram when performed, imaging guidance (eg, ultrasound and/or fluoroscopy) and all associated radiological supervision and interpretation</t>
  </si>
  <si>
    <t xml:space="preserve"> Exchange nephrostomy catheter, percutaneous, with ureteral stricture balloon dilation, including diagnostic nephrostogram and/or ureterogram when performed, imaging guidance (eg, ultrasound and/or fluoroscopy) and all associated radiological supervision and interpretation</t>
  </si>
  <si>
    <t xml:space="preserve"> Cystourethroscopy, with biopsy(ies) with adjuctive blue light cystoscopy with fluorescent imaging agent</t>
  </si>
  <si>
    <t xml:space="preserve"> Excision of major peripheral nerve neuroma, except sciatic, with implantation of nerve end into bone or muscle</t>
  </si>
  <si>
    <t xml:space="preserve"> Cystourethroscopy with adjunctive blue light cystoscopy with fluorescent imaging agent</t>
  </si>
  <si>
    <t xml:space="preserve"> Bronchoscopy, rigid or flexible, with bronchial alveolar lavage and transendoscopic endobronchial ultrasound (ebus) during bronchoscopic diagnostic or therapeutic intervention(s) for peripheral lesion(s), including fluoroscopic guidance, when performed</t>
  </si>
  <si>
    <t xml:space="preserve"> Catheter placement in coronary artery(s) for coronary angiography, including intraprocedural injection(s) for coronary angiography, imaging supervision and interpretation with left heart catheterization including intraprocedural injection(s) for left ventriculography, when performed and intraprocedural coronary fractional flow reserve (ffr) with 3d functional mapping of color-coded ffr values for the coronary tree, derived from coronary angiogram data, for real-time review and interpretation of possible atherosclerotic stenosis(es) intervention</t>
  </si>
  <si>
    <t xml:space="preserve"> 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with pharmacologic agent administration (eg, inhaled nitric oxide, intravenous infusion of nitroprusside, dobutamine, milrinone, or other agent) including assessing hemodynamic measurements before, during, after and repeat pharmacologic agent administration, when performed</t>
  </si>
  <si>
    <t xml:space="preserve"> Endoscopic retrograde cholangiopancreatography (ercp) with removal of foreign body(s) or stent(s) from biliary/pancreatic duct(s) and endoscopic cannulation of papilla with direct visualization of pancreatic/common bile duct(s)</t>
  </si>
  <si>
    <t xml:space="preserve"> Magnetic resonance angiography with contrast, abdomen</t>
  </si>
  <si>
    <t xml:space="preserve"> Magnetic resonance angiography without contrast, abdomen</t>
  </si>
  <si>
    <t xml:space="preserve"> Magnetic resonance angiography without contrast followed by with contrast, abdomen</t>
  </si>
  <si>
    <t xml:space="preserve"> Magnetic resonance imaging with contrast, breast; unilateral</t>
  </si>
  <si>
    <t xml:space="preserve"> Magnetic resonance imaging without contrast followed by with contrast, breast; unilateral</t>
  </si>
  <si>
    <t xml:space="preserve"> Magnetic resonance imaging with contrast, breast; bilateral</t>
  </si>
  <si>
    <t xml:space="preserve"> Magnetic resonance imaging without contrast followed by with contrast, breast; bilateral</t>
  </si>
  <si>
    <t xml:space="preserve"> Magnetic resonance angiography with contrast, chest (excluding myocardium)</t>
  </si>
  <si>
    <t xml:space="preserve"> Magnetic resonance angiography without contrast, chest (excluding myocardium)</t>
  </si>
  <si>
    <t xml:space="preserve"> Magnetic resonance angiography without contrast followed by with contrast, chest (excluding myocardium)</t>
  </si>
  <si>
    <t xml:space="preserve"> Magnetic resonance angiography with contrast, lower extremity</t>
  </si>
  <si>
    <t xml:space="preserve"> Magnetic resonance angiography without contrast, lower extremity</t>
  </si>
  <si>
    <t xml:space="preserve"> Magnetic resonance angiography without contrast followed by with contrast, lower extremity</t>
  </si>
  <si>
    <t xml:space="preserve"> Magnetic resonance angiography with contrast, pelvis</t>
  </si>
  <si>
    <t xml:space="preserve"> Magnetic resonance angiography without contrast, pelvis</t>
  </si>
  <si>
    <t xml:space="preserve"> Magnetic resonance angiography without contrast followed by with contrast, pelvis</t>
  </si>
  <si>
    <t xml:space="preserve"> Magnetic resonance angiography with contrast, spinal canal and contents</t>
  </si>
  <si>
    <t xml:space="preserve"> Magnetic resonance angiography without contrast, spinal canal and contents</t>
  </si>
  <si>
    <t xml:space="preserve"> Magnetic resonance angiography without contrast followed by with contrast, spinal canal and contents</t>
  </si>
  <si>
    <t xml:space="preserve"> Magnetic resonance angiography with contrast, upper extremity</t>
  </si>
  <si>
    <t xml:space="preserve"> Magnetic resonance angiography without contrast, upper extremity</t>
  </si>
  <si>
    <t xml:space="preserve"> Magnetic resonance angiography without contrast followed by with contrast, upper extremity</t>
  </si>
  <si>
    <t xml:space="preserve"> Intravenous infusion for therapy/diagnosis; initiation of prolonged infusion (more than 8 hours), requiring use of portable or implantable pump</t>
  </si>
  <si>
    <t xml:space="preserve"> Cocaine hydrochloride nasal solution (goprelto), 1 mg</t>
  </si>
  <si>
    <t xml:space="preserve"> Injection, caplacizumab-yhdp, 1 mg</t>
  </si>
  <si>
    <t xml:space="preserve"> Gallium ga-68, dotatoc, diagnostic, 0.01 mci</t>
  </si>
  <si>
    <t xml:space="preserve"> Instillation, bupivacaine and meloxicam, 1 mg/0.03 mg</t>
  </si>
  <si>
    <t xml:space="preserve"> Bupivacaine, collagen-matrix implant, 1 mg</t>
  </si>
  <si>
    <t xml:space="preserve"> Injection, oliceridine, 0.1 mg</t>
  </si>
  <si>
    <t>INJECTION, PANTOPRAZOLE SODIUM, PER VIAL</t>
  </si>
  <si>
    <t xml:space="preserve"> Cocaine hydrochloride nasal solution (numbrino), 1 mg</t>
  </si>
  <si>
    <t xml:space="preserve"> Injection, bupivacaine (posimir), 1 mg</t>
  </si>
  <si>
    <t xml:space="preserve"> Injection, aprepitant, (aponvie), 1 mg</t>
  </si>
  <si>
    <t xml:space="preserve"> Xenon xe-129 hyperpolarized gas, diagnostic, per study dose</t>
  </si>
  <si>
    <t>INJECTION, PROTHROMBIN COMPLEX CONCENTRATE (HUMAN), BALFAXAR, PER I.U. OF FACTOR IX ACTIVITY</t>
  </si>
  <si>
    <t>INJECTION, DAXIBOTULINUMTOXINA-LANM, 1 UNIT</t>
  </si>
  <si>
    <t>C9161</t>
  </si>
  <si>
    <t>INJECTION, AFLIBERCEPT HD, 1 MG</t>
  </si>
  <si>
    <t>C9162</t>
  </si>
  <si>
    <t>INJECTION, AVACINCAPTAD PEGOL, 0.1 MG</t>
  </si>
  <si>
    <t>C9163</t>
  </si>
  <si>
    <t>INJECTION, TALQUETAMAB-TGVS, 0.25 MG</t>
  </si>
  <si>
    <t>C9164</t>
  </si>
  <si>
    <t>CANTHARIDIN FOR TOPICAL ADMINISTRATION, 0.7%, SINGLE UNIT DOSE APPLICATOR (3.2 MG)</t>
  </si>
  <si>
    <t>C9165</t>
  </si>
  <si>
    <t>INJECTION, ELRANATAMAB-BCMM, 1 MG</t>
  </si>
  <si>
    <t xml:space="preserve"> Injection, clevidipine butyrate, 1 mg</t>
  </si>
  <si>
    <t xml:space="preserve"> Human plasma fibrin sealant, vapor-heated, solvent-detergent (artiss), 2 ml</t>
  </si>
  <si>
    <t xml:space="preserve"> Injection, lacosamide, 1 mg</t>
  </si>
  <si>
    <t xml:space="preserve"> Injection, bevacizumab, 0.25 mg</t>
  </si>
  <si>
    <t xml:space="preserve"> Lidocaine 70 mg/tetracaine 70 mg, per patch</t>
  </si>
  <si>
    <t xml:space="preserve"> Injection, bupivacaine liposome, 1 mg</t>
  </si>
  <si>
    <t xml:space="preserve"> Injection, glucarpidase, 10 units</t>
  </si>
  <si>
    <t xml:space="preserve"> Microporous collagen implantable tube (neuragen nerve guide), per centimeter length</t>
  </si>
  <si>
    <t xml:space="preserve"> Microporous collagen implantable slit tube (neurawrap nerve protector), per centimeter length</t>
  </si>
  <si>
    <t xml:space="preserve"> Acellular pericardial tissue matrix of non-human origin (veritas), per square centimeter</t>
  </si>
  <si>
    <t xml:space="preserve"> Collagen nerve cuff (neuromatrix), per 0.5 centimeter length</t>
  </si>
  <si>
    <t xml:space="preserve"> Tendon, porous matrix of cross-linked collagen and glycosaminoglycan matrix (tenoglide tendon protector sheet), per square centimeter</t>
  </si>
  <si>
    <t xml:space="preserve"> Dermal substitute, native, non-denatured collagen, fetal bovine origin (surgimend collagen matrix), per 0.5 square centimeters</t>
  </si>
  <si>
    <t xml:space="preserve"> Porous purified collagen matrix bone void filler (integra mozaik osteoconductive scaffold putty, integra os osteoconductive scaffold putty), per 0.5 cc</t>
  </si>
  <si>
    <t xml:space="preserve"> Dermal substitute, native, non-denatured collagen, neonatal bovine origin (surgimend collagen matrix), per 0.5 square centimeters</t>
  </si>
  <si>
    <t xml:space="preserve"> Collagen matrix nerve wrap (neuromend collagen nerve wrap), per 0.5 centimeter length</t>
  </si>
  <si>
    <t xml:space="preserve"> Porous purified collagen matrix bone void filler (integra mozaik osteoconductive scaffold strip), per 0.5 cc</t>
  </si>
  <si>
    <t xml:space="preserve"> Skin substitute, integra meshed bilayer wound matrix, per square centimeter</t>
  </si>
  <si>
    <t xml:space="preserve"> Porcine implant, permacol, per square centimeter</t>
  </si>
  <si>
    <t xml:space="preserve"> Unclassified drugs or biologicals</t>
  </si>
  <si>
    <t xml:space="preserve"> Injection, cangrelor, 1 mg</t>
  </si>
  <si>
    <t xml:space="preserve"> Injection, delafloxacin, 1 mg</t>
  </si>
  <si>
    <t xml:space="preserve"> Injection, sotalol hydrochloride, 1 mg</t>
  </si>
  <si>
    <t xml:space="preserve"> Injection, conivaptan hydrochloride, 1 mg</t>
  </si>
  <si>
    <t xml:space="preserve"> Percutaneous transcatheter placement of drug eluting intracoronary stent(s), with coronary angioplasty when performed; single major coronary artery or branch</t>
  </si>
  <si>
    <t xml:space="preserve"> Percutaneous transcatheter placement of drug-eluting intracoronary stent(s), with coronary angioplasty when performed; each additional branch of a major coronary artery (list separately in addition to code for primary procedure)</t>
  </si>
  <si>
    <t xml:space="preserve"> Creations of thermal anal lesions by radiofrequency energy</t>
  </si>
  <si>
    <t xml:space="preserve"> Placement of endorectal intracavitary applicator for high intensity brachytherapy</t>
  </si>
  <si>
    <t xml:space="preserve"> Placement and removal (if performed) of applicator into breast for intraoperative radiation therapy, add-on to primary breast procedure</t>
  </si>
  <si>
    <t xml:space="preserve"> Insertion of implants into the soft palate; minimum of three implants</t>
  </si>
  <si>
    <t xml:space="preserve"> Placement of interstitial device(s) for radiation therapy/surgery guidance (e.g., fiducial markers, dosimeter), for other than the following sites (any approach): abdomen, pelvis, prostate, retroperitoneum, thorax, single or multiple</t>
  </si>
  <si>
    <t xml:space="preserve"> Focused ultrasound ablation/therapeutic intervention, other than uterine leiomyomata, with magnetic resonance (mr) guidance</t>
  </si>
  <si>
    <t xml:space="preserve"> Adjunctive blue light cystoscopy with fluorescent imaging agent  (list separately in addition to code for primary procedure)</t>
  </si>
  <si>
    <t xml:space="preserve"> Cystourethroscopy, with insertion of transprostatic implant; 1 to 3 implants</t>
  </si>
  <si>
    <t xml:space="preserve"> Cystourethroscopy, with insertion of transprostatic implant; 4 or more implants</t>
  </si>
  <si>
    <t xml:space="preserve"> 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</si>
  <si>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 xml:space="preserve"> Transcatheter intraoperative blood vessel microinfusion(s) (e.g., intraluminal, vascular wall and/or perivascular) therapy, any vessel, including radiological supervision and interpretation, when performed</t>
  </si>
  <si>
    <t xml:space="preserve"> Cystourethroscopy, with ureteroscopy and/or pyeloscopy, with lithotripsy, and ureteral catheterization for steerable vacuum aspiration of the kidney, collecting system, ureter, bladder, and urethra if applicable (must use a steerable ureteral catheter)</t>
  </si>
  <si>
    <t xml:space="preserve"> Cardiac magnetic resonance imaging for morphology and function, quantification of segmental dysfunction; with strain imaging</t>
  </si>
  <si>
    <t xml:space="preserve"> Cardiac magnetic resonance imaging for morphology and function, quantification of segmental dysfunction; with stress imaging</t>
  </si>
  <si>
    <t xml:space="preserve"> Revascularization, endovascular, open or percutaneous, lower extremity artery(ies), except tibial/peroneal; with intravascular lithotripsy, includes angioplasty within the same vessel(s), when performed</t>
  </si>
  <si>
    <t xml:space="preserve"> Revascularization, endovascular, open or percutaneous, lower extremity artery(ies), except tibial/peroneal; with intravascular lithotripsy, and transluminal stent placement(s), includes angioplasty within the same vessel(s), when performed</t>
  </si>
  <si>
    <t xml:space="preserve"> Revascularization, endovascular, open or percutaneous, lower extremity artery(ies), except tibial/peroneal; with intravascular lithotripsy and atherectomy, includes angioplasty within the same vessel(s), when performed</t>
  </si>
  <si>
    <t xml:space="preserve"> Revascularization, endovascular, open or percutaneous, lower extremity artery(ies), except tibial/peroneal; with intravascular lithotripsy and transluminal stent placement(s), and atherectomy, includes angioplasty within the same vessel(s), when performed</t>
  </si>
  <si>
    <t xml:space="preserve"> Cystourethroscopy, with insertion of temporary prostatic implant/stent with fixation/anchor and incisional struts</t>
  </si>
  <si>
    <t xml:space="preserve"> Revascularization, endovascular, open or percutaneous, tibial/peroneal artery(ies), with intravascular lithotripsy, includes angioplasty within the same vessel (s), when performed</t>
  </si>
  <si>
    <t xml:space="preserve"> Revascularization, endovascular, open or percutaneous,  tibial/peroneal artery(ies); with intravascular lithotripsy, and transluminal stent placement(s), includes angioplasty  within the same vessel(s), when performed</t>
  </si>
  <si>
    <t xml:space="preserve"> Revascularization, endovascular, open or percutaneous, tibial/peroneal artery(ies); with intravascular lithotripsy and atherectomy, includes angioplasty within the same vessel (s), when performed</t>
  </si>
  <si>
    <t xml:space="preserve"> Revascularization, endovascular, open or percutaneous, tibial/peroneal artery(ies); with intravascular lithotripsy and transluminal stent placement(s), and atherectomy, includes angioplasty within the same vessel (s), when performed</t>
  </si>
  <si>
    <t xml:space="preserve"> Intraoperative near-infrared fluorescence imaging of major extra-hepatic bile duct(s) (e.g., cystic duct, common bile duct and common hepatic duct) with intravenous administration of indocyanine green (icg) (list separately in addition to code for primary procedure)</t>
  </si>
  <si>
    <t xml:space="preserve"> Esophageal mucosal integrity testing by electrical impedance, transoral, includes esophagoscopy or esophagogastroduodenoscopy</t>
  </si>
  <si>
    <t xml:space="preserve"> Colpopexy, vaginal; minimally invasive extra-peritoneal approach (sacrospinous)</t>
  </si>
  <si>
    <t xml:space="preserve"> Arthroscopy, shoulder, surgical; with implantation of subacromial spacer (e.g., balloon), includes debridement (e.g., limited or extensive), subacromial decompression, acromioplasty, and biceps tenodesis when performed</t>
  </si>
  <si>
    <t xml:space="preserve"> Instillation of anti-neoplastic pharmacologic/biologic agent into renal pelvis, any method, including all imaging guidance, including volumetric measurement if performed</t>
  </si>
  <si>
    <t xml:space="preserve"> Histotripsy (ie, non-thermal ablation via acoustic energy delivery) of malignant renal tissue, including image guidance</t>
  </si>
  <si>
    <t xml:space="preserve"> Therapeutic radiology simulation-aided field setting; complex, including acquisition of pet and ct imaging data required for radiopharmaceutical-directed radiation therapy treatment planning (i.e., modeling)</t>
  </si>
  <si>
    <t xml:space="preserve"> Periodic oral evaluation - established patient</t>
  </si>
  <si>
    <t xml:space="preserve"> Limited oral evaluation - problem focused</t>
  </si>
  <si>
    <t xml:space="preserve"> Oral evaluation for a patient under three years of age and counseling with primary caregiver</t>
  </si>
  <si>
    <t xml:space="preserve"> Comprehensive oral evaluation - new or established patient</t>
  </si>
  <si>
    <t xml:space="preserve"> Detailed and extensive oral evaluation - problem focused, by report</t>
  </si>
  <si>
    <t xml:space="preserve"> Re-evaluation-limited, problem focused (established patient; not post-operative visit)</t>
  </si>
  <si>
    <t xml:space="preserve"> Re-evaluation - post-operative office visit</t>
  </si>
  <si>
    <t xml:space="preserve"> Comprehensive periodontal evaluation - new or established patient</t>
  </si>
  <si>
    <t xml:space="preserve"> Assessment of a patient</t>
  </si>
  <si>
    <t xml:space="preserve"> Intraoral - comprehensive series of radiographic images</t>
  </si>
  <si>
    <t xml:space="preserve"> Intraoral - periapical first radiographic image</t>
  </si>
  <si>
    <t xml:space="preserve"> Intraoral - periapical each additional radiographic image</t>
  </si>
  <si>
    <t xml:space="preserve"> Intraoral - occlusal radiographic image</t>
  </si>
  <si>
    <t xml:space="preserve"> Extra-oral - 2d projection radiographic image created using a stationary radiation source, and detector</t>
  </si>
  <si>
    <t xml:space="preserve"> Extra-oral posterior dental radiographic image</t>
  </si>
  <si>
    <t xml:space="preserve"> Bitewing - single radiographic image</t>
  </si>
  <si>
    <t xml:space="preserve"> Bitewings - two radiographic images</t>
  </si>
  <si>
    <t xml:space="preserve"> Bitewings - three radiographic images</t>
  </si>
  <si>
    <t xml:space="preserve"> Bitewings - four radiographic images</t>
  </si>
  <si>
    <t xml:space="preserve"> Vertical bitewings - 7 to 8 radiographic images</t>
  </si>
  <si>
    <t xml:space="preserve"> Panoramic radiographic image</t>
  </si>
  <si>
    <t xml:space="preserve"> 2d cephalometric radiographic image - acquisition, measurement and analysis</t>
  </si>
  <si>
    <t xml:space="preserve"> 2d oral/facial photographic image obtained intra-orally or extra-orally</t>
  </si>
  <si>
    <t xml:space="preserve"> Cone beam ct capture and interpretation with field of view of both jaws, with or without cranium</t>
  </si>
  <si>
    <t xml:space="preserve"> Cone beam ct image capture with field of view of both jaws, with or without cranium</t>
  </si>
  <si>
    <t xml:space="preserve"> Virtual treatment simulation using 3d image volume or surface scan</t>
  </si>
  <si>
    <t xml:space="preserve"> Prophylaxis - adult</t>
  </si>
  <si>
    <t xml:space="preserve"> Prophylaxis - child</t>
  </si>
  <si>
    <t xml:space="preserve"> Sealant-per tooth</t>
  </si>
  <si>
    <t xml:space="preserve"> Application of caries arresting medicament - per tooth</t>
  </si>
  <si>
    <t xml:space="preserve"> Space maintainer - fixed, unilateral - per quadrant</t>
  </si>
  <si>
    <t xml:space="preserve"> Space maintainer - removable, unilateral - per quadrant</t>
  </si>
  <si>
    <t xml:space="preserve"> Amalgam-one surface, primary or permanent</t>
  </si>
  <si>
    <t xml:space="preserve"> Amalgam-two surfaces, primary or permanent</t>
  </si>
  <si>
    <t xml:space="preserve"> Amalgam-three surfaces, primary or permanent</t>
  </si>
  <si>
    <t xml:space="preserve"> Amalgam-four or more surfaces, primary or permanent</t>
  </si>
  <si>
    <t xml:space="preserve"> Resin-one surface, anterior</t>
  </si>
  <si>
    <t xml:space="preserve"> Resin-two surfaces, anterior</t>
  </si>
  <si>
    <t xml:space="preserve"> Resin-three surfaces, anterior</t>
  </si>
  <si>
    <t xml:space="preserve"> Resin-based composite - four or more surfaces (anterior)</t>
  </si>
  <si>
    <t xml:space="preserve"> Resin-based composite crown, anterior</t>
  </si>
  <si>
    <t xml:space="preserve"> Resin-based composite - one surface, posterior</t>
  </si>
  <si>
    <t xml:space="preserve"> Resin-based composite - two surfaces, posterior</t>
  </si>
  <si>
    <t xml:space="preserve"> Resin-based composite - three surfaces, posterior</t>
  </si>
  <si>
    <t xml:space="preserve"> Resin-based composite - four or more surfaces, posterior</t>
  </si>
  <si>
    <t xml:space="preserve"> Crown - porcelain/ceramic</t>
  </si>
  <si>
    <t xml:space="preserve"> Crown-porcelain fused to high noble metal</t>
  </si>
  <si>
    <t xml:space="preserve"> Crown-porcelain fused to predominantly base metal</t>
  </si>
  <si>
    <t xml:space="preserve"> Crown-porcelain fused to noble metal</t>
  </si>
  <si>
    <t xml:space="preserve"> Crown-full cast predominantly base metal</t>
  </si>
  <si>
    <t xml:space="preserve"> Interim crown - further treatment or completion of diagnosis necessary prior to final impression</t>
  </si>
  <si>
    <t xml:space="preserve"> Re-cement or re-bond crown</t>
  </si>
  <si>
    <t xml:space="preserve"> Prefabricated porcelain/ceramic crown - primary tooth</t>
  </si>
  <si>
    <t xml:space="preserve"> Prefabricated stainless steel crown-primary tooth</t>
  </si>
  <si>
    <t xml:space="preserve"> Prefabricated stainless steel crown-permanent tooth</t>
  </si>
  <si>
    <t xml:space="preserve"> Prefabricated resin crown</t>
  </si>
  <si>
    <t xml:space="preserve"> Prefabricated stainless steel crown with resin window</t>
  </si>
  <si>
    <t xml:space="preserve"> Prefabricated esthetic coated stainless steel crown - primary tooth</t>
  </si>
  <si>
    <t xml:space="preserve"> Protective restoration</t>
  </si>
  <si>
    <t xml:space="preserve"> Interim therapeutic restoration - primary dentition</t>
  </si>
  <si>
    <t xml:space="preserve"> Core build-up, including any pins when required</t>
  </si>
  <si>
    <t xml:space="preserve"> Pin retention-per tooth, in addition to restoration</t>
  </si>
  <si>
    <t xml:space="preserve"> Post and core in addition to crown, indirectly fabricated</t>
  </si>
  <si>
    <t xml:space="preserve"> Prefabricated post and core in addition to crown</t>
  </si>
  <si>
    <t xml:space="preserve"> Pulp cap-direct (excluding final restoration)</t>
  </si>
  <si>
    <t xml:space="preserve"> Pulp cap-indirect  (excluding final restoration)</t>
  </si>
  <si>
    <t xml:space="preserve"> Therapeutic pulpotomy (excluding final restoration)  removal of pulp coronal to the dentinocemental junction and application of medicament</t>
  </si>
  <si>
    <t xml:space="preserve"> Pulpal debridement, primary and permanent teeth</t>
  </si>
  <si>
    <t xml:space="preserve"> Partial pulpotomy for apexogenesis - permanent tooth with incomplete root development</t>
  </si>
  <si>
    <t xml:space="preserve"> Pulpal therapy (resorbable filling)-anterior, primary tooth (excluding final restoration)</t>
  </si>
  <si>
    <t xml:space="preserve"> Pulpal therapy (resorbable filling)-posterior, primary tooth (excluding final restoration)</t>
  </si>
  <si>
    <t xml:space="preserve"> Endodontic therapy, anterior tooth (excluding final restoration)</t>
  </si>
  <si>
    <t xml:space="preserve"> Endodontic therapy, premolar tooth (excluding final restoration)</t>
  </si>
  <si>
    <t xml:space="preserve"> Endodontic therapy, molar tooth (excluding final restoration)</t>
  </si>
  <si>
    <t xml:space="preserve"> Apicoectomy - anterior</t>
  </si>
  <si>
    <t xml:space="preserve"> Apicoectomy - premolar (first root)</t>
  </si>
  <si>
    <t xml:space="preserve"> Apicoectomy - molar (first root)</t>
  </si>
  <si>
    <t xml:space="preserve"> Apicoectomy (each additional root)</t>
  </si>
  <si>
    <t xml:space="preserve"> Endodontic endosseous implant</t>
  </si>
  <si>
    <t xml:space="preserve"> Surgical procedure for isolation of tooth with rubber dam</t>
  </si>
  <si>
    <t xml:space="preserve"> Gingivectomy or gingivoplasty - four or more contiguous teeth or tooth bounded spaces per quadrant</t>
  </si>
  <si>
    <t xml:space="preserve"> Gingivectomy or gingivoplasty - one to three contiguous teeth or tooth bounded spaces per quadrant</t>
  </si>
  <si>
    <t xml:space="preserve"> Gingivectomy or gingivoplasty to allow access for restorative procedure, per tooth</t>
  </si>
  <si>
    <t xml:space="preserve"> Osseous surgery (including elevation of a full thickness flap entry and closure) - four or more contiguous teeth or tooth bounded spaces per quadrant</t>
  </si>
  <si>
    <t xml:space="preserve"> Bone replacement graft - retained natural tooth - first site in quadrant</t>
  </si>
  <si>
    <t xml:space="preserve"> Pedicle soft tissue graft procedure</t>
  </si>
  <si>
    <t xml:space="preserve"> Autogenous connective tissue graft procedure (including donor and recipient surgical sites) first tooth, implant, or edentulous tooth position in graft</t>
  </si>
  <si>
    <t xml:space="preserve"> Periodontal scaling and root planing - four or more teeth per quadrant</t>
  </si>
  <si>
    <t xml:space="preserve"> Periodontal scaling and root planing - one to three teeth, per quadrant</t>
  </si>
  <si>
    <t xml:space="preserve"> Scaling in presence of generalized moderate or severe gingival inflammation - full mouth, after oral evaluation</t>
  </si>
  <si>
    <t xml:space="preserve"> Full mouth debridement to enable a comprehensive periodontal evaluation and diagnosis on a subsequent visit</t>
  </si>
  <si>
    <t xml:space="preserve"> Localized delivery of antimicrobial agents via controlled release vehicle into diseased crevicular tissue, per tooth</t>
  </si>
  <si>
    <t xml:space="preserve"> Periodontal maintenance</t>
  </si>
  <si>
    <t xml:space="preserve"> Replace missing or broken teeth-complete denture (each tooth)</t>
  </si>
  <si>
    <t xml:space="preserve"> Replace broken teeth-per tooth</t>
  </si>
  <si>
    <t xml:space="preserve"> Reline complete maxillary denture (indirect)</t>
  </si>
  <si>
    <t xml:space="preserve"> Reline complete mandibular denture (indirect)</t>
  </si>
  <si>
    <t xml:space="preserve"> Interim partial denture (including retentive/clasping materials, rests, and teeth), maxillary</t>
  </si>
  <si>
    <t xml:space="preserve"> Interim partial denture (including retentive/clasping materials, rests, and teeth), mandibular</t>
  </si>
  <si>
    <t xml:space="preserve"> Nasal prosthesis</t>
  </si>
  <si>
    <t xml:space="preserve"> Auricular prosthesis</t>
  </si>
  <si>
    <t xml:space="preserve"> Facial prosthesis</t>
  </si>
  <si>
    <t xml:space="preserve"> Obturator prosthesis, surgical</t>
  </si>
  <si>
    <t xml:space="preserve"> Obturator prosthesis, definitive</t>
  </si>
  <si>
    <t xml:space="preserve"> Mandibular resection prosthesis with guide flange</t>
  </si>
  <si>
    <t xml:space="preserve"> Speech aid prosthesis, pediatric</t>
  </si>
  <si>
    <t xml:space="preserve"> Speech aid prosthesis, adult</t>
  </si>
  <si>
    <t xml:space="preserve"> Palatal augmentation prosthesis</t>
  </si>
  <si>
    <t xml:space="preserve"> Palatal lift prosthesis, definitive</t>
  </si>
  <si>
    <t xml:space="preserve"> Surgical splint</t>
  </si>
  <si>
    <t xml:space="preserve"> Unspecified maxillofacial prosthesis, by report</t>
  </si>
  <si>
    <t xml:space="preserve"> Extraction, coronal remnants - primary tooth</t>
  </si>
  <si>
    <t xml:space="preserve"> Extraction, erupted tooth or exposed root (elevation and/or forceps removal)</t>
  </si>
  <si>
    <t xml:space="preserve"> Extraction, erupted tooth requiring removal of bone and/or sectioning of tooth, and including elevation of mucoperiosteal flap if indicated</t>
  </si>
  <si>
    <t xml:space="preserve"> Removal of impacted tooth-soft tissue</t>
  </si>
  <si>
    <t xml:space="preserve"> Removal of impacted tooth-partially bony</t>
  </si>
  <si>
    <t xml:space="preserve"> Removal of impacted tooth-completely bony</t>
  </si>
  <si>
    <t xml:space="preserve"> Removal of impacted tooth-completely bony, with unusual surgical complications</t>
  </si>
  <si>
    <t xml:space="preserve"> Removal of residual tooth roots (cutting procedure)</t>
  </si>
  <si>
    <t xml:space="preserve"> Oral antral fistula closure</t>
  </si>
  <si>
    <t xml:space="preserve"> Tooth reimplantation and/or stabilization of accidentally evulsed or displaced tooth</t>
  </si>
  <si>
    <t xml:space="preserve"> Exposure of an unerupted tooth</t>
  </si>
  <si>
    <t xml:space="preserve"> Alveoloplasty in conjunction with extractions - four or more teeth or tooth spaces, per quadrant</t>
  </si>
  <si>
    <t xml:space="preserve"> Alveoloplasty in conjunction with extractions - one to three teeth or tooth spaces, per quadrant</t>
  </si>
  <si>
    <t xml:space="preserve"> Alveoloplasty not in conjunction with extractions - four or more teeth or tooth spaces, per quadrant</t>
  </si>
  <si>
    <t xml:space="preserve"> Excision of benign lesion up to 1.25 cm</t>
  </si>
  <si>
    <t xml:space="preserve"> Excision of benign lesion greater than 1.25 cm</t>
  </si>
  <si>
    <t xml:space="preserve"> Removal of torus palatinus</t>
  </si>
  <si>
    <t xml:space="preserve"> Removal of torus mandibularis</t>
  </si>
  <si>
    <t xml:space="preserve"> Incision and drainage of abscess-intraoral soft tissue</t>
  </si>
  <si>
    <t xml:space="preserve"> Incision and drainage of abscess - intraoral soft tissue - complicated (includes drainage of multiple fascial spaces)</t>
  </si>
  <si>
    <t xml:space="preserve"> Incision and drainage of abscess-extraoral soft tissue</t>
  </si>
  <si>
    <t xml:space="preserve"> Removal of foreign body from mucosa, skin, or subcutaneous alveolar tissue</t>
  </si>
  <si>
    <t xml:space="preserve"> Partial ostectomy/sequestrectomy for removal of non-vital bone</t>
  </si>
  <si>
    <t xml:space="preserve"> Occlusal orthotic appliance</t>
  </si>
  <si>
    <t xml:space="preserve"> Suture of recent small wounds up to 5 cm</t>
  </si>
  <si>
    <t xml:space="preserve"> Placement of intra-socket biological dressing to aid in hemostasis or clot stabilization, per site</t>
  </si>
  <si>
    <t xml:space="preserve"> Osseous, osteoperiosteal, or cartilage graft of the mandible or maxilla - autogenous or nonautogenous, by report</t>
  </si>
  <si>
    <t xml:space="preserve"> Buccal / labial frenectomy (frenulectomy)</t>
  </si>
  <si>
    <t xml:space="preserve"> Lingual frenectomy (frenulectomy)</t>
  </si>
  <si>
    <t xml:space="preserve"> Removable appliance therapy</t>
  </si>
  <si>
    <t xml:space="preserve"> Fixed appliance therapy</t>
  </si>
  <si>
    <t xml:space="preserve"> Pre-orthodontic treatment examination to monitor growth and development</t>
  </si>
  <si>
    <t xml:space="preserve"> Periodic orthodontic treatment visit</t>
  </si>
  <si>
    <t xml:space="preserve"> Unspecified orthodontic procedure, by report</t>
  </si>
  <si>
    <t xml:space="preserve"> Palliative treatment of dental pain - per visit</t>
  </si>
  <si>
    <t xml:space="preserve"> Deep sedation/general anesthesia - each subsequent 15 minute increment</t>
  </si>
  <si>
    <t xml:space="preserve"> Intravenous moderate (conscious) sedation/analgesia - each subsequent 15 minute increment</t>
  </si>
  <si>
    <t xml:space="preserve"> Hospital or ambulatory surgical center call</t>
  </si>
  <si>
    <t xml:space="preserve"> Colorectal cancer screening; flexible sigmoidoscopy</t>
  </si>
  <si>
    <t xml:space="preserve"> Colorectal cancer screening; colonoscopy on individual at high risk</t>
  </si>
  <si>
    <t xml:space="preserve"> Colorectal cancer screening; colonoscopy on individual not meeting criteria for high risk</t>
  </si>
  <si>
    <t xml:space="preserve"> Single energy x-ray absorptiometry (sexa) bone density study, one or more sites; appendicular skeleton (peripheral) (e.g., radius, wrist, heel)</t>
  </si>
  <si>
    <t xml:space="preserve"> Destruction of localized lesion of choroid (for example, choroidal neovascularization); photocoagulation, feeder vessel technique (one or more sessions)</t>
  </si>
  <si>
    <t xml:space="preserve"> Pet imaging, any site, not otherwise specified</t>
  </si>
  <si>
    <t xml:space="preserve"> Injection procedure for sacroiliac joint; provision of anesthetic, steroid and/or other therapeutic agent, with or without arthrography</t>
  </si>
  <si>
    <t xml:space="preserve"> Blinded procedure for lumbar stenosis, percutaneous image-guided lumbar decompression (pild) or placebo-control, performed in an approved coverage with evidence development (ced) clinical trial</t>
  </si>
  <si>
    <t xml:space="preserve"> 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t>
  </si>
  <si>
    <t xml:space="preserve"> Electromagnetic therapy, to one or more areas for chronic stage iii and stage iv pressure ulcers, arterial ulcers, diabetic ulcers and venous stasis ulcers not demonstrating measurable signs of healing after 30 days of conventional care as part of a therapy plan of care</t>
  </si>
  <si>
    <t xml:space="preserve"> Facility services for dental rehabilitation procedure(s) performed on a patient who requires monitored anesthesia (e.g., general, intravenous sedation (monitored anesthesia care) and use of an operating room</t>
  </si>
  <si>
    <t xml:space="preserve"> Hospital observation service, per hour</t>
  </si>
  <si>
    <t xml:space="preserve"> Dermal filler injection(s) for the treatment of facial lipodystrophy syndrome (lds) (e.g., as a result of highly active antiretroviral therapy)</t>
  </si>
  <si>
    <t xml:space="preserve"> Insertion of non-biodegradable drug delivery implants, 4 or more (services for subdermal rod implant)</t>
  </si>
  <si>
    <t xml:space="preserve"> Removal of non-biodegradable drug delivery implants, 4 or more (services for subdermal implants)</t>
  </si>
  <si>
    <t xml:space="preserve"> Removal with reinsertion, non-biodegradable drug delivery implants, 4 or more (services for subdermal implants)</t>
  </si>
  <si>
    <t xml:space="preserve"> Injection, tetracycline, up to 250 mg</t>
  </si>
  <si>
    <t xml:space="preserve"> Injection, omadacycline, 1 mg</t>
  </si>
  <si>
    <t xml:space="preserve"> Injection, eravacycline, 1 mg</t>
  </si>
  <si>
    <t xml:space="preserve"> Injection, abatacept, 10 mg (code may be used for medicare when drug administered under the direct supervision of a physician, not for use when drug is self administered)</t>
  </si>
  <si>
    <t xml:space="preserve"> Injection abciximab, 10 mg</t>
  </si>
  <si>
    <t xml:space="preserve"> Injection, acetaminophen, not otherwise specified,10 mg</t>
  </si>
  <si>
    <t xml:space="preserve"> Injection, acetylcysteine, 100 mg</t>
  </si>
  <si>
    <t xml:space="preserve"> Injection, acyclovir, 5 mg</t>
  </si>
  <si>
    <t xml:space="preserve"> Injection, acetaminophen (fresenius kabi), not therapeutically equivalent to j0131, 10 mg</t>
  </si>
  <si>
    <t xml:space="preserve"> Injection, adalimumab, 20 mg</t>
  </si>
  <si>
    <t xml:space="preserve"> Injection, acetaminophen (b braun), not therapeutically equivalent to j0131, 10 mg</t>
  </si>
  <si>
    <t xml:space="preserve"> Injection, acetaminophen (hikma), not therapeutically equivalent to j0131, 10 mg</t>
  </si>
  <si>
    <t xml:space="preserve"> Injection, adenosine, 1 mg (not to be used to report any adenosine phosphate compounds)</t>
  </si>
  <si>
    <t xml:space="preserve"> Injection, adrenalin, epinephrine, 0.1 mg</t>
  </si>
  <si>
    <t xml:space="preserve"> Injection, aducanumab-avwa, 2 mg</t>
  </si>
  <si>
    <t xml:space="preserve"> Injection, epinephrine (belcher), not therapeutically equivalent to j0171, 0.1 mg</t>
  </si>
  <si>
    <t xml:space="preserve"> Injection, lecanemab-irmb, 1 mg</t>
  </si>
  <si>
    <t xml:space="preserve"> Injection, aflibercept, 1 mg</t>
  </si>
  <si>
    <t xml:space="preserve"> Injection, brolucizumab-dbll, 1 mg</t>
  </si>
  <si>
    <t xml:space="preserve"> Injection, agalsidase beta, 1 mg</t>
  </si>
  <si>
    <t xml:space="preserve"> Injection, amisulpride, 1 mg</t>
  </si>
  <si>
    <t xml:space="preserve"> Injection, aprepitant, 1 mg</t>
  </si>
  <si>
    <t xml:space="preserve"> Injection, biperiden lactate, per 5 mg</t>
  </si>
  <si>
    <t xml:space="preserve"> Injection, alatrofloxacin mesylate, 100 mg</t>
  </si>
  <si>
    <t xml:space="preserve"> Injection, alemtuzumab, 1 mg</t>
  </si>
  <si>
    <t xml:space="preserve"> Injection, alglucerase, per 10 units</t>
  </si>
  <si>
    <t xml:space="preserve"> Injection, allopurinol sodium, 1 mg</t>
  </si>
  <si>
    <t xml:space="preserve"> Injection, amifostine, 500 mg</t>
  </si>
  <si>
    <t xml:space="preserve"> Injection, sodium thiosulfate (pedmark), 100 mg</t>
  </si>
  <si>
    <t xml:space="preserve"> Injection, methyldopate hcl, up to 250 mg</t>
  </si>
  <si>
    <t xml:space="preserve"> Injection, alefacept, 0.5 mg</t>
  </si>
  <si>
    <t xml:space="preserve"> Injection, alfentanil hydrochloride, 500 micrograms</t>
  </si>
  <si>
    <t xml:space="preserve"> Injection, velmanase alfa-tycv, 1 mg</t>
  </si>
  <si>
    <t xml:space="preserve"> Injection, olipudase alfa-rpcp, 1 mg</t>
  </si>
  <si>
    <t xml:space="preserve"> Injection, avalglucosidase alfa-ngpt, 4 mg</t>
  </si>
  <si>
    <t xml:space="preserve"> Injection, alglucosidase alfa, 10 mg, not otherwise specified</t>
  </si>
  <si>
    <t xml:space="preserve"> Injection, alglucosidase alfa, (lumizyme), 10 mg</t>
  </si>
  <si>
    <t xml:space="preserve"> Injection, patisiran, 0.1 mg</t>
  </si>
  <si>
    <t xml:space="preserve"> Injection, givosiran, 0.5 mg</t>
  </si>
  <si>
    <t xml:space="preserve"> Injection, lumasiran, 0.5 mg</t>
  </si>
  <si>
    <t xml:space="preserve"> Injection, vutrisiran, 1 mg</t>
  </si>
  <si>
    <t xml:space="preserve"> Injection, alpha 1 proteinase inhibitor (human), not otherwise specified, 10 mg</t>
  </si>
  <si>
    <t xml:space="preserve"> Injection, alpha 1 proteinase inhibitor (human), (glassia), 10 mg</t>
  </si>
  <si>
    <t xml:space="preserve"> Injection, amikacin sulfate, 100 mg</t>
  </si>
  <si>
    <t xml:space="preserve"> Injection, aminophyllin, up to 250 mg</t>
  </si>
  <si>
    <t xml:space="preserve"> Injection, amiodarone hydrochloride, 30 mg</t>
  </si>
  <si>
    <t xml:space="preserve"> Injection, amiodarone hydrochloride (nexterone), 30 mg</t>
  </si>
  <si>
    <t xml:space="preserve"> Injection, amphotericin b, 50 mg</t>
  </si>
  <si>
    <t xml:space="preserve"> Injection, amphotericin b lipid complex, 10 mg</t>
  </si>
  <si>
    <t xml:space="preserve"> Injection, amphotericin b cholesteryl sulfate complex, 10 mg</t>
  </si>
  <si>
    <t xml:space="preserve"> Injection, amphotericin b liposome, 10 mg</t>
  </si>
  <si>
    <t xml:space="preserve"> Injection, ampicillin sodium, 500 mg</t>
  </si>
  <si>
    <t xml:space="preserve"> Injection, plazomicin, 5 mg</t>
  </si>
  <si>
    <t xml:space="preserve"> Injection, ampicillin sodium/sulbactam sodium, per 1.5 gm</t>
  </si>
  <si>
    <t xml:space="preserve"> Injection, amobarbital, up to 125 mg</t>
  </si>
  <si>
    <t xml:space="preserve"> Injection, succinylcholine chloride, up to 20 mg</t>
  </si>
  <si>
    <t xml:space="preserve"> Injection, anidulafungin, 1 mg</t>
  </si>
  <si>
    <t xml:space="preserve"> Injection, rezafungin, 1 mg</t>
  </si>
  <si>
    <t xml:space="preserve"> Injection, anistreplase, per 30 units</t>
  </si>
  <si>
    <t xml:space="preserve"> Injection, hydralazine hcl, up to 20 mg</t>
  </si>
  <si>
    <t xml:space="preserve"> Injection, apomorphine hydrochloride, 1 mg</t>
  </si>
  <si>
    <t xml:space="preserve"> Injection, aprotonin, 10,000 kiu</t>
  </si>
  <si>
    <t xml:space="preserve"> Injection, metaraminol bitartrate, per 10 mg</t>
  </si>
  <si>
    <t xml:space="preserve"> Injection, chloroquine hydrochloride, up to 250 mg</t>
  </si>
  <si>
    <t xml:space="preserve"> Injection, artesunate, 1 mg</t>
  </si>
  <si>
    <t xml:space="preserve"> Injection, arbutamine hcl, 1 mg</t>
  </si>
  <si>
    <t xml:space="preserve"> Injection, aripiprazole, intramuscular, 0.25 mg</t>
  </si>
  <si>
    <t xml:space="preserve"> Injection, aripiprazole (abilify maintena), 1 mg</t>
  </si>
  <si>
    <t xml:space="preserve"> Injection, aripiprazole (abilify asimtufii), 1 mg</t>
  </si>
  <si>
    <t xml:space="preserve"> Injection, azithromycin, 500 mg</t>
  </si>
  <si>
    <t xml:space="preserve"> Injection, aztreonam, 100 mg</t>
  </si>
  <si>
    <t xml:space="preserve"> Injection, atropine sulfate, 0.01 mg</t>
  </si>
  <si>
    <t xml:space="preserve"> Injection, dimercaprol, per 100 mg</t>
  </si>
  <si>
    <t xml:space="preserve"> Injection, baclofen, 10 mg</t>
  </si>
  <si>
    <t xml:space="preserve"> Injection, baclofen, 50 mcg for intrathecal trial</t>
  </si>
  <si>
    <t xml:space="preserve"> Injection, basiliximab, 20 mg</t>
  </si>
  <si>
    <t xml:space="preserve"> Injection, belatacept, 1 mg</t>
  </si>
  <si>
    <t xml:space="preserve"> Injection, belimumab, 10 mg</t>
  </si>
  <si>
    <t xml:space="preserve"> Injection, anifrolumab-fnia, 1 mg</t>
  </si>
  <si>
    <t xml:space="preserve"> Injection, dicyclomine hcl, up to 20 mg</t>
  </si>
  <si>
    <t xml:space="preserve"> Injection, benztropine mesylate, per 1 mg</t>
  </si>
  <si>
    <t xml:space="preserve"> Injection, benralizumab, 1 mg</t>
  </si>
  <si>
    <t xml:space="preserve"> Injection, bethanechol chloride, myotonachol or urecholine, up to 5 mg</t>
  </si>
  <si>
    <t xml:space="preserve"> Injection, penicillin g benzathine and penicillin g procaine, 100,000 units</t>
  </si>
  <si>
    <t xml:space="preserve"> Injection, penicillin g benzathine, 100,000 units</t>
  </si>
  <si>
    <t xml:space="preserve"> Injection, bezlotoxumab, 10 mg</t>
  </si>
  <si>
    <t xml:space="preserve"> Injection, cerliponase alfa, 1 mg</t>
  </si>
  <si>
    <t xml:space="preserve"> Buprenorphine implant, 74.2 mg</t>
  </si>
  <si>
    <t>INJECTION, BUPRENORPHINE EXTENDED-RELEASE (BRIXADI), 1 MG</t>
  </si>
  <si>
    <t xml:space="preserve"> Injection, bivalirudin, 1 mg</t>
  </si>
  <si>
    <t xml:space="preserve"> Injection, burosumab-twza 1 mg</t>
  </si>
  <si>
    <t xml:space="preserve"> Injection, onabotulinumtoxina, 1 unit</t>
  </si>
  <si>
    <t xml:space="preserve"> Injection, abobotulinumtoxina, 5 units</t>
  </si>
  <si>
    <t xml:space="preserve"> Injection, rimabotulinumtoxinb, 100 units</t>
  </si>
  <si>
    <t xml:space="preserve"> Injection, incobotulinumtoxin a, 1 unit</t>
  </si>
  <si>
    <t xml:space="preserve"> Injection, buprenorphine hydrochloride, 0.1 mg</t>
  </si>
  <si>
    <t xml:space="preserve"> Injection, lanadelumab-flyo, 1 mg (code may be used for medicare when drug administered under direct supervision of a physician, not for use when drug is self-administered)</t>
  </si>
  <si>
    <t xml:space="preserve"> injection, busulfan, 1 mg</t>
  </si>
  <si>
    <t xml:space="preserve"> Injection, butorphanol tartrate, 1 mg</t>
  </si>
  <si>
    <t xml:space="preserve"> Injection, c1 esterase inhibitor (recombinant), ruconest, 10 units</t>
  </si>
  <si>
    <t xml:space="preserve"> Injection, c-1 esterase inhibitor (human), berinert, 10 units</t>
  </si>
  <si>
    <t xml:space="preserve"> Injection, c-1 esterase inhibitor (human), cinryze, 10 units</t>
  </si>
  <si>
    <t xml:space="preserve"> Injection, c-1 esterase inhibitor (human), (haegarda), 10 units</t>
  </si>
  <si>
    <t xml:space="preserve"> Injection, edetate calcium disodium, up to 1000 mg</t>
  </si>
  <si>
    <t xml:space="preserve"> Injection, etelcalcetide, 0.1 mg</t>
  </si>
  <si>
    <t xml:space="preserve"> Injection, calcium gluconate, not otherwise specified, 10 mg</t>
  </si>
  <si>
    <t xml:space="preserve"> Injection, calcium gluconate (wg critical care), not therapeutically equivalent to j0612, 10 mg</t>
  </si>
  <si>
    <t xml:space="preserve"> Injection, calcium glycerophosphate and calcium lactate, per 10 ml</t>
  </si>
  <si>
    <t xml:space="preserve"> Injection, calcitonin salmon, up to 400 units</t>
  </si>
  <si>
    <t xml:space="preserve"> Injection, calcitriol, 0.1 mcg</t>
  </si>
  <si>
    <t xml:space="preserve"> Injection, caspofungin acetate, 5 mg</t>
  </si>
  <si>
    <t xml:space="preserve"> Injection, canakinumab, 1 mg</t>
  </si>
  <si>
    <t xml:space="preserve"> Injection, leucovorin calcium, per 50 mg</t>
  </si>
  <si>
    <t xml:space="preserve"> Injection, levoleucovorin, not otherwise specified, 0.5 mg</t>
  </si>
  <si>
    <t xml:space="preserve"> Injection, levoleucovorin (khapzory), 0.5 mg</t>
  </si>
  <si>
    <t xml:space="preserve"> Injection, bupivicaine, not otherwise specified, 0.5 mg</t>
  </si>
  <si>
    <t xml:space="preserve"> Injection, mepivacaine hydrochloride, per 10 ml</t>
  </si>
  <si>
    <t xml:space="preserve"> Injection, cefazolin sodium (hikma), not therapeutically equivalent to j0690, 500 mg</t>
  </si>
  <si>
    <t xml:space="preserve"> Injection, cefazolin sodium (baxter), not therapeutically equivalent to j0690, 500 mg</t>
  </si>
  <si>
    <t xml:space="preserve"> Injection, cefazolin sodium, 500 mg</t>
  </si>
  <si>
    <t xml:space="preserve"> Injection, lefamulin, 1 mg</t>
  </si>
  <si>
    <t xml:space="preserve"> Injection, cefepime hydrochloride, 500 mg</t>
  </si>
  <si>
    <t xml:space="preserve"> Injection, cefoxitin sodium, 1 gm</t>
  </si>
  <si>
    <t xml:space="preserve"> Injection, ceftolozane 50 mg and tazobactam 25 mg</t>
  </si>
  <si>
    <t xml:space="preserve"> Injection, ceftriaxone sodium, per 250 mg</t>
  </si>
  <si>
    <t xml:space="preserve"> Injection, sterile cefuroxime sodium, per 750 mg</t>
  </si>
  <si>
    <t xml:space="preserve"> Injection, cefotaxime sodium, per gm</t>
  </si>
  <si>
    <t xml:space="preserve"> Injection, cefiderocol, 10 mg</t>
  </si>
  <si>
    <t xml:space="preserve"> Injection, cefepime hydrochloride (baxter), not therapeutically equivalent to maxipime, 500 mg</t>
  </si>
  <si>
    <t xml:space="preserve"> Injection, betamethasone acetate 3 mg and betamethasone sodium phosphate 3 mg</t>
  </si>
  <si>
    <t xml:space="preserve"> Injection, cefepime hydrochloride (b braun), not therapeutically equivalent to maxipime, 500 mg</t>
  </si>
  <si>
    <t xml:space="preserve"> Injection, caffeine citrate, 5 mg</t>
  </si>
  <si>
    <t xml:space="preserve"> Injection, cephapirin sodium, up to 1 gm</t>
  </si>
  <si>
    <t xml:space="preserve"> Injection, ceftaroline fosamil, 10 mg</t>
  </si>
  <si>
    <t xml:space="preserve"> Injection, ceftazidime, per 500 mg</t>
  </si>
  <si>
    <t xml:space="preserve"> Injection, ceftazidime and avibactam, 0.5 g/0.125 g</t>
  </si>
  <si>
    <t xml:space="preserve"> Injection, ceftizoxime sodium, per 500 mg</t>
  </si>
  <si>
    <t xml:space="preserve"> Injection, centruroides immune f(ab)2, up to 120 milligrams</t>
  </si>
  <si>
    <t xml:space="preserve"> Injection, certolizumab pegol, 1 mg (code may be used for medicare when drug administered under the direct supervision of a physician, not for use when drug is self administered)</t>
  </si>
  <si>
    <t xml:space="preserve"> Injection, chloramphenicol sodium succinate, up to 1 gm</t>
  </si>
  <si>
    <t xml:space="preserve"> Injection, chorionic gonadotropin, per 1,000 usp units</t>
  </si>
  <si>
    <t xml:space="preserve"> Injection, clonidine hydrochloride, 1 mg</t>
  </si>
  <si>
    <t xml:space="preserve"> Injection, clindamycin phosphate, 300 mg</t>
  </si>
  <si>
    <t xml:space="preserve"> Injection, clindamycin phosphate (baxter), not therapeutically equivalent to j0736, 300 mg</t>
  </si>
  <si>
    <t xml:space="preserve"> Injection, cidofovir, 375 mg</t>
  </si>
  <si>
    <t xml:space="preserve"> Injection, cabotegravir and rilpivirine, 2mg/3mg</t>
  </si>
  <si>
    <t xml:space="preserve"> Injection, imipenem 4 mg, cilastatin 4 mg and relebactam 2 mg</t>
  </si>
  <si>
    <t xml:space="preserve"> Injection, cilastatin sodium; imipenem, per 250 mg</t>
  </si>
  <si>
    <t xml:space="preserve"> Injection, ciprofloxacin for intravenous infusion, 200 mg</t>
  </si>
  <si>
    <t xml:space="preserve"> Injection, codeine phosphate, per 30 mg</t>
  </si>
  <si>
    <t xml:space="preserve"> Injection, colistimethate sodium, up to 150 mg</t>
  </si>
  <si>
    <t xml:space="preserve"> Injection, collagenase, clostridium histolyticum, 0.01 mg</t>
  </si>
  <si>
    <t xml:space="preserve"> Injection, prochlorperazine, up to 10 mg</t>
  </si>
  <si>
    <t xml:space="preserve"> Injection, crizanlizumab-tmca, 5 mg</t>
  </si>
  <si>
    <t xml:space="preserve"> Injection, corticorelin ovine triflutate, 1 microgram</t>
  </si>
  <si>
    <t xml:space="preserve"> Injection, corticotropin (acthar gel), up to 40 units</t>
  </si>
  <si>
    <t xml:space="preserve"> Injection, corticotropin (ani), up to 40 units</t>
  </si>
  <si>
    <t xml:space="preserve"> Injection, cosyntropin, 0.25 mg</t>
  </si>
  <si>
    <t xml:space="preserve"> Injection, crotalidae polyvalent immune fab (ovine), up to 1 gram</t>
  </si>
  <si>
    <t xml:space="preserve"> Injection, crotalidae immune f(ab')2 (equine), 120 mg</t>
  </si>
  <si>
    <t xml:space="preserve"> Injection, cytomegalovirus immune globulin intravenous (human), per vial</t>
  </si>
  <si>
    <t xml:space="preserve"> Injection, daptomycin (xellia), not therapeutically equivalent to j0878 or j0872, 1 mg</t>
  </si>
  <si>
    <t xml:space="preserve"> Injection, daptomycin (baxter), not therapeutically equivalent to j0878, 1 mg</t>
  </si>
  <si>
    <t xml:space="preserve"> Injection, dalbavancin, 5 mg</t>
  </si>
  <si>
    <t xml:space="preserve"> Injection, daptomycin (hospira), not therapeutically equivalent to j0878, 1 mg</t>
  </si>
  <si>
    <t xml:space="preserve"> Injection, daptomycin, 1 mg</t>
  </si>
  <si>
    <t xml:space="preserve"> Injection, difelikefalin, 0.1 microgram, (for esrd on dialysis)</t>
  </si>
  <si>
    <t xml:space="preserve"> Injection, darbepoetin alfa, 1 microgram (non-esrd use)</t>
  </si>
  <si>
    <t xml:space="preserve"> Injection, darbepoetin alfa, 1 microgram (for esrd on dialysis)</t>
  </si>
  <si>
    <t xml:space="preserve"> Injection, argatroban, 1 mg (for non-esrd use)</t>
  </si>
  <si>
    <t xml:space="preserve"> Injection, argatroban, 1 mg (for esrd on dialysis)</t>
  </si>
  <si>
    <t xml:space="preserve"> Injection, epoetin alfa, (for non-esrd use), 1000 units</t>
  </si>
  <si>
    <t xml:space="preserve"> Injection, epoetin beta, 1 microgram, (for esrd on dialysis)</t>
  </si>
  <si>
    <t xml:space="preserve"> Injection, epoetin beta, 1 microgram, (for non esrd use)</t>
  </si>
  <si>
    <t xml:space="preserve"> Daprodustat, oral, 1 mg, (for esrd on dialysis)</t>
  </si>
  <si>
    <t xml:space="preserve"> Injection, argatroban (accord), not therapeutically equivalent to j0883, 1 mg (for non-esrd use)</t>
  </si>
  <si>
    <t xml:space="preserve"> Injection, argatroban (accord), not therapeutically equivalent to j0884, 1 mg (for esrd on dialysis)</t>
  </si>
  <si>
    <t xml:space="preserve"> Injection, decitabine (sun pharma), not therapeutically equivalent to j0894, 1 mg</t>
  </si>
  <si>
    <t xml:space="preserve"> Injection, decitabine, 1 mg</t>
  </si>
  <si>
    <t xml:space="preserve"> Injection, deferoxamine mesylate, 500 mg</t>
  </si>
  <si>
    <t xml:space="preserve"> Injection, luspatercept-aamt, 0.25 mg</t>
  </si>
  <si>
    <t xml:space="preserve"> Injection, denosumab, 1 mg</t>
  </si>
  <si>
    <t xml:space="preserve"> Injection, argatroban (auromedics), not therapeutically equivalent to j0883, 1 mg (for non-esrd use)</t>
  </si>
  <si>
    <t xml:space="preserve"> Injection, argatroban (auromedics), not therapeutically equivalent to j0884, 1 mg (for esrd on dialysis)</t>
  </si>
  <si>
    <t xml:space="preserve"> Injection, brompheniramine maleate, per 10 mg</t>
  </si>
  <si>
    <t xml:space="preserve"> Injection, depo-estradiol cypionate, up to 5 mg</t>
  </si>
  <si>
    <t>INJECTION, METHYLPREDNISOLONE ACETATE, 20 MG</t>
  </si>
  <si>
    <t>INJECTION, METHYLPREDNISOLONE ACETATE, 40 MG</t>
  </si>
  <si>
    <t>INJECTION, METHYLPREDNISOLONE ACETATE, 80 MG</t>
  </si>
  <si>
    <t xml:space="preserve"> Injection, medroxyprogesterone acetate, 1 mg</t>
  </si>
  <si>
    <t xml:space="preserve"> Injection, testosterone cypionate, 1 mg</t>
  </si>
  <si>
    <t xml:space="preserve"> Injection, dexamethasone acetate, 1 mg</t>
  </si>
  <si>
    <t xml:space="preserve"> Injection, dexamethasone 9 percent, intraocular, 1 microgram</t>
  </si>
  <si>
    <t xml:space="preserve"> Dexamethasone, lacrimal ophthalmic insert, 0.1 mg</t>
  </si>
  <si>
    <t xml:space="preserve"> Phenylephrine 10.16 mg/ml and ketorolac 2.88 mg/ml ophthalmic irrigation solution, 1 ml</t>
  </si>
  <si>
    <t xml:space="preserve"> Injection, dexamethasone sodium phosphate, 1 mg</t>
  </si>
  <si>
    <t xml:space="preserve"> Dexmedetomidine, oral, 1 mcg</t>
  </si>
  <si>
    <t xml:space="preserve"> Injection, dihydroergotamine mesylate, per 1 mg</t>
  </si>
  <si>
    <t xml:space="preserve"> Injection, acetazolamide sodium, up to 500 mg</t>
  </si>
  <si>
    <t xml:space="preserve"> Injection, diclofenac sodium, 0.5 mg</t>
  </si>
  <si>
    <t xml:space="preserve"> Injection, digoxin, up to 0.5 mg</t>
  </si>
  <si>
    <t xml:space="preserve"> Injection, digoxin immune fab (ovine), per vial</t>
  </si>
  <si>
    <t xml:space="preserve"> Injection, phenytoin sodium, per 50 mg</t>
  </si>
  <si>
    <t xml:space="preserve"> Injection, hydromorphone, up to 4 mg</t>
  </si>
  <si>
    <t xml:space="preserve"> Injection, dyphylline, up to 500 mg</t>
  </si>
  <si>
    <t xml:space="preserve"> Injection, dexrazoxane hydrochloride, per 250 mg</t>
  </si>
  <si>
    <t xml:space="preserve"> Injection, diphenhydramine hcl, up to 50 mg</t>
  </si>
  <si>
    <t xml:space="preserve"> Injection, cetirizine hydrochloride, 0.5 mg</t>
  </si>
  <si>
    <t xml:space="preserve"> Injection, chlorothiazide sodium, per 500 mg</t>
  </si>
  <si>
    <t xml:space="preserve"> Injection, dmso, dimethyl sulfoxide, 50%, 50 ml</t>
  </si>
  <si>
    <t xml:space="preserve"> Injection, methadone hcl, up to 10 mg</t>
  </si>
  <si>
    <t xml:space="preserve"> Injection, dimenhydrinate, up to 50 mg</t>
  </si>
  <si>
    <t xml:space="preserve"> Injection, dipyridamole, per 10 mg</t>
  </si>
  <si>
    <t xml:space="preserve"> Injection, dobutamine hydrochloride, per 250 mg</t>
  </si>
  <si>
    <t xml:space="preserve"> Injection, dolasetron mesylate, 10 mg</t>
  </si>
  <si>
    <t xml:space="preserve"> Injection, dopamine hcl, 40 mg</t>
  </si>
  <si>
    <t xml:space="preserve"> Injection, doripenem, 10 mg</t>
  </si>
  <si>
    <t xml:space="preserve"> Injection, doxercalciferol, 1 mcg</t>
  </si>
  <si>
    <t xml:space="preserve"> Injection, ecallantide, 1 mg</t>
  </si>
  <si>
    <t xml:space="preserve"> Injection, eculizumab, 10 mg</t>
  </si>
  <si>
    <t xml:space="preserve"> Injection, edaravone, 1 mg</t>
  </si>
  <si>
    <t xml:space="preserve"> Injection, sutimlimab-jome, 10 mg</t>
  </si>
  <si>
    <t xml:space="preserve"> Injection, ravulizumab-cwvz, 10 mg</t>
  </si>
  <si>
    <t xml:space="preserve"> Injection, tofersen, 1 mg</t>
  </si>
  <si>
    <t xml:space="preserve"> Injection, evinacumab-dgnb, 5mg</t>
  </si>
  <si>
    <t xml:space="preserve"> Injection, inclisiran, 1 mg</t>
  </si>
  <si>
    <t xml:space="preserve"> Injection, amitriptyline hcl, up to 20 mg</t>
  </si>
  <si>
    <t xml:space="preserve"> Injection, elosulfase alfa, 1 mg</t>
  </si>
  <si>
    <t xml:space="preserve"> Injection, enfuvirtide, 1 mg</t>
  </si>
  <si>
    <t xml:space="preserve"> Injection, epoprostenol, 0.5 mg</t>
  </si>
  <si>
    <t xml:space="preserve"> Injection, eptifibatide, 5 mg</t>
  </si>
  <si>
    <t xml:space="preserve"> Injection, ergonovine maleate, up to 0.2 mg</t>
  </si>
  <si>
    <t xml:space="preserve"> Injection, ertapenem sodium, 500 mg</t>
  </si>
  <si>
    <t xml:space="preserve"> Injection, erythromycin lactobionate, per 500 mg</t>
  </si>
  <si>
    <t xml:space="preserve"> Injection, estradiol valerate, up to 10 mg</t>
  </si>
  <si>
    <t xml:space="preserve"> Injection, estrogen conjugated, per 25 mg</t>
  </si>
  <si>
    <t xml:space="preserve"> Injection, casimersen, 10 mg</t>
  </si>
  <si>
    <t xml:space="preserve"> Injection, viltolarsen, 10 mg</t>
  </si>
  <si>
    <t xml:space="preserve"> Injection, eteplirsen, 10 mg</t>
  </si>
  <si>
    <t xml:space="preserve"> Injection, golodirsen, 10 mg</t>
  </si>
  <si>
    <t xml:space="preserve"> Injection, ethanolamine oleate, 100 mg</t>
  </si>
  <si>
    <t xml:space="preserve"> Injection, estrone, per 1 mg</t>
  </si>
  <si>
    <t xml:space="preserve"> Injection, ferric derisomaltose, 10 mg</t>
  </si>
  <si>
    <t xml:space="preserve"> Injection, etanercept, 25 mg (code may be used for medicare when drug administered under the direct supervision of a physician, not for use when drug is self administered)</t>
  </si>
  <si>
    <t xml:space="preserve"> Injection, ferric carboxymaltose, 1 mg</t>
  </si>
  <si>
    <t xml:space="preserve"> Fecal microbiota, live - jslm, 1 ml</t>
  </si>
  <si>
    <t xml:space="preserve"> Injection, filgrastim (g-csf), excludes biosimilars, 1 microgram</t>
  </si>
  <si>
    <t xml:space="preserve"> Injection, ferric pyrophosphate citrate solution (triferic), 0.1 mg of iron</t>
  </si>
  <si>
    <t xml:space="preserve"> Injection, ferric pyrophosphate citrate powder, 0.1 mg of iron</t>
  </si>
  <si>
    <t xml:space="preserve"> Injection, ferric pyrophosphate citrate solution (triferic avnu), 0.1 mg of iron</t>
  </si>
  <si>
    <t xml:space="preserve"> Injection, tbo-filgrastim, 1 microgram</t>
  </si>
  <si>
    <t xml:space="preserve"> Injection, trilaciclib, 1mg</t>
  </si>
  <si>
    <t xml:space="preserve"> Injection, eflapegrastim-xnst, 0.1 mg</t>
  </si>
  <si>
    <t xml:space="preserve"> Injection fluconazole, 200 mg</t>
  </si>
  <si>
    <t xml:space="preserve"> Injection, fomepizole, 15 mg</t>
  </si>
  <si>
    <t xml:space="preserve"> Injection, fomivirsen sodium, intraocular, 1.65 mg</t>
  </si>
  <si>
    <t xml:space="preserve"> Injection, fosaprepitant, 1 mg</t>
  </si>
  <si>
    <t xml:space="preserve"> Injection, fosnetupitant 235 mg and palonosetron 0.25 mg</t>
  </si>
  <si>
    <t xml:space="preserve"> Injection, foscarnet sodium, per 1000 mg</t>
  </si>
  <si>
    <t xml:space="preserve"> Injection, fosaprepitant (teva), not therapeutically equivalent to j1453, 1 mg</t>
  </si>
  <si>
    <t xml:space="preserve"> Injection, gallium nitrate, 1 mg</t>
  </si>
  <si>
    <t xml:space="preserve"> Injection, galsulfase, 1 mg</t>
  </si>
  <si>
    <t xml:space="preserve"> Injection, immune globulin (privigen), intravenous, non-lyophilized (e.g., liquid), 500 mg</t>
  </si>
  <si>
    <t xml:space="preserve"> Injection, gamma globulin, intramuscular, 1 cc</t>
  </si>
  <si>
    <t xml:space="preserve"> Injection, immune globulin (cutaquig), 100 mg</t>
  </si>
  <si>
    <t xml:space="preserve"> Injection, immune globulin (asceniv), 500 mg</t>
  </si>
  <si>
    <t xml:space="preserve"> Injection, immune globulin (cuvitru), 100 mg</t>
  </si>
  <si>
    <t xml:space="preserve"> Injection, immune globulin (bivigam), 500 mg</t>
  </si>
  <si>
    <t xml:space="preserve"> Injection, immune globulin, (gammaplex), intravenous, non-lyophilized (e.g., liquid), 500 mg</t>
  </si>
  <si>
    <t xml:space="preserve"> Injection, immune globulin (xembify), 100 mg</t>
  </si>
  <si>
    <t xml:space="preserve"> Injection, immune globulin (hizentra), 100 mg</t>
  </si>
  <si>
    <t xml:space="preserve"> Injection, gamma globulin, intramuscular, over 10 cc</t>
  </si>
  <si>
    <t xml:space="preserve"> Injection, immune globulin, (gamunex-c/gammaked), non-lyophilized (e.g., liquid), 500 mg</t>
  </si>
  <si>
    <t xml:space="preserve"> Injection, immune globulin (vivaglobin), 100 mg</t>
  </si>
  <si>
    <t xml:space="preserve"> Injection, immune globulin, intravenous, lyophilized (e.g., powder), not otherwise specified, 500 mg</t>
  </si>
  <si>
    <t xml:space="preserve"> Injection, immune globulin, (octagam), intravenous, non-lyophilized (e.g., liquid), 500 mg</t>
  </si>
  <si>
    <t xml:space="preserve"> Injection, immune globulin, (gammagard liquid), non-lyophilized, (e.g., liquid), 500 mg</t>
  </si>
  <si>
    <t xml:space="preserve"> Injection, ganciclovir sodium, 500 mg</t>
  </si>
  <si>
    <t xml:space="preserve"> Injection, hepatitis b immune globulin (hepagam b), intramuscular, 0.5 ml</t>
  </si>
  <si>
    <t xml:space="preserve"> Injection, immune globulin, (flebogamma/flebogamma dif), intravenous, non-lyophilized (e.g., liquid), 500 mg</t>
  </si>
  <si>
    <t xml:space="preserve"> Injection, hepatitis b immune globulin (hepagam b), intravenous, 0.5 ml</t>
  </si>
  <si>
    <t xml:space="preserve"> Injection, ganciclovir sodium (exela), not therapeutically equivalent to j1570, 500 mg</t>
  </si>
  <si>
    <t xml:space="preserve"> Injection, immune globulin/hyaluronidase, (hyqvia), 100 mg immuneglobulin</t>
  </si>
  <si>
    <t xml:space="preserve"> Injection, immune globulin (panzyga), intravenous, non-lyophilized (e.g., liquid), 500 mg</t>
  </si>
  <si>
    <t xml:space="preserve"> Injection, garamycin, gentamicin, up to 80 mg</t>
  </si>
  <si>
    <t xml:space="preserve"> Injection, glatiramer acetate, 20 mg</t>
  </si>
  <si>
    <t xml:space="preserve"> Injection, glycopyrrolate, 0.1 mg</t>
  </si>
  <si>
    <t xml:space="preserve"> Injection, immune globulin, intravenous, non-lyophilized (e.g., liquid), not otherwise specified, 500 mg</t>
  </si>
  <si>
    <t xml:space="preserve"> Injection, gold sodium thiomalate, up to 50 mg</t>
  </si>
  <si>
    <t xml:space="preserve"> Injection, golimumab, 1 mg, for intravenous use</t>
  </si>
  <si>
    <t xml:space="preserve"> Injection, glucagon hydrochloride, per 1 mg</t>
  </si>
  <si>
    <t xml:space="preserve"> Injection, glucagon hydrochloride (fresenius kabi), not therapeutically equivalent to j1610, per 1 mg</t>
  </si>
  <si>
    <t xml:space="preserve"> Injection, gonadorelin hydrochloride, per 100 mcg</t>
  </si>
  <si>
    <t xml:space="preserve"> Injection, granisetron hydrochloride, 100 mcg</t>
  </si>
  <si>
    <t xml:space="preserve"> Injection, granisetron, extended-release, 0.1 mg</t>
  </si>
  <si>
    <t xml:space="preserve"> Injection, guselkumab, 1 mg</t>
  </si>
  <si>
    <t xml:space="preserve"> Injection, haloperidol, up to 5 mg</t>
  </si>
  <si>
    <t xml:space="preserve"> Injection, haloperidol decanoate, per 50 mg</t>
  </si>
  <si>
    <t xml:space="preserve"> Injection, brexanolone, 1 mg</t>
  </si>
  <si>
    <t xml:space="preserve"> Injection, hemin, 1 mg</t>
  </si>
  <si>
    <t xml:space="preserve"> Injection, heparin sodium, (heparin lock flush), per 10 units</t>
  </si>
  <si>
    <t xml:space="preserve"> Injection, heparin sodium (pfizer), not therapeutically equivalent to j1644, per 1000 units</t>
  </si>
  <si>
    <t xml:space="preserve"> Injection, heparin sodium, per 1000 units</t>
  </si>
  <si>
    <t xml:space="preserve"> Injection, dalteparin sodium, per 2500 iu</t>
  </si>
  <si>
    <t xml:space="preserve"> Injection, enoxaparin sodium, 10 mg</t>
  </si>
  <si>
    <t xml:space="preserve"> Injection, fondaparinux sodium, 0.5 mg</t>
  </si>
  <si>
    <t xml:space="preserve"> Injection, tinzaparin sodium, 1000 iu</t>
  </si>
  <si>
    <t xml:space="preserve"> Injection, tetanus immune globulin, human, up to 250 units</t>
  </si>
  <si>
    <t xml:space="preserve"> Injection, hydrocortisone acetate, up to 25 mg</t>
  </si>
  <si>
    <t xml:space="preserve"> Injection, hydrocortisone sodium phosphate, up to 50 mg</t>
  </si>
  <si>
    <t xml:space="preserve"> Injection, hydrocortisone sodium succinate, up to 100 mg</t>
  </si>
  <si>
    <t xml:space="preserve"> Injection, hydroxyprogesterone caproate, (makena), 10 mg</t>
  </si>
  <si>
    <t xml:space="preserve"> Injection, hydroxyprogesterone caproate, not otherwise specified, 10 mg</t>
  </si>
  <si>
    <t xml:space="preserve"> Injection, diazoxide, up to 300 mg</t>
  </si>
  <si>
    <t xml:space="preserve"> Injection, meloxicam, 1 mg</t>
  </si>
  <si>
    <t xml:space="preserve"> Injection, ibandronate sodium, 1 mg</t>
  </si>
  <si>
    <t xml:space="preserve"> Injection, ibuprofen, 100 mg</t>
  </si>
  <si>
    <t xml:space="preserve"> Injection, ibutilide fumarate, 1 mg</t>
  </si>
  <si>
    <t xml:space="preserve"> Injection, idursulfase, 1 mg</t>
  </si>
  <si>
    <t xml:space="preserve"> Injection, icatibant, 1 mg</t>
  </si>
  <si>
    <t xml:space="preserve"> Injection, infliximab, excludes biosimilar, 10 mg</t>
  </si>
  <si>
    <t xml:space="preserve"> Injection, ibalizumab-uiyk, 10 mg</t>
  </si>
  <si>
    <t xml:space="preserve"> Injection, spesolimab-sbzo, 1 mg</t>
  </si>
  <si>
    <t xml:space="preserve"> Injection, iron dextran, 50 mg</t>
  </si>
  <si>
    <t xml:space="preserve"> Injection, iron sucrose, 1 mg</t>
  </si>
  <si>
    <t xml:space="preserve"> Injection, imiglucerase, 10 units</t>
  </si>
  <si>
    <t xml:space="preserve"> Injection, droperidol, up to 5 mg</t>
  </si>
  <si>
    <t xml:space="preserve"> Injection, propranolol hcl, up to 1 mg</t>
  </si>
  <si>
    <t xml:space="preserve"> Injection, esmolol hydrochloride, 10 mg</t>
  </si>
  <si>
    <t xml:space="preserve"> Injection, esmolol hydrochloride (wg critical care), not therapeutically equivalent to j1805, 10 mg</t>
  </si>
  <si>
    <t xml:space="preserve"> Insulin (fiasp) for administration through dme (i.e., insulin pump) per 50 units</t>
  </si>
  <si>
    <t xml:space="preserve"> Insulin (fiasp), per 5 units</t>
  </si>
  <si>
    <t xml:space="preserve"> Insulin (lyumjev) for administration through dme (i.e., insulin pump) per 50 units</t>
  </si>
  <si>
    <t xml:space="preserve"> Insulin (lyumjev), per 5 units</t>
  </si>
  <si>
    <t xml:space="preserve"> Injection, insulin, per 5 units</t>
  </si>
  <si>
    <t xml:space="preserve"> Insulin for administration through dme (i.e., insulin pump) per 50 units</t>
  </si>
  <si>
    <t xml:space="preserve"> Injection, inebilizumab-cdon, 1 mg</t>
  </si>
  <si>
    <t xml:space="preserve"> Injection, interferon beta-1a, 30 mcg</t>
  </si>
  <si>
    <t xml:space="preserve"> Injection, interferon beta-1b, 0.25 mg (code may be used for medicare when drug administered under the direct supervision of a physician, not for use when drug is self administered)</t>
  </si>
  <si>
    <t xml:space="preserve"> Injection, isavuconazonium, 1 mg</t>
  </si>
  <si>
    <t xml:space="preserve"> Injection, itraconazole, 50 mg</t>
  </si>
  <si>
    <t xml:space="preserve"> Injection, metronidazole, 10 mg</t>
  </si>
  <si>
    <t>INJECTION, KANAMYCIN SULFATE, UP TO 500 MG</t>
  </si>
  <si>
    <t>INJECTION, KANAMYCIN SULFATE, UP TO 75 MG</t>
  </si>
  <si>
    <t xml:space="preserve"> Injection, ketorolac tromethamine, per 15 mg</t>
  </si>
  <si>
    <t xml:space="preserve"> Injection, cephalothin sodium, up to 1 gram</t>
  </si>
  <si>
    <t xml:space="preserve"> Injection, labetalol hydrochloride, 5 mg</t>
  </si>
  <si>
    <t xml:space="preserve"> Injection, labetalol hydrochloride (hikma), not therapeutically equivalent to j1920, 5 mg</t>
  </si>
  <si>
    <t xml:space="preserve"> Injection, lanreotide, 1 mg</t>
  </si>
  <si>
    <t xml:space="preserve"> Injection, laronidase, 0.1 mg</t>
  </si>
  <si>
    <t xml:space="preserve"> Injection, lanreotide, (cipla), 1 mg</t>
  </si>
  <si>
    <t xml:space="preserve"> Injection, bumetanide, 0.5 mg</t>
  </si>
  <si>
    <t xml:space="preserve"> Injection, furosemide, up to 20 mg</t>
  </si>
  <si>
    <t xml:space="preserve"> Injection, aripiprazole lauroxil, (aristada initio), 1 mg</t>
  </si>
  <si>
    <t xml:space="preserve"> Injection, aripiprazole lauroxil, (aristada), 1 mg</t>
  </si>
  <si>
    <t xml:space="preserve"> Injection, lepirudin, 50 mg</t>
  </si>
  <si>
    <t xml:space="preserve"> Injection, leuprolide acetate (for depot suspension), per 3.75 mg</t>
  </si>
  <si>
    <t xml:space="preserve"> Injection, leuprolide acetate for depot suspension (fensolvi), 0.25 mg</t>
  </si>
  <si>
    <t xml:space="preserve"> Leuprolide injectable, camcevi, 1 mg</t>
  </si>
  <si>
    <t xml:space="preserve"> Injection, levetiracetam, 10 mg</t>
  </si>
  <si>
    <t xml:space="preserve"> Injection, leuprolide acetate for depot suspension (cipla), 7.5 mg</t>
  </si>
  <si>
    <t xml:space="preserve"> Injection, levofloxacin, 250 mg</t>
  </si>
  <si>
    <t xml:space="preserve"> Injection, levorphanol tartrate, up to 2 mg</t>
  </si>
  <si>
    <t xml:space="preserve"> Injection, lenacapavir, 1 mg</t>
  </si>
  <si>
    <t xml:space="preserve"> Injection, hyoscyamine sulfate, up to 0.25 mg</t>
  </si>
  <si>
    <t xml:space="preserve"> Injection, chlordiazepoxide hcl, up to 100 mg</t>
  </si>
  <si>
    <t xml:space="preserve"> Injection, lidocaine hcl for intravenous infusion, 10 mg</t>
  </si>
  <si>
    <t xml:space="preserve"> Injection, lincomycin hcl, up to 300 mg</t>
  </si>
  <si>
    <t xml:space="preserve"> Injection, linezolid, 200 mg</t>
  </si>
  <si>
    <t xml:space="preserve"> Injection, linezolid (hospira), not therapeutically equivalent to j2020, 200 mg</t>
  </si>
  <si>
    <t xml:space="preserve"> Injection, lorazepam, 2 mg</t>
  </si>
  <si>
    <t xml:space="preserve"> Loxapine for inhalation, 1 mg</t>
  </si>
  <si>
    <t xml:space="preserve"> Injection, mannitol, 25% in 50 ml</t>
  </si>
  <si>
    <t xml:space="preserve"> Injection, mecasermin, 1 mg</t>
  </si>
  <si>
    <t xml:space="preserve"> Injection, meperidine hydrochloride, per 100 mg</t>
  </si>
  <si>
    <t xml:space="preserve"> Injection, meperidine and promethazine hcl, up to 50 mg</t>
  </si>
  <si>
    <t xml:space="preserve"> Injection, mepolizumab, 1 mg</t>
  </si>
  <si>
    <t xml:space="preserve"> Injection, meropenem (b. braun), not therapeutically equivalent to j2185, 100 mg</t>
  </si>
  <si>
    <t xml:space="preserve"> Injection, meropenem, 100 mg</t>
  </si>
  <si>
    <t xml:space="preserve"> Injection, meropenem and vaborbactam, 10mg/10mg (20mg)</t>
  </si>
  <si>
    <t xml:space="preserve"> Injection, methylergonovine maleate, up to 0.2 mg</t>
  </si>
  <si>
    <t xml:space="preserve"> Injection, methylnaltrexone, 0.1 mg</t>
  </si>
  <si>
    <t xml:space="preserve"> Injection, micafungin sodium (par pharm) not thereapeutically equivalent to j2248, 1 mg</t>
  </si>
  <si>
    <t xml:space="preserve"> Injection, micafungin sodium, 1 mg</t>
  </si>
  <si>
    <t xml:space="preserve"> Injection, remimazolam, 1 mg</t>
  </si>
  <si>
    <t xml:space="preserve"> Injection, midazolam hydrochloride, per 1 mg</t>
  </si>
  <si>
    <t xml:space="preserve"> Injection, midazolam hydrochloride (wg critical care), not therapeutically equivalent to j2250, per 1 mg</t>
  </si>
  <si>
    <t xml:space="preserve"> Injection, milrinone lactate, 5 mg</t>
  </si>
  <si>
    <t xml:space="preserve"> Injection, minocycline hydrochloride, 1 mg</t>
  </si>
  <si>
    <t xml:space="preserve"> Injection, morphine sulfate, up to 10 mg</t>
  </si>
  <si>
    <t xml:space="preserve"> Injection, morphine sulfate (fresenius kabi), not therapeutically equivalent to j2270, up to 10 mg</t>
  </si>
  <si>
    <t xml:space="preserve"> Injection, morphine sulfate, preservative-free for epidural or intrathecal use, 10 mg</t>
  </si>
  <si>
    <t xml:space="preserve"> Injection, ziconotide, 1 microgram</t>
  </si>
  <si>
    <t xml:space="preserve"> Injection, moxifloxacin, 100 mg</t>
  </si>
  <si>
    <t xml:space="preserve"> Injection, moxifloxacin (fresenius kabi), not therapeutically equivalent to j2280, 100 mg</t>
  </si>
  <si>
    <t xml:space="preserve"> Injection, nalbuphine hydrochloride, per 10 mg</t>
  </si>
  <si>
    <t xml:space="preserve"> Injection, nitroglycerin, 5 mg</t>
  </si>
  <si>
    <t xml:space="preserve"> Injection, naloxone hydrochloride, per 1 mg</t>
  </si>
  <si>
    <t xml:space="preserve"> Injection, naloxone hydrochloride (zimhi), 1 mg</t>
  </si>
  <si>
    <t xml:space="preserve"> Injection, naltrexone, depot form, 1 mg</t>
  </si>
  <si>
    <t xml:space="preserve"> Injection, nandrolone decanoate, up to 50 mg</t>
  </si>
  <si>
    <t xml:space="preserve"> Injection, natalizumab, 1 mg</t>
  </si>
  <si>
    <t xml:space="preserve"> Injection, nusinersen, 0.1 mg</t>
  </si>
  <si>
    <t xml:space="preserve"> Injection, risankizumab-rzaa, intravenous, 1 mg</t>
  </si>
  <si>
    <t xml:space="preserve"> Injection, ublituximab-xiiy, 1mg</t>
  </si>
  <si>
    <t xml:space="preserve"> Injection, ocrelizumab, 1 mg</t>
  </si>
  <si>
    <t xml:space="preserve"> Injection, octreotide, depot form for intramuscular injection, 1 mg</t>
  </si>
  <si>
    <t xml:space="preserve"> Injection, octreotide, non-depot form for subcutaneous or intravenous injection, 25 mcg</t>
  </si>
  <si>
    <t xml:space="preserve"> Injection, oprelvekin, 5 mg</t>
  </si>
  <si>
    <t xml:space="preserve"> Injection, tezepelumab-ekko, 1 mg</t>
  </si>
  <si>
    <t xml:space="preserve"> Injection, omalizumab, 5 mg</t>
  </si>
  <si>
    <t xml:space="preserve"> Injection, olanzapine, long-acting, 1 mg</t>
  </si>
  <si>
    <t xml:space="preserve"> Injection, olanzapine, 0.5 mg</t>
  </si>
  <si>
    <t xml:space="preserve"> Injection, orphenadrine citrate, up to 60 mg</t>
  </si>
  <si>
    <t xml:space="preserve"> Injection, phenylephrine hydrochloride, 20 micrograms</t>
  </si>
  <si>
    <t xml:space="preserve"> Injection, phenylephrine hydrochloride (biorphen), 20 micrograms</t>
  </si>
  <si>
    <t xml:space="preserve"> Injection, chloroprocaine hydrochloride, per 1 mg</t>
  </si>
  <si>
    <t xml:space="preserve"> Injection, chloroprocaine hydrochloride (clorotekal), per 1 mg</t>
  </si>
  <si>
    <t xml:space="preserve"> Chloroprocaine hcl ophthalmic, 3% gel, 1 mg</t>
  </si>
  <si>
    <t xml:space="preserve"> Injection, nicardipine, 0.1 mg</t>
  </si>
  <si>
    <t xml:space="preserve"> Injection, ondansetron hydrochloride, per 1 mg</t>
  </si>
  <si>
    <t xml:space="preserve"> Injection, oritavancin (kimyrsa), 10 mg</t>
  </si>
  <si>
    <t xml:space="preserve"> Injection, oritavancin (orbactiv), 10 mg</t>
  </si>
  <si>
    <t xml:space="preserve"> Injection, oxymorphone hcl, up to 1 mg</t>
  </si>
  <si>
    <t xml:space="preserve"> Injection, palifermin, 50 micrograms</t>
  </si>
  <si>
    <t xml:space="preserve"> Injection, paliperidone palmitate extended release (invega sustenna), 1 mg</t>
  </si>
  <si>
    <t xml:space="preserve"> Injection, paliperidone palmitate extended release (invega hafyera, or invega trinza), 1 mg</t>
  </si>
  <si>
    <t xml:space="preserve"> Injection, pamidronate disodium, per 30 mg</t>
  </si>
  <si>
    <t xml:space="preserve"> Injection, papaverine hcl, up to 60 mg</t>
  </si>
  <si>
    <t xml:space="preserve"> Injection, oxytetracycline hcl, up to 50 mg</t>
  </si>
  <si>
    <t xml:space="preserve"> Injection, palonosetron hcl, 25 mcg</t>
  </si>
  <si>
    <t xml:space="preserve"> Injection, paricalcitol, 1 mcg</t>
  </si>
  <si>
    <t xml:space="preserve"> Injection, pasireotide long acting, 1 mg</t>
  </si>
  <si>
    <t xml:space="preserve"> Injection, pegaptanib sodium, 0.3 mg</t>
  </si>
  <si>
    <t xml:space="preserve"> Injection, pegademase bovine, 25 iu</t>
  </si>
  <si>
    <t xml:space="preserve"> Injection, pegfilgrastim, excludes biosimilar, 0.5 mg</t>
  </si>
  <si>
    <t xml:space="preserve"> Injection, pegloticase, 1 mg</t>
  </si>
  <si>
    <t xml:space="preserve"> Injection, pegunigalsidase alfa-iwxj, 1 mg</t>
  </si>
  <si>
    <t xml:space="preserve"> Injection, penicillin g procaine, aqueous, up to 600,000 units</t>
  </si>
  <si>
    <t xml:space="preserve"> Injection, pentastarch, 10% solution, 100 ml</t>
  </si>
  <si>
    <t xml:space="preserve"> Injection, pentobarbital sodium, per 50 mg</t>
  </si>
  <si>
    <t xml:space="preserve"> Injection, penicillin g potassium, up to 600,000 units</t>
  </si>
  <si>
    <t xml:space="preserve"> Injection, piperacillin sodium/tazobactam sodium, 1 gram/0.125 grams (1.125 grams)</t>
  </si>
  <si>
    <t xml:space="preserve"> Injection, peramivir, 1 mg</t>
  </si>
  <si>
    <t xml:space="preserve"> Injection, promethazine hcl, up to 50 mg</t>
  </si>
  <si>
    <t xml:space="preserve"> Injection, phenobarbital sodium, up to 120 mg</t>
  </si>
  <si>
    <t xml:space="preserve"> Injection, phenobarbital sodium (sezaby), 1 mg</t>
  </si>
  <si>
    <t xml:space="preserve"> Injection, plerixafor, 1 mg</t>
  </si>
  <si>
    <t xml:space="preserve"> Injection, oxytocin, up to 10 units</t>
  </si>
  <si>
    <t xml:space="preserve"> Injection, desmopressin acetate, per 1 mcg</t>
  </si>
  <si>
    <t xml:space="preserve"> Injection, vasopressin, 1 unit</t>
  </si>
  <si>
    <t xml:space="preserve"> Injection, vasopressin (american regent), not therapeutically equivalent to j2598, 1 unit</t>
  </si>
  <si>
    <t xml:space="preserve"> Injection, prednisolone acetate, up to 1 ml</t>
  </si>
  <si>
    <t xml:space="preserve"> Injection, tolazoline hcl, up to 25 mg</t>
  </si>
  <si>
    <t xml:space="preserve"> Injection, progesterone, per 50 mg</t>
  </si>
  <si>
    <t xml:space="preserve"> Injection, fluphenazine hcl, 1.25 mg</t>
  </si>
  <si>
    <t xml:space="preserve"> Injection, fluphenazine decanoate, up to 25 mg</t>
  </si>
  <si>
    <t xml:space="preserve"> Injection, procainamide hcl, up to 1 gm</t>
  </si>
  <si>
    <t xml:space="preserve"> Injection, oxacillin sodium, up to 250 mg</t>
  </si>
  <si>
    <t xml:space="preserve"> Injection, propofol, 10 mg</t>
  </si>
  <si>
    <t xml:space="preserve"> Injection, neostigmine methylsulfate, up to 0.5 mg</t>
  </si>
  <si>
    <t xml:space="preserve"> Injection, protamine sulfate, per 10 mg</t>
  </si>
  <si>
    <t xml:space="preserve"> Injection, protein c concentrate, intravenous, human, 10 iu</t>
  </si>
  <si>
    <t xml:space="preserve"> Injection, protirelin, per 250 mcg</t>
  </si>
  <si>
    <t xml:space="preserve"> Injection, pralidoxime chloride, up to 1 gm</t>
  </si>
  <si>
    <t xml:space="preserve"> Injection, phentolamine mesylate, up to 5 mg</t>
  </si>
  <si>
    <t xml:space="preserve"> Injection, metoclopramide hcl, up to 10 mg</t>
  </si>
  <si>
    <t xml:space="preserve"> Injection, quinupristin/dalfopristin, 500 mg (150/350)</t>
  </si>
  <si>
    <t xml:space="preserve"> Injection, faricimab-svoa, 0.1 mg</t>
  </si>
  <si>
    <t xml:space="preserve"> Injection, ranibizumab, 0.1 mg</t>
  </si>
  <si>
    <t xml:space="preserve"> Injection, ranibizumab, via intravitreal implant (susvimo), 0.1 mg</t>
  </si>
  <si>
    <t>INJECTION, RANITIDINE HYDROCHLORIDE, 25 MG</t>
  </si>
  <si>
    <t xml:space="preserve"> Injection, pegcetacoplan, intravitreal, 1 mg</t>
  </si>
  <si>
    <t xml:space="preserve"> Injection, rasburicase, 0.5 mg</t>
  </si>
  <si>
    <t xml:space="preserve"> Injection, regadenoson, 0.1 mg</t>
  </si>
  <si>
    <t xml:space="preserve"> Injection, reslizumab, 1 mg</t>
  </si>
  <si>
    <t xml:space="preserve"> Riboflavin 5'-phosphate, ophthalmic solution, up to 3 ml</t>
  </si>
  <si>
    <t xml:space="preserve"> Injection, rho d immune globulin, human, minidose, 50 micrograms (250 i.u.)</t>
  </si>
  <si>
    <t xml:space="preserve"> Injection, rho d immune globulin, human, full dose, 300 micrograms (1500 i.u.)</t>
  </si>
  <si>
    <t xml:space="preserve"> Injection, rho(d) immune globulin (human), (rhophylac), intramuscular or intravenous, 100 iu</t>
  </si>
  <si>
    <t xml:space="preserve"> Injection, rho d immune globulin, intravenous, human, solvent detergent, 100 iu</t>
  </si>
  <si>
    <t xml:space="preserve"> Injection, rilonacept, 1 mg</t>
  </si>
  <si>
    <t xml:space="preserve"> Injection, risperidone (risperdal consta), 0.5 mg</t>
  </si>
  <si>
    <t xml:space="preserve"> Injection, ropivacaine hydrochloride, 1 mg</t>
  </si>
  <si>
    <t xml:space="preserve"> Injection, romiplostim, 10 micrograms</t>
  </si>
  <si>
    <t xml:space="preserve"> Injection, risperidone, (perseris), 0.5 mg</t>
  </si>
  <si>
    <t xml:space="preserve"> Injection, risperidone (uzedy), 1 mg</t>
  </si>
  <si>
    <t xml:space="preserve"> Injection, methocarbamol, up to 10 ml</t>
  </si>
  <si>
    <t xml:space="preserve"> Injection, sincalide, 5 micrograms</t>
  </si>
  <si>
    <t xml:space="preserve"> Injection, sincalide (maia), not therapeutically equivalent to j2805, 5 micrograms</t>
  </si>
  <si>
    <t xml:space="preserve"> Injection, theophylline, per 40 mg</t>
  </si>
  <si>
    <t xml:space="preserve"> Injection, sargramostim (gm-csf), 50 mcg</t>
  </si>
  <si>
    <t xml:space="preserve"> Injection, sebelipase alfa, 1 mg</t>
  </si>
  <si>
    <t xml:space="preserve"> Injection, secretin, synthetic, human, 1 microgram</t>
  </si>
  <si>
    <t xml:space="preserve"> Injection, siltuximab, 10 mg</t>
  </si>
  <si>
    <t xml:space="preserve"> Injection, aurothioglucose, up to 50 mg</t>
  </si>
  <si>
    <t xml:space="preserve"> Injection, sodium ferric gluconate complex in sucrose injection, 12.5 mg</t>
  </si>
  <si>
    <t>INJECTION, METHYLPREDNISOLONE SODIUM SUCCINATE, UP TO 40 MG</t>
  </si>
  <si>
    <t>INJECTION, METHYLPREDNISOLONE SODIUM SUCCINATE, UP TO 125 MG</t>
  </si>
  <si>
    <t xml:space="preserve"> Injection, somatrem, 1 mg</t>
  </si>
  <si>
    <t xml:space="preserve"> Injection, somatropin, 1 mg</t>
  </si>
  <si>
    <t xml:space="preserve"> Injection, promazine hcl, up to 25 mg</t>
  </si>
  <si>
    <t xml:space="preserve"> Injection, reteplase, 18.1 mg</t>
  </si>
  <si>
    <t xml:space="preserve"> Injection, streptokinase, per 250,000 iu</t>
  </si>
  <si>
    <t xml:space="preserve"> Injection, alteplase recombinant, 1 mg</t>
  </si>
  <si>
    <t xml:space="preserve"> Injection, plasminogen, human-tvmh, 1 mg</t>
  </si>
  <si>
    <t xml:space="preserve"> Injection, streptomycin, up to 1 gm</t>
  </si>
  <si>
    <t xml:space="preserve"> Injection, fentanyl citrate, 0.1 mg</t>
  </si>
  <si>
    <t xml:space="preserve"> Injection, sumatriptan succinate, 6 mg (code may be used for medicare when drug administered under the direct supervision of a physician, not for use when drug is self administered)</t>
  </si>
  <si>
    <t xml:space="preserve"> Injection, fremanezumab-vfrm, 1 mg (code may be used for medicare when drug administered under the direct supervision of a physician, not for use when drug is self-administered)</t>
  </si>
  <si>
    <t xml:space="preserve"> Injection, eptinezumab-jjmr, 1 mg</t>
  </si>
  <si>
    <t xml:space="preserve"> Injection, taliglucerase alfa, 10 units</t>
  </si>
  <si>
    <t xml:space="preserve"> Injection, pentazocine, 30 mg</t>
  </si>
  <si>
    <t xml:space="preserve"> Injection, tedizolid phosphate, 1 mg</t>
  </si>
  <si>
    <t xml:space="preserve"> Injection, telavancin, 10 mg</t>
  </si>
  <si>
    <t xml:space="preserve"> Injection, tenecteplase, 1 mg</t>
  </si>
  <si>
    <t xml:space="preserve"> Injection, terbutaline sulfate, up to 1 mg</t>
  </si>
  <si>
    <t xml:space="preserve"> Injection, teriparatide, 10 mcg</t>
  </si>
  <si>
    <t xml:space="preserve"> Injection, romosozumab-aqqg, 1 mg</t>
  </si>
  <si>
    <t xml:space="preserve"> Injection, testosterone enanthate, 1 mg</t>
  </si>
  <si>
    <t xml:space="preserve"> Injection, testosterone undecanoate, 1 mg</t>
  </si>
  <si>
    <t xml:space="preserve"> Injection, chlorpromazine hcl, up to 50 mg</t>
  </si>
  <si>
    <t xml:space="preserve"> Injection, thyrotropin alpha, 0.9 mg, provided in 1.1 mg vial</t>
  </si>
  <si>
    <t xml:space="preserve"> Injection, teprotumumab-trbw, 10 mg</t>
  </si>
  <si>
    <t xml:space="preserve"> Injection, tigecycline, 1 mg</t>
  </si>
  <si>
    <t xml:space="preserve"> Injection, tigecycline (accord), not therapeutically equivalent to j3243, 1 mg</t>
  </si>
  <si>
    <t xml:space="preserve"> Injection, tildrakizumab, 1 mg</t>
  </si>
  <si>
    <t xml:space="preserve"> Injection, tirofiban hcl, 0.25 mg</t>
  </si>
  <si>
    <t xml:space="preserve"> Injection, trimethobenzamide hcl, up to 200 mg</t>
  </si>
  <si>
    <t xml:space="preserve"> Injection, tobramycin sulfate, up to 80 mg</t>
  </si>
  <si>
    <t xml:space="preserve"> Injection, tocilizumab, 1 mg</t>
  </si>
  <si>
    <t xml:space="preserve"> Injection, torsemide, 10 mg/ml</t>
  </si>
  <si>
    <t xml:space="preserve"> Injection, thiethylperazine maleate, up to 10 mg</t>
  </si>
  <si>
    <t xml:space="preserve"> Injection, treprostinil, 1 mg</t>
  </si>
  <si>
    <t xml:space="preserve"> Injection, triamcinolone acetonide (xipere), 1 mg</t>
  </si>
  <si>
    <t xml:space="preserve"> Injection, triamcinolone acetonide, preservative free, 1 mg</t>
  </si>
  <si>
    <t xml:space="preserve"> Injection, triamcinolone acetonide, not otherwise specified, 10 mg</t>
  </si>
  <si>
    <t xml:space="preserve"> Injection, triamcinolone diacetate, per 5 mg</t>
  </si>
  <si>
    <t xml:space="preserve"> Injection, triamcinolone hexacetonide, per 5 mg</t>
  </si>
  <si>
    <t xml:space="preserve"> Injection, triamcinolone acetonide, preservative-free, extended-release, microsphere formulation, 1 mg</t>
  </si>
  <si>
    <t xml:space="preserve"> Injection, trimetrexate glucuronate, per 25 mg</t>
  </si>
  <si>
    <t xml:space="preserve"> Injection, perphenazine, up to 5 mg</t>
  </si>
  <si>
    <t xml:space="preserve"> Injection, triptorelin pamoate, 3.75 mg</t>
  </si>
  <si>
    <t xml:space="preserve"> Injection, triptorelin, extended-release, 3.75 mg</t>
  </si>
  <si>
    <t xml:space="preserve"> Injection, spectinomycin dihydrochloride, up to 2 gm</t>
  </si>
  <si>
    <t xml:space="preserve"> Injection, urea, up to 40 gm</t>
  </si>
  <si>
    <t xml:space="preserve"> Injection, urofollitropin, 75 iu</t>
  </si>
  <si>
    <t xml:space="preserve"> Ustekinumab, for subcutaneous injection, 1 mg</t>
  </si>
  <si>
    <t xml:space="preserve"> Ustekinumab, for intravenous injection, 1 mg</t>
  </si>
  <si>
    <t xml:space="preserve"> Injection, diazepam, up to 5 mg</t>
  </si>
  <si>
    <t xml:space="preserve"> Injection, urokinase, 5000 iu vial</t>
  </si>
  <si>
    <t xml:space="preserve"> Injection, iv, urokinase, 250,000 i.u. vial</t>
  </si>
  <si>
    <t xml:space="preserve"> Injection, vancomycin hcl, 500 mg</t>
  </si>
  <si>
    <t xml:space="preserve"> Injection, vancomycin hcl (mylan), not therapeutically equivalent to j3370, 500 mg</t>
  </si>
  <si>
    <t xml:space="preserve"> Injection, vancomycin hcl (xellia), not therapeutically equivalent to j3370, 500 mg</t>
  </si>
  <si>
    <t xml:space="preserve"> Injection, vedolizumab, intravenous, 1 mg</t>
  </si>
  <si>
    <t xml:space="preserve"> Injection, velaglucerase alfa, 100 units</t>
  </si>
  <si>
    <t xml:space="preserve"> Injection, verteporfin, 0.1 mg</t>
  </si>
  <si>
    <t xml:space="preserve"> Injection, vestronidase alfa-vjbk, 1 mg</t>
  </si>
  <si>
    <t xml:space="preserve"> Injection, voretigene neparvovec-rzyl, 1 billion vector genomes</t>
  </si>
  <si>
    <t xml:space="preserve"> Injection, triflupromazine hcl, up to 20 mg</t>
  </si>
  <si>
    <t xml:space="preserve"> Beremagene geperpavec-svdt for topical administration, containing nominal 5 x 10^9 pfu/ml vector genomes, per 0.1 ml</t>
  </si>
  <si>
    <t xml:space="preserve"> Injection, hydroxyzine hcl, up to 25 mg</t>
  </si>
  <si>
    <t xml:space="preserve"> Injection, thiamine hcl, 100 mg</t>
  </si>
  <si>
    <t xml:space="preserve"> Injection, pyridoxine hcl, 100 mg</t>
  </si>
  <si>
    <t xml:space="preserve"> Injection, vitamin b-12 cyanocobalamin, up to 1000 mcg</t>
  </si>
  <si>
    <t xml:space="preserve"> Injection, hydroxocobalamin, intramuscular, 10 mcg</t>
  </si>
  <si>
    <t xml:space="preserve"> Injection, phytonadione (vitamin k), per 1 mg</t>
  </si>
  <si>
    <t xml:space="preserve"> Injection, voriconazole, 10 mg</t>
  </si>
  <si>
    <t xml:space="preserve"> Injection, hyaluronidase, up to 150 units</t>
  </si>
  <si>
    <t xml:space="preserve"> Injection, hyaluronidase, ovine, preservative free, per 1 usp unit (up to 999 usp units)</t>
  </si>
  <si>
    <t xml:space="preserve"> Injection, hyaluronidase, ovine, preservative free, per 1000 usp units</t>
  </si>
  <si>
    <t xml:space="preserve"> Injection, hyaluronidase, recombinant, 1 usp unit</t>
  </si>
  <si>
    <t xml:space="preserve"> Injection, magnesium sulfate, per 500 mg</t>
  </si>
  <si>
    <t xml:space="preserve"> Injection, potassium chloride, per 2 meq</t>
  </si>
  <si>
    <t xml:space="preserve"> Injection, zidovudine, 10 mg</t>
  </si>
  <si>
    <t xml:space="preserve"> Injection, ziprasidone mesylate, 10 mg</t>
  </si>
  <si>
    <t xml:space="preserve"> Injection, zoledronic acid, 1 mg</t>
  </si>
  <si>
    <t xml:space="preserve"> Unclassified drugs</t>
  </si>
  <si>
    <t xml:space="preserve"> Nasal vaccine inhalation</t>
  </si>
  <si>
    <t xml:space="preserve"> Unclassified biologics</t>
  </si>
  <si>
    <t>INFUSION, NORMAL SALINE SOLUTION , 1000 CC</t>
  </si>
  <si>
    <t xml:space="preserve"> Infusion, normal saline solution, sterile (500 ml = 1 unit)</t>
  </si>
  <si>
    <t xml:space="preserve"> 5% dextrose/normal saline (500 ml = 1 unit)</t>
  </si>
  <si>
    <t xml:space="preserve"> Infusion, normal saline solution, 250 cc</t>
  </si>
  <si>
    <t xml:space="preserve"> 5% dextrose/water (500 ml = 1 unit)</t>
  </si>
  <si>
    <t xml:space="preserve"> Infusion, d5w, 1000 cc</t>
  </si>
  <si>
    <t xml:space="preserve"> Infusion, dextran 40, 500 ml</t>
  </si>
  <si>
    <t xml:space="preserve"> Infusion, dextran 75, 500 ml</t>
  </si>
  <si>
    <t xml:space="preserve"> Ringers lactate infusion, up to 1000 cc</t>
  </si>
  <si>
    <t xml:space="preserve"> 5% dextrose in lactated ringers infusion, up to 1000 cc</t>
  </si>
  <si>
    <t xml:space="preserve"> Hypertonic saline solution, 1 ml</t>
  </si>
  <si>
    <t xml:space="preserve"> Prothrombin complex concentrate (human), kcentra, per i.u. of factor ix activity</t>
  </si>
  <si>
    <t xml:space="preserve"> Injection, coagulation factor xa (recombinant), inactivated-zhzo (andexxa), 10 mg</t>
  </si>
  <si>
    <t xml:space="preserve"> Injection, emicizumab-kxwh, 0.5 mg</t>
  </si>
  <si>
    <t xml:space="preserve"> Injection, factor x, (human), 1 i.u.</t>
  </si>
  <si>
    <t xml:space="preserve"> Injection, human fibrinogen concentrate (fibryga), 1 mg</t>
  </si>
  <si>
    <t xml:space="preserve"> Injection, human fibrinogen concentrate, not otherwise specified, 1 mg</t>
  </si>
  <si>
    <t xml:space="preserve"> Injection, von willebrand factor (recombinant), (vonvendi), 1 i.u. vwf:rco</t>
  </si>
  <si>
    <t xml:space="preserve"> Injection, factor xiii (antihemophilic factor, human), 1 i.u.</t>
  </si>
  <si>
    <t xml:space="preserve"> Injection, factor xiii a-subunit, (recombinant), per iu</t>
  </si>
  <si>
    <t xml:space="preserve"> Injection, factor viii, (antihemophilic factor, recombinant), (novoeight), per iu</t>
  </si>
  <si>
    <t xml:space="preserve"> Injection, von willebrand factor complex (human), wilate, 1 i.u. vwf:rco</t>
  </si>
  <si>
    <t xml:space="preserve"> Injection, factor viii (antihemophilic factor, recombinant) (xyntha), per i.u.</t>
  </si>
  <si>
    <t xml:space="preserve"> Injection, antihemophilic factor viii/von willebrand factor complex (human), per factor viii i.u.</t>
  </si>
  <si>
    <t xml:space="preserve"> Injection, von willebrand factor complex (humate-p), per iu vwf:rco</t>
  </si>
  <si>
    <t xml:space="preserve"> Injection, factor viii (antihemophilic factor, recombinant), (obizur), per i.u.</t>
  </si>
  <si>
    <t xml:space="preserve"> Factor viia (antihemophilic factor, recombinant), (novoseven rt), 1 microgram</t>
  </si>
  <si>
    <t xml:space="preserve"> Factor viii (antihemophilic factor, human) per i.u.</t>
  </si>
  <si>
    <t xml:space="preserve"> Factor viii (antihemophilic factor (porcine)), per i.u.</t>
  </si>
  <si>
    <t xml:space="preserve"> Factor viii (antihemophilic factor, recombinant) per i.u., not otherwise specified</t>
  </si>
  <si>
    <t xml:space="preserve"> Factor ix (antihemophilic factor, purified, non-recombinant) per i.u.</t>
  </si>
  <si>
    <t xml:space="preserve"> Factor ix, complex, per i.u.</t>
  </si>
  <si>
    <t xml:space="preserve"> Injection, factor ix (antihemophilic factor, recombinant) per iu, not otherwise specified</t>
  </si>
  <si>
    <t xml:space="preserve"> Injection, antithrombin recombinant, 50 i.u.</t>
  </si>
  <si>
    <t xml:space="preserve"> Antithrombin iii (human), per i.u.</t>
  </si>
  <si>
    <t xml:space="preserve"> Anti-inhibitor, per i.u.</t>
  </si>
  <si>
    <t xml:space="preserve"> Injection, factor ix, (antihemophilic factor, recombinant), rixubis, per iu</t>
  </si>
  <si>
    <t xml:space="preserve"> Injection, factor ix, fc fusion protein, (recombinant), alprolix, 1 i.u.</t>
  </si>
  <si>
    <t xml:space="preserve"> Injection, factor ix, albumin fusion protein, (recombinant), idelvion, 1 i.u.</t>
  </si>
  <si>
    <t xml:space="preserve"> Injection factor ix, (antihemophilic factor, recombinant), glycopegylated, (rebinyn), 1 iu</t>
  </si>
  <si>
    <t xml:space="preserve"> Injection, factor viii, antihemophilic factor (recombinant), (esperoct), glycopegylated-exei, per iu</t>
  </si>
  <si>
    <t xml:space="preserve"> Injection, factor viii fc fusion protein (recombinant), per iu</t>
  </si>
  <si>
    <t xml:space="preserve"> Injection, factor viii, (antihemophilic factor, recombinant), pegylated, 1 i.u.</t>
  </si>
  <si>
    <t xml:space="preserve"> Injection, factor viii, (antihemophilic factor, recombinant), pegylated-aucl, (jivi), 1 i.u.</t>
  </si>
  <si>
    <t xml:space="preserve"> Injection, factor viii, (antihemophilic factor, recombinant), (nuwiq), 1 i.u.</t>
  </si>
  <si>
    <t xml:space="preserve"> Injection, factor viii, (antihemophilic factor, recombinant), (afstyla), 1 i.u.</t>
  </si>
  <si>
    <t xml:space="preserve"> Injection, factor viii, (antihemophilic factor, recombinant), (kovaltry), 1 i.u.</t>
  </si>
  <si>
    <t xml:space="preserve"> Factor viia (antihemophilic factor, recombinant)-jncw (sevenfact), 1 microgram</t>
  </si>
  <si>
    <t xml:space="preserve"> Injection, coagulation factor ix (recombinant), ixinity, 1 i.u.</t>
  </si>
  <si>
    <t xml:space="preserve"> Injection, factor viii/von willebrand factor complex, recombinant (altuviiio), per factor viii i.u.</t>
  </si>
  <si>
    <t xml:space="preserve"> Aminolevulinic acid hcl for topical administration, 20%, single unit dosage form (354 mg)</t>
  </si>
  <si>
    <t xml:space="preserve"> Methyl aminolevulinate (mal) for topical administration, 16.8%, 1 gram</t>
  </si>
  <si>
    <t xml:space="preserve"> Ganciclovir, 4.5 mg, long-acting implant</t>
  </si>
  <si>
    <t xml:space="preserve"> Injection, fluocinolone acetonide, intravitreal implant (retisert), 0.01 mg</t>
  </si>
  <si>
    <t xml:space="preserve"> Injection, dexamethasone, intravitreal implant, 0.1 mg</t>
  </si>
  <si>
    <t xml:space="preserve"> Injection, fluocinolone acetonide, intravitreal implant (iluvien), 0.01 mg</t>
  </si>
  <si>
    <t xml:space="preserve"> Injection, fluocinolone acetonide, intravitreal implant (yutiq), 0.01 mg</t>
  </si>
  <si>
    <t xml:space="preserve"> Mitomycin, ophthalmic, 0.2 mg</t>
  </si>
  <si>
    <t xml:space="preserve"> Injection, ocriplasmin, 0.125 mg</t>
  </si>
  <si>
    <t xml:space="preserve"> Hyaluronan or derivative, durolane, for intra-articular injection, 1 mg</t>
  </si>
  <si>
    <t xml:space="preserve"> Hyaluronan or derivitive, genvisc 850, for intra-articular injection, 1 mg</t>
  </si>
  <si>
    <t xml:space="preserve"> Hyaluronan or derivative, hyalgan, supartz or visco-3, for intra-articular injection, per dose</t>
  </si>
  <si>
    <t xml:space="preserve"> Hyaluronan or derivative, hymovis, for intra-articular injection, 1 mg</t>
  </si>
  <si>
    <t xml:space="preserve"> Hyaluronan or derivative, euflexxa, for intra-articular injection, per dose</t>
  </si>
  <si>
    <t xml:space="preserve"> Hyaluronan or derivative, orthovisc, for intra-articular injection, per dose</t>
  </si>
  <si>
    <t xml:space="preserve"> Hyaluronan or derivative, synvisc or synvisc-one, for intra-articular injection, 1 mg</t>
  </si>
  <si>
    <t xml:space="preserve"> Hyaluronan or derivative, gel-one, for intra-articular injection, per dose</t>
  </si>
  <si>
    <t xml:space="preserve"> Hyaluronan or derivative, monovisc, for intra-articular injection, per dose</t>
  </si>
  <si>
    <t xml:space="preserve"> Hyaluronan or derivative, gelsyn-3, for intra-articular injection, 0.1 mg</t>
  </si>
  <si>
    <t xml:space="preserve"> Hyaluronan or derivative, trivisc, for intra-articular injection, 1 mg</t>
  </si>
  <si>
    <t xml:space="preserve"> Hyaluronan or derivative, synojoynt, for intra-articular injection, 1 mg</t>
  </si>
  <si>
    <t xml:space="preserve"> Hyaluronan or derivative, triluron, for intra-articular injection, 1 mg</t>
  </si>
  <si>
    <t xml:space="preserve"> Capsaicin 8% patch, per square centimeter</t>
  </si>
  <si>
    <t xml:space="preserve"> Carbidopa 5 mg/levodopa 20 mg enteral suspension, 100 ml</t>
  </si>
  <si>
    <t xml:space="preserve"> Instillation, ciprofloxacin otic suspension, 6 mg</t>
  </si>
  <si>
    <t xml:space="preserve"> Aminolevulinic acid hcl for topical administration, 10% gel, 10 mg</t>
  </si>
  <si>
    <t xml:space="preserve"> Injection, bimatoprost, intracameral implant, 1 microgram</t>
  </si>
  <si>
    <t xml:space="preserve"> Afamelanotide implant, 1 mg</t>
  </si>
  <si>
    <t xml:space="preserve"> Anacaulase-bcdb, 8.8% gel, 1 gram</t>
  </si>
  <si>
    <t xml:space="preserve"> Mometasone furoate sinus implant, (sinuva), 10 micrograms</t>
  </si>
  <si>
    <t xml:space="preserve"> Azathioprine, oral, 50 mg</t>
  </si>
  <si>
    <t xml:space="preserve"> Azathioprine, parenteral, 100 mg</t>
  </si>
  <si>
    <t xml:space="preserve"> Cyclosporine, oral, 100 mg</t>
  </si>
  <si>
    <t xml:space="preserve"> Tacrolimus, extended release, (envarsus xr), oral, 0.25 mg</t>
  </si>
  <si>
    <t xml:space="preserve"> Lymphocyte immune globulin, antithymocyte globulin, equine, parenteral, 250 mg</t>
  </si>
  <si>
    <t xml:space="preserve"> Muromonab-cd3, parenteral, 5 mg</t>
  </si>
  <si>
    <t xml:space="preserve"> Tacrolimus, immediate release, oral, 1 mg</t>
  </si>
  <si>
    <t xml:space="preserve"> Tacrolimus, extended release, (astagraf xl), oral, 0.1 mg</t>
  </si>
  <si>
    <t xml:space="preserve"> Methylprednisolone oral, per 4 mg</t>
  </si>
  <si>
    <t xml:space="preserve"> Prednisolone oral, per 5 mg</t>
  </si>
  <si>
    <t xml:space="preserve"> Lymphocyte immune globulin, antithymocyte globulin, rabbit, parenteral, 25 mg</t>
  </si>
  <si>
    <t xml:space="preserve"> Prednisone, immediate release or delayed release, oral, 1 mg</t>
  </si>
  <si>
    <t xml:space="preserve"> Daclizumab, parenteral, 25 mg</t>
  </si>
  <si>
    <t xml:space="preserve"> Cyclosporine, oral, 25 mg</t>
  </si>
  <si>
    <t xml:space="preserve"> Injection, cyclosporine, 250 mg</t>
  </si>
  <si>
    <t xml:space="preserve"> Mycophenolate mofetil, oral, 250 mg</t>
  </si>
  <si>
    <t xml:space="preserve"> Mycophenolic acid, oral, 180 mg</t>
  </si>
  <si>
    <t xml:space="preserve"> Injection, mycophenolate mofetil, 10 mg</t>
  </si>
  <si>
    <t xml:space="preserve"> Sirolimus, oral, 1 mg</t>
  </si>
  <si>
    <t xml:space="preserve"> Tacrolimus, parenteral, 5 mg</t>
  </si>
  <si>
    <t xml:space="preserve"> Everolimus, oral, 0.25 mg</t>
  </si>
  <si>
    <t xml:space="preserve"> Immunosuppressive drug, not otherwise classified</t>
  </si>
  <si>
    <t xml:space="preserve"> Albuterol, inhalation solution, fda-approved final product, non-compounded, administered through dme, concentrated form, 1 mg</t>
  </si>
  <si>
    <t xml:space="preserve"> Levalbuterol, inhalation solution, fda-approved final product, non-compounded, administered through dme, concentrated form, 0.5 mg</t>
  </si>
  <si>
    <t xml:space="preserve"> Albuterol, inhalation solution, fda-approved final product, non-compounded, administered through dme, unit dose, 1 mg</t>
  </si>
  <si>
    <t xml:space="preserve"> Levalbuterol, inhalation solution, fda-approved final product, non-compounded, administered through dme, unit dose, 0.5 mg</t>
  </si>
  <si>
    <t xml:space="preserve"> Mannitol, administered through an inhaler, 5 mg</t>
  </si>
  <si>
    <t xml:space="preserve"> Methacholine chloride administered as inhalation solution through a nebulizer, per 1 mg</t>
  </si>
  <si>
    <t xml:space="preserve"> Noc drugs, other than inhalation drugs, administered through dme</t>
  </si>
  <si>
    <t xml:space="preserve"> Compounded drug, not otherwise classified</t>
  </si>
  <si>
    <t xml:space="preserve"> Aprepitant, oral, 5 mg</t>
  </si>
  <si>
    <t xml:space="preserve"> Busulfan; oral, 2 mg</t>
  </si>
  <si>
    <t xml:space="preserve"> Capecitabine, oral, 150 mg</t>
  </si>
  <si>
    <t xml:space="preserve"> Capecitabine, oral, 500 mg</t>
  </si>
  <si>
    <t xml:space="preserve"> Cyclophosphamide; oral, 25 mg</t>
  </si>
  <si>
    <t xml:space="preserve"> Dexamethasone, oral, 0.25 mg</t>
  </si>
  <si>
    <t xml:space="preserve"> Etoposide; oral, 50 mg</t>
  </si>
  <si>
    <t xml:space="preserve"> Fludarabine phosphate, oral, 10 mg</t>
  </si>
  <si>
    <t xml:space="preserve"> Gefitinib, oral, 250 mg</t>
  </si>
  <si>
    <t xml:space="preserve"> Antiemetic drug, oral, not otherwise specified</t>
  </si>
  <si>
    <t xml:space="preserve"> Melphalan; oral, 2 mg</t>
  </si>
  <si>
    <t xml:space="preserve"> Methotrexate; oral, 2.5 mg</t>
  </si>
  <si>
    <t xml:space="preserve"> Nabilone, oral, 1 mg</t>
  </si>
  <si>
    <t xml:space="preserve"> Netupitant 300 mg and palonosetron 0.5 mg, oral</t>
  </si>
  <si>
    <t xml:space="preserve"> Rolapitant, oral, 1 mg</t>
  </si>
  <si>
    <t xml:space="preserve"> Temozolomide, oral, 5 mg</t>
  </si>
  <si>
    <t xml:space="preserve"> Topotecan, oral, 0.25 mg</t>
  </si>
  <si>
    <t xml:space="preserve"> Injection, doxorubicin hydrochloride, 10 mg</t>
  </si>
  <si>
    <t xml:space="preserve"> Injection, aldesleukin, per single use vial</t>
  </si>
  <si>
    <t xml:space="preserve"> Injection, arsenic trioxide, 1 mg</t>
  </si>
  <si>
    <t xml:space="preserve"> Injection, asparaginase (erwinaze), 1,000 iu</t>
  </si>
  <si>
    <t xml:space="preserve"> Injection, asparaginase, not otherwise specified, 10,000 units</t>
  </si>
  <si>
    <t xml:space="preserve"> Injection, asparaginase, recombinant, (rylaze), 0.1 mg</t>
  </si>
  <si>
    <t xml:space="preserve"> Injection, atezolizumab, 10 mg</t>
  </si>
  <si>
    <t xml:space="preserve"> Injection, avelumab, 10 mg</t>
  </si>
  <si>
    <t xml:space="preserve"> Injection, azacitidine, 1 mg</t>
  </si>
  <si>
    <t xml:space="preserve"> Injection, clofarabine, 1 mg</t>
  </si>
  <si>
    <t xml:space="preserve"> Intravesical instillation, nadofaragene firadenovec-vncg, per therapeutic dose</t>
  </si>
  <si>
    <t xml:space="preserve"> Bcg live intravesical instillation, 1 mg</t>
  </si>
  <si>
    <t xml:space="preserve"> Injection, belinostat, 10 mg</t>
  </si>
  <si>
    <t xml:space="preserve"> Injection, bendamustine hcl (treanda), 1 mg</t>
  </si>
  <si>
    <t xml:space="preserve"> Injection, bendamustine hcl (bendeka), 1 mg</t>
  </si>
  <si>
    <t xml:space="preserve"> Injection, bevacizumab, 10 mg</t>
  </si>
  <si>
    <t xml:space="preserve"> Injection, bendamustine hydrochloride, (belrapzo/bendamustine), 1 mg</t>
  </si>
  <si>
    <t xml:space="preserve"> Injection, belantamab mafodotin-blmf, 0.5 mg</t>
  </si>
  <si>
    <t xml:space="preserve"> Injection, blinatumomab, 1 microgram</t>
  </si>
  <si>
    <t xml:space="preserve"> Injection, bleomycin sulfate, 15 units</t>
  </si>
  <si>
    <t xml:space="preserve"> Injection, bortezomib, 0.1 mg</t>
  </si>
  <si>
    <t xml:space="preserve"> Injection, brentuximab vedotin, 1 mg</t>
  </si>
  <si>
    <t xml:space="preserve"> Injection, cabazitaxel, 1 mg</t>
  </si>
  <si>
    <t xml:space="preserve"> Injection, carboplatin, 50 mg</t>
  </si>
  <si>
    <t xml:space="preserve"> Injection, bortezomib (dr. reddy's), not therapeutically equivalent to j9041, 0.1 mg</t>
  </si>
  <si>
    <t xml:space="preserve"> Injection, carfilzomib, 1 mg</t>
  </si>
  <si>
    <t xml:space="preserve"> Injection, bortezomib (fresenius kabi), not therapeutically equivalent to j9041, 0.1 mg</t>
  </si>
  <si>
    <t xml:space="preserve"> Injection, bortezomib (hospira), not therapeutically equivalent to j9041, 0.1 mg</t>
  </si>
  <si>
    <t xml:space="preserve"> Injection, carmustine, 100 mg</t>
  </si>
  <si>
    <t xml:space="preserve"> Injection, bortezomib (maia), not therapeutically equivalent to j9041, 0.1 mg</t>
  </si>
  <si>
    <t xml:space="preserve"> Injection, carmustine (accord), not therapeutically equivalent to j9050, 100 mg</t>
  </si>
  <si>
    <t xml:space="preserve"> Injection, cetuximab, 10 mg</t>
  </si>
  <si>
    <t xml:space="preserve"> Injection, bendamustine hydrochloride (vivimusta), 1 mg</t>
  </si>
  <si>
    <t xml:space="preserve"> Injection, copanlisib, 1 mg</t>
  </si>
  <si>
    <t xml:space="preserve"> Injection, bendamustine hydrochloride (apotex), 1 mg</t>
  </si>
  <si>
    <t xml:space="preserve"> Injection, bendamustine hydrochloride (baxter), 1 mg</t>
  </si>
  <si>
    <t xml:space="preserve"> Injection, cisplatin, powder or solution, 10 mg</t>
  </si>
  <si>
    <t xml:space="preserve"> Injection, amivantamab-vmjw, 2 mg</t>
  </si>
  <si>
    <t xml:space="preserve"> Injection, mirvetuximab soravtansine-gynx, 1 mg</t>
  </si>
  <si>
    <t xml:space="preserve"> Injection, cabazitaxel (sandoz), not therapeutically equivalent to j9043, 1 mg</t>
  </si>
  <si>
    <t xml:space="preserve"> Injection, cladribine, per 1 mg</t>
  </si>
  <si>
    <t>CYCLOPHOSPHAMIDE, 100 MG</t>
  </si>
  <si>
    <t xml:space="preserve"> Injection, cyclophosphamide (auromedics), 5 mg</t>
  </si>
  <si>
    <t xml:space="preserve"> Injection, cyclophosphamide (dr. reddy's), 5 mg</t>
  </si>
  <si>
    <t xml:space="preserve"> Injection, cytarabine liposome, 10 mg</t>
  </si>
  <si>
    <t xml:space="preserve"> Injection, cytarabine, 100 mg</t>
  </si>
  <si>
    <t xml:space="preserve"> Injection, calaspargase pegol-mknl, 10 units</t>
  </si>
  <si>
    <t xml:space="preserve"> Injection, cemiplimab-rwlc, 1 mg</t>
  </si>
  <si>
    <t xml:space="preserve"> Injection, dactinomycin, 0.5 mg</t>
  </si>
  <si>
    <t xml:space="preserve"> Dacarbazine, 100 mg</t>
  </si>
  <si>
    <t xml:space="preserve"> Injection, daratumumab, 10 mg and hyaluronidase-fihj</t>
  </si>
  <si>
    <t xml:space="preserve"> Injection, daratumumab, 10 mg</t>
  </si>
  <si>
    <t xml:space="preserve"> Injection, daunorubicin, 10 mg</t>
  </si>
  <si>
    <t xml:space="preserve"> Injection, daunorubicin citrate, liposomal formulation, 10 mg</t>
  </si>
  <si>
    <t xml:space="preserve"> Injection, liposomal, 1 mg daunorubicin and 2.27 mg cytarabine</t>
  </si>
  <si>
    <t xml:space="preserve"> Injection, degarelix, 1 mg</t>
  </si>
  <si>
    <t xml:space="preserve"> Injection, diethylstilbestrol diphosphate, 250 mg</t>
  </si>
  <si>
    <t xml:space="preserve"> Injection, docetaxel, 1 mg</t>
  </si>
  <si>
    <t xml:space="preserve"> Injection, docetaxel (ingenus), not therapeutically equivalent to j9171, 1 mg</t>
  </si>
  <si>
    <t xml:space="preserve"> Injection, durvalumab, 10 mg</t>
  </si>
  <si>
    <t xml:space="preserve"> Injection, elliotts' b solution, 1 ml</t>
  </si>
  <si>
    <t xml:space="preserve"> Injection, elotuzumab, 1 mg</t>
  </si>
  <si>
    <t xml:space="preserve"> Injection, enfortumab vedotin-ejfv, 0.25 mg</t>
  </si>
  <si>
    <t xml:space="preserve"> Injection, epirubicin hcl, 2 mg</t>
  </si>
  <si>
    <t xml:space="preserve"> Injection, eribulin mesylate, 0.1 mg</t>
  </si>
  <si>
    <t xml:space="preserve"> Injection, etoposide, 10 mg</t>
  </si>
  <si>
    <t xml:space="preserve"> Injection, fludarabine phosphate, 50 mg</t>
  </si>
  <si>
    <t xml:space="preserve"> Injection, fluorouracil, 500 mg</t>
  </si>
  <si>
    <t xml:space="preserve"> Injection, gemcitabine hydrochloride (accord), not therapeutically equivalent to j9201, 200 mg</t>
  </si>
  <si>
    <t xml:space="preserve"> Injection, gemcitabine hydrochloride, (infugem), 100 mg</t>
  </si>
  <si>
    <t xml:space="preserve"> Injection, floxuridine, 500 mg</t>
  </si>
  <si>
    <t xml:space="preserve"> Injection, gemcitabine hydrochloride, not otherwise specified, 200 mg</t>
  </si>
  <si>
    <t xml:space="preserve"> Goserelin acetate implant, per 3.6 mg</t>
  </si>
  <si>
    <t xml:space="preserve"> Injection, gemtuzumab ozogamicin, 0.1 mg</t>
  </si>
  <si>
    <t xml:space="preserve"> Injection, mogamulizumab-kpkc, 1 mg</t>
  </si>
  <si>
    <t xml:space="preserve"> Injection, irinotecan liposome, 1 mg</t>
  </si>
  <si>
    <t xml:space="preserve"> Injection, irinotecan, 20 mg</t>
  </si>
  <si>
    <t xml:space="preserve"> Injection, ixabepilone, 1 mg</t>
  </si>
  <si>
    <t xml:space="preserve"> Injection, ifosfamide, 1 gram</t>
  </si>
  <si>
    <t xml:space="preserve"> Injection, mesna, 200 mg</t>
  </si>
  <si>
    <t xml:space="preserve"> Injection, emapalumab-lzsg, 1 mg</t>
  </si>
  <si>
    <t xml:space="preserve"> Injection, idarubicin hydrochloride, 5 mg</t>
  </si>
  <si>
    <t xml:space="preserve"> Injection, interferon alfacon-1, recombinant, 1 microgram</t>
  </si>
  <si>
    <t xml:space="preserve"> Injection, interferon, alfa-2a, recombinant, 3 million units</t>
  </si>
  <si>
    <t xml:space="preserve"> Injection, interferon, alfa-2b, recombinant, 1 million units</t>
  </si>
  <si>
    <t xml:space="preserve"> Injection, interferon, alfa-n3, (human leukocyte derived), 250,000 iu</t>
  </si>
  <si>
    <t xml:space="preserve"> Injection, interferon, gamma 1-b, 3 million units</t>
  </si>
  <si>
    <t xml:space="preserve"> Leuprolide acetate (for depot suspension), 7.5 mg</t>
  </si>
  <si>
    <t xml:space="preserve"> Leuprolide acetate, per 1 mg</t>
  </si>
  <si>
    <t xml:space="preserve"> Leuprolide acetate implant, 65 mg</t>
  </si>
  <si>
    <t xml:space="preserve"> Injection, lurbinectedin, 0.1 mg</t>
  </si>
  <si>
    <t xml:space="preserve"> Histrelin implant (vantas), 50 mg</t>
  </si>
  <si>
    <t xml:space="preserve"> Histrelin implant (supprelin la), 50 mg</t>
  </si>
  <si>
    <t xml:space="preserve"> Injection, isatuximab-irfc, 10 mg</t>
  </si>
  <si>
    <t xml:space="preserve"> Injection, ipilimumab, 1 mg</t>
  </si>
  <si>
    <t xml:space="preserve"> Injection, inotuzumab ozogamicin, 0.1 mg</t>
  </si>
  <si>
    <t xml:space="preserve"> Injection, mechlorethamine hydrochloride, (nitrogen mustard), 10 mg</t>
  </si>
  <si>
    <t xml:space="preserve"> Injection, melphalan hydrochloride, not otherwise specified, 50 mg</t>
  </si>
  <si>
    <t xml:space="preserve"> Injection, melphalan (evomela), 1 mg</t>
  </si>
  <si>
    <t xml:space="preserve"> Injection, melphalan flufenamide, 1mg</t>
  </si>
  <si>
    <t xml:space="preserve"> Injection, methotrexate (accord), not therapeutically equivalent to j9260, 50 mg</t>
  </si>
  <si>
    <t xml:space="preserve"> Injection, paclitaxel protein-bound particles (teva), not therapeutically equivalent to j9264, 1 mg</t>
  </si>
  <si>
    <t xml:space="preserve"> Injection, paclitaxel protein-bound particles (american regent), not therapeutically equivalent to j9264, 1 mg</t>
  </si>
  <si>
    <t xml:space="preserve"> Injection, methotrexate sodium, 50 mg</t>
  </si>
  <si>
    <t xml:space="preserve"> Injection, nelarabine, 50 mg</t>
  </si>
  <si>
    <t xml:space="preserve"> Injection, omacetaxine mepesuccinate, 0.01 mg</t>
  </si>
  <si>
    <t xml:space="preserve"> Injection, oxaliplatin, 0.5 mg</t>
  </si>
  <si>
    <t xml:space="preserve"> Injection, paclitaxel protein-bound particles, 1 mg</t>
  </si>
  <si>
    <t xml:space="preserve"> Injection, pegaspargase, per single dose vial</t>
  </si>
  <si>
    <t xml:space="preserve"> Injection, paclitaxel, 1 mg</t>
  </si>
  <si>
    <t xml:space="preserve"> Injection, pentostatin, 10 mg</t>
  </si>
  <si>
    <t xml:space="preserve"> Injection, tagraxofusp-erzs, 10 micrograms</t>
  </si>
  <si>
    <t xml:space="preserve"> Injection, plicamycin, 2.5 mg</t>
  </si>
  <si>
    <t xml:space="preserve"> Injection, pembrolizumab, 1 mg</t>
  </si>
  <si>
    <t xml:space="preserve"> Injection, dostarlimab-gxly, 10 mg</t>
  </si>
  <si>
    <t xml:space="preserve"> Injection, tisotumab vedotin-tftv, 1 mg</t>
  </si>
  <si>
    <t xml:space="preserve"> Injection, tebentafusp-tebn, 1 microgram</t>
  </si>
  <si>
    <t xml:space="preserve"> Injection, mitomycin, 5 mg</t>
  </si>
  <si>
    <t xml:space="preserve"> Mitomycin pyelocalyceal instillation, 1 mg</t>
  </si>
  <si>
    <t xml:space="preserve"> Injection, olaratumab, 10 mg</t>
  </si>
  <si>
    <t xml:space="preserve"> Injection, glofitamab-gxbm, 2.5 mg</t>
  </si>
  <si>
    <t xml:space="preserve"> Injection, mitoxantrone hydrochloride, per 5 mg</t>
  </si>
  <si>
    <t xml:space="preserve"> Injection, pemetrexed (hospira), not therapeutically equivalent to j9305, 10 mg</t>
  </si>
  <si>
    <t xml:space="preserve"> Injection, necitumumab, 1 mg</t>
  </si>
  <si>
    <t xml:space="preserve"> Injection, pemetrexed (accord), not therapeutically equivalent to j9305, 10 mg</t>
  </si>
  <si>
    <t xml:space="preserve"> Injection, pemetrexed (sandoz), not therapeutically equivalent to j9305, 10 mg</t>
  </si>
  <si>
    <t xml:space="preserve"> Injection, nivolumab and relatlimab-rmbw, 3 mg/1 mg</t>
  </si>
  <si>
    <t xml:space="preserve"> Injection, nivolumab, 1 mg</t>
  </si>
  <si>
    <t xml:space="preserve"> Injection, obinutuzumab, 10 mg</t>
  </si>
  <si>
    <t xml:space="preserve"> Injection, ofatumumab, 10 mg</t>
  </si>
  <si>
    <t xml:space="preserve"> Injection, panitumumab, 10 mg</t>
  </si>
  <si>
    <t xml:space="preserve"> Injection, pemetrexed (pemfexy), 10 mg</t>
  </si>
  <si>
    <t xml:space="preserve"> Injection, pemetrexed, not otherwise specified, 10 mg</t>
  </si>
  <si>
    <t xml:space="preserve"> Injection, pertuzumab, 1 mg</t>
  </si>
  <si>
    <t xml:space="preserve"> Injection, pralatrexate, 1 mg</t>
  </si>
  <si>
    <t xml:space="preserve"> Injection, ramucirumab, 5 mg</t>
  </si>
  <si>
    <t xml:space="preserve"> Injection, polatuzumab vedotin-piiq, 1 mg</t>
  </si>
  <si>
    <t xml:space="preserve"> Injection, rituximab 10 mg and hyaluronidase</t>
  </si>
  <si>
    <t xml:space="preserve"> Injection, rituximab, 10 mg</t>
  </si>
  <si>
    <t xml:space="preserve"> Injection, moxetumomab pasudotox-tdfk, 0.01 mg</t>
  </si>
  <si>
    <t xml:space="preserve"> Injection, pemetrexed (teva), not therapeutically equivalent to j9305, 10 mg</t>
  </si>
  <si>
    <t xml:space="preserve"> Injection, pertuzumab, trastuzumab, and hyaluronidase-zzxf, per 10 mg</t>
  </si>
  <si>
    <t xml:space="preserve"> Injection, sacituzumab govitecan-hziy, 2.5 mg</t>
  </si>
  <si>
    <t xml:space="preserve"> Injection, romidepsin, non-lyophilized, 0.1 mg</t>
  </si>
  <si>
    <t xml:space="preserve"> Injection, romidepsin, lyophilized, 0.1 mg</t>
  </si>
  <si>
    <t xml:space="preserve"> Injection, streptozocin, 1 gram</t>
  </si>
  <si>
    <t xml:space="preserve"> Injection, epcoritamab-bysp, 0.16 mg</t>
  </si>
  <si>
    <t xml:space="preserve"> Injection, pemetrexed (bluepoint), not therapeutically equivalent to j9305, 10 mg</t>
  </si>
  <si>
    <t xml:space="preserve"> Injection, pemetrexed ditromethamine, 10 mg</t>
  </si>
  <si>
    <t xml:space="preserve"> Injection, pemetrexed (pemrydi rtu), 10 mg</t>
  </si>
  <si>
    <t xml:space="preserve"> Injection, talimogene laherparepvec, per 1 million plaque forming units</t>
  </si>
  <si>
    <t xml:space="preserve"> Injection, temozolomide, 1 mg</t>
  </si>
  <si>
    <t xml:space="preserve"> Injection, temsirolimus, 1 mg</t>
  </si>
  <si>
    <t xml:space="preserve"> Injection, sirolimus protein-bound particles, 1 mg</t>
  </si>
  <si>
    <t xml:space="preserve"> Injection, efgartigimod alfa-fcab, 2mg</t>
  </si>
  <si>
    <t xml:space="preserve"> Injection, rozanolixizumab-noli, 1 mg</t>
  </si>
  <si>
    <t xml:space="preserve"> Injection, efgartigimod alfa, 2 mg and hyaluronidase-qvfc</t>
  </si>
  <si>
    <t xml:space="preserve"> Injection, thiotepa, 15 mg</t>
  </si>
  <si>
    <t xml:space="preserve"> Injection, retifanlimab-dlwr, 1 mg</t>
  </si>
  <si>
    <t xml:space="preserve"> Injection, tremelimumab-actl, 1 mg</t>
  </si>
  <si>
    <t xml:space="preserve"> Injection, naxitamab-gqgk, 1 mg</t>
  </si>
  <si>
    <t xml:space="preserve"> Injection, tafasitamab-cxix, 2 mg</t>
  </si>
  <si>
    <t xml:space="preserve"> Injection, mosunetuzumab-axgb, 1 mg</t>
  </si>
  <si>
    <t xml:space="preserve"> Injection, topotecan, 0.1 mg</t>
  </si>
  <si>
    <t xml:space="preserve"> Injection, trabectedin, 0.1 mg</t>
  </si>
  <si>
    <t xml:space="preserve"> Injection, margetuximab-cmkb, 5 mg</t>
  </si>
  <si>
    <t xml:space="preserve"> Injection, ado-trastuzumab emtansine, 1 mg</t>
  </si>
  <si>
    <t xml:space="preserve"> Injection, trastuzumab, excludes biosimilar, 10 mg</t>
  </si>
  <si>
    <t xml:space="preserve"> Injection, trastuzumab, 10 mg and hyaluronidase-oysk</t>
  </si>
  <si>
    <t xml:space="preserve"> Injection, valrubicin, intravesical, 200 mg</t>
  </si>
  <si>
    <t xml:space="preserve"> Injection, fam-trastuzumab deruxtecan-nxki, 1 mg</t>
  </si>
  <si>
    <t xml:space="preserve"> Injection, loncastuximab tesirine-lpyl, 0.075 mg</t>
  </si>
  <si>
    <t xml:space="preserve"> Injection, vinblastine sulfate, 1 mg</t>
  </si>
  <si>
    <t xml:space="preserve"> Vincristine sulfate, 1 mg</t>
  </si>
  <si>
    <t>INJECTION, VINCRISTINE SULFATE LIPOSOME, 1 MG</t>
  </si>
  <si>
    <t xml:space="preserve"> Injection, teclistamab-cqyv, 0.5 mg</t>
  </si>
  <si>
    <t xml:space="preserve"> Injection, teplizumab-mzwv, 5 mcg</t>
  </si>
  <si>
    <t xml:space="preserve"> Injection, vinorelbine tartrate, 10 mg</t>
  </si>
  <si>
    <t xml:space="preserve"> Injection, fulvestrant (teva), not therapeutically equivalent to j9395, 25 mg</t>
  </si>
  <si>
    <t xml:space="preserve"> Injection, fulvestrant (fresenius kabi) not therapeutically equivalent to j9395, 25 mg</t>
  </si>
  <si>
    <t xml:space="preserve"> Injection, fulvestrant, 25 mg</t>
  </si>
  <si>
    <t xml:space="preserve"> Injection, ziv-aflibercept, 1 mg</t>
  </si>
  <si>
    <t xml:space="preserve"> Injection, porfimer sodium, 75 mg</t>
  </si>
  <si>
    <t xml:space="preserve"> Not otherwise classified, antineoplastic drugs</t>
  </si>
  <si>
    <t xml:space="preserve"> Replacement battery for external infusion pump owned by patient, silver oxide, 1.5 volt, each</t>
  </si>
  <si>
    <t xml:space="preserve"> Replacement battery for external infusion pump owned by patient, silver oxide, 3 volt, each</t>
  </si>
  <si>
    <t xml:space="preserve"> Replacement battery for external infusion pump owned by patient, alkaline, 1.5 volt, each</t>
  </si>
  <si>
    <t xml:space="preserve"> Replacement battery for external infusion pump owned by patient, lithium, 3.6 volt, each</t>
  </si>
  <si>
    <t xml:space="preserve"> Replacement battery for external infusion pump owned by patient, lithium, 4.5 volt, each</t>
  </si>
  <si>
    <t xml:space="preserve"> Replacement battery for automated external defibrillator, garment type only, each</t>
  </si>
  <si>
    <t xml:space="preserve"> Replacement garment for use with automated external defibrillator, each</t>
  </si>
  <si>
    <t xml:space="preserve"> Replacement electrodes for use with automated external defibrillator, garment type only, each</t>
  </si>
  <si>
    <t xml:space="preserve"> Addition to halo procedure, replacement liner/interface material</t>
  </si>
  <si>
    <t xml:space="preserve"> Cervical thoracic lumbar sacral orthosis, immobilizer, infant size, prefabricated, includes fitting and adjustment</t>
  </si>
  <si>
    <t xml:space="preserve"> Foot, insert/plate, removable, addition to lower extremity orthosis, high strength, lightweight material, all hybrid lamination/prepreg composite, each</t>
  </si>
  <si>
    <t xml:space="preserve"> Implantable breast prosthesis, silicone or equal</t>
  </si>
  <si>
    <t xml:space="preserve"> Injectable bulking agent, collagen implant, urinary tract, 2.5 ml syringe, includes shipping and necessary supplies</t>
  </si>
  <si>
    <t xml:space="preserve"> Injectable bulking agent, dextranomer/hyaluronic acid copolymer implant, urinary tract, 1 ml, includes shipping and necessary supplies</t>
  </si>
  <si>
    <t xml:space="preserve"> Injectable bulking agent, dextranomer/hyaluronic acid copolymer implant, anal canal, 1 ml, includes shipping and necessary supplies</t>
  </si>
  <si>
    <t xml:space="preserve"> Injectable bulking agent, synthetic implant, urinary tract, 1 ml syringe, includes shipping and necessary supplies</t>
  </si>
  <si>
    <t xml:space="preserve"> Injectable bulking agent for vocal cord medialization, 0.1 ml, includes shipping and necessary supplies</t>
  </si>
  <si>
    <t xml:space="preserve"> Miscellaneous external component, supply or accessory for use with the argus ii retinal prosthesis system</t>
  </si>
  <si>
    <t xml:space="preserve"> Artificial cornea</t>
  </si>
  <si>
    <t xml:space="preserve"> Ocular implant</t>
  </si>
  <si>
    <t xml:space="preserve"> Aqueous shunt</t>
  </si>
  <si>
    <t xml:space="preserve"> Ossicula implant</t>
  </si>
  <si>
    <t xml:space="preserve"> Cochlear device, includes all internal and external components</t>
  </si>
  <si>
    <t xml:space="preserve"> Metacarpophalangeal joint implant</t>
  </si>
  <si>
    <t xml:space="preserve"> Metacarpal phalangeal joint replacement, two or more pieces, metal (e.g., stainless steel or cobalt chrome), ceramic-like material (e.g., pyrocarbon), for surgical implantation (all sizes, includes entire system)</t>
  </si>
  <si>
    <t xml:space="preserve"> Metatarsal joint implant</t>
  </si>
  <si>
    <t xml:space="preserve"> Hallux implant</t>
  </si>
  <si>
    <t xml:space="preserve"> Interphalangeal joint spacer, silicone or equal, each</t>
  </si>
  <si>
    <t xml:space="preserve"> Interphalangeal finger joint replacement, 2 or more pieces, metal (e.g., stainless steel or cobalt chrome), ceramic-like material (e.g., pyrocarbon) for surgical implantation, any size</t>
  </si>
  <si>
    <t xml:space="preserve"> Vascular graft material, synthetic, implant</t>
  </si>
  <si>
    <t xml:space="preserve"> Electrical stimulator supplies (external) for use with implantable neurostimulator, per month</t>
  </si>
  <si>
    <t xml:space="preserve"> Implantable neurostimulator, pulse generator, any type</t>
  </si>
  <si>
    <t xml:space="preserve"> Implantable neurostimulator electrode, each</t>
  </si>
  <si>
    <t xml:space="preserve"> Patient programmer (external) for use with implantable programmable neurostimulator pulse generator, replacement only</t>
  </si>
  <si>
    <t xml:space="preserve"> Implantable neurostimulator radiofrequency receiver</t>
  </si>
  <si>
    <t xml:space="preserve"> Implantable neurostimulator pulse generator, single array, non-rechargeable, includes extension</t>
  </si>
  <si>
    <t xml:space="preserve"> Auditory osseointegrated device, includes all internal and external components</t>
  </si>
  <si>
    <t xml:space="preserve"> Prosthetic implant, not otherwise specified</t>
  </si>
  <si>
    <t xml:space="preserve"> Orthotic and prosthetic supply, accessory, and/or service component of another hcpcs "l" code</t>
  </si>
  <si>
    <t xml:space="preserve"> Administration of pneumococcal, influenza, hepatitis b, and/or covid-19 vaccine inside a patient's home; reported only once per individual home per date of service when such vaccine administration(s) are performed at the patient's home</t>
  </si>
  <si>
    <t xml:space="preserve"> 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first dose</t>
  </si>
  <si>
    <t xml:space="preserve"> 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second dose</t>
  </si>
  <si>
    <t xml:space="preserve"> Platelets, pheresis, each unit</t>
  </si>
  <si>
    <t xml:space="preserve"> Infusion, albumin (human), 5%, 50 ml</t>
  </si>
  <si>
    <t xml:space="preserve"> Infusion, albumin (human), 5%, 250 ml</t>
  </si>
  <si>
    <t xml:space="preserve"> Infusion, albumin (human), 25%, 20 ml</t>
  </si>
  <si>
    <t xml:space="preserve"> Infusion, albumin (human), 25%, 50 ml</t>
  </si>
  <si>
    <t xml:space="preserve"> Granulocytes, pheresis, each unit</t>
  </si>
  <si>
    <t xml:space="preserve"> Cardiokymography</t>
  </si>
  <si>
    <t xml:space="preserve"> Set-up portable x-ray equipment</t>
  </si>
  <si>
    <t xml:space="preserve"> Injection, ferumoxytol, for treatment of iron deficiency anemia, 1 mg (non-esrd use)</t>
  </si>
  <si>
    <t xml:space="preserve"> Injection, ferumoxytol, for treatment of iron deficiency anemia, 1 mg (for esrd on dialysis)</t>
  </si>
  <si>
    <t xml:space="preserve"> Chlorpromazine hydrochloride, 5 mg, oral, fda approved prescription anti-emetic, for use as a complete therapeutic substitute for an iv anti-emetic at the time of chemotherapy treatment, not to exceed a 48 hour dosage regimen</t>
  </si>
  <si>
    <t xml:space="preserve"> Ondansetron 1 mg, oral, fda approved prescription anti-emetic, for use as a complete therapeutic substitute for an iv anti-emetic at the time of chemotherapy treatment, not to exceed a 48 hour dosage regimen</t>
  </si>
  <si>
    <t xml:space="preserve"> Diphenhydramine hydrochloride, 50 mg, oral, fda approved prescription anti-emetic, for use as a complete therapeutic substitute for an iv anti-emetic at time of chemotherapy treatment not to exceed a 48 hour dosage regimen</t>
  </si>
  <si>
    <t xml:space="preserve"> Prochlorperazine maleate, 5 mg, oral, fda approved prescription anti-emetic, for use as a complete therapeutic substitute for an iv anti-emetic at the time of chemotherapy treatment, not to exceed a 48 hour dosage regimen</t>
  </si>
  <si>
    <t xml:space="preserve"> Granisetron hydrochloride, 1 mg, oral, fda approved prescription anti-emetic, for use as a complete therapeutic substitute for an iv anti-emetic at the time of chemotherapy treatment, not to exceed a 24 hour dosage regimen</t>
  </si>
  <si>
    <t xml:space="preserve"> Dronabinol, 2.5 mg, oral, fda approved prescription anti-emetic, for use as a complete therapeutic substitute for an iv anti-emetic at the time of chemotherapy treatment, not to exceed a 48 hour dosage regimen</t>
  </si>
  <si>
    <t xml:space="preserve"> Promethazine hydrochloride, 12.5 mg, oral, fda approved prescription anti-emetic, for use as a complete therapeutic substitute for an iv anti-emetic at the time of chemotherapy treatment, not to exceed a 48 hour dosage regimen</t>
  </si>
  <si>
    <t xml:space="preserve"> Trimethobenzamide hydrochloride, 250 mg, oral, fda approved prescription anti-emetic, for use as a complete therapeutic substitute for an iv anti-emetic at the time of chemotherapy treatment, not to exceed a 48 hour dosage regimen</t>
  </si>
  <si>
    <t xml:space="preserve"> Thiethylperazine maleate, 10 mg, oral, fda approved prescription anti-emetic, for use as a complete therapeutic substitute for an iv anti-emetic at the time of chemotherapy treatment, not to exceed a 48 hour dosage regimen</t>
  </si>
  <si>
    <t xml:space="preserve"> Perphenazine, 4 mg, oral, fda approved prescription anti-emetic, for use as a complete therapeutic substitute for an iv anti-emetic at the time of chemotherapy treatment, not to exceed a 48 hour dosage regimen</t>
  </si>
  <si>
    <t xml:space="preserve"> Hydroxyzine pamoate, 25 mg, oral, fda approved prescription anti-emetic, for use as a complete therapeutic substitute for an iv anti-emetic at the time of chemotherapy treatment, not to exceed a 48 hour dosage regimen</t>
  </si>
  <si>
    <t xml:space="preserve"> Dolasetron mesylate, 100 mg, oral, fda approved prescription anti-emetic, for use as a complete therapeutic substitute for an iv anti-emetic at the time of chemotherapy treatment, not to exceed a 24 hour dosage regimen</t>
  </si>
  <si>
    <t xml:space="preserve"> Unspecified oral dosage form, fda approved prescription anti-emetic, for use as a complete therapeutic substitute for a iv anti-emetic at the time of chemotherapy treatment, not to exceed a 48 hour dosage regimen</t>
  </si>
  <si>
    <t xml:space="preserve"> 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300 MG</t>
  </si>
  <si>
    <t xml:space="preserve"> 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600 MG</t>
  </si>
  <si>
    <t xml:space="preserve"> INJECTION, BEBTELOVIMAB, 175 MG</t>
  </si>
  <si>
    <t xml:space="preserve"> Injection, casirivimab and imdevimab, 600 mg</t>
  </si>
  <si>
    <t xml:space="preserve"> Injection, casirivimab and imdevimab, 2400 mg</t>
  </si>
  <si>
    <t xml:space="preserve"> Injection, casirivimab and imdevimab, 1200 mg</t>
  </si>
  <si>
    <t xml:space="preserve"> Injection, bamlanivimab and etesevimab, 2100 mg</t>
  </si>
  <si>
    <t xml:space="preserve"> Injection, sotrovimab, 500 mg</t>
  </si>
  <si>
    <t xml:space="preserve"> Injection, tocilizumab, for hospitalized adults and pediatric patients (2 years of age and older) with covid-19 who are receiving systemic corticosteroids and require supplemental oxygen, non-invasive or invasive mechanical ventilation, or extracorporeal membrane oxygenation (ecmo) only, 1 mg</t>
  </si>
  <si>
    <t xml:space="preserve"> Injection, sermorelin acetate, 1 microgram</t>
  </si>
  <si>
    <t xml:space="preserve"> Irrigation solution for treatment of bladder calculi, for example renacidin, per 500 ml</t>
  </si>
  <si>
    <t xml:space="preserve"> Injection, fosphenytoin, 50 mg phenytoin equivalent</t>
  </si>
  <si>
    <t xml:space="preserve"> Injection, teniposide, 50 mg</t>
  </si>
  <si>
    <t xml:space="preserve"> Injection, radiesse, 0.1 ml</t>
  </si>
  <si>
    <t xml:space="preserve"> Injection, sculptra, 0.5 mg</t>
  </si>
  <si>
    <t xml:space="preserve"> Influenza virus vaccine, split virus, for intramuscular use (agriflu)</t>
  </si>
  <si>
    <t xml:space="preserve"> Influenza virus vaccine, split virus, when administered to individuals 3 years of age and older, for intramuscular use (afluria)</t>
  </si>
  <si>
    <t xml:space="preserve"> Influenza virus vaccine, split virus, when administered to individuals 3 years of age and older, for intramuscular use (flulaval)</t>
  </si>
  <si>
    <t xml:space="preserve"> Influenza virus vaccine, split virus, when administered to individuals 3 years of age and older, for intramuscular use (fluvirin)</t>
  </si>
  <si>
    <t xml:space="preserve"> Influenza virus vaccine, split virus, when administered to individuals 3 years of age and older, for intramuscular use (fluzone)</t>
  </si>
  <si>
    <t xml:space="preserve"> Influenza virus vaccine, not otherwise specified</t>
  </si>
  <si>
    <t xml:space="preserve"> Sipuleucel-t, minimum of 50 million autologous cd54+ cells activated with pap-gm-csf, including leukapheresis and all other preparatory procedures, per infusion</t>
  </si>
  <si>
    <t xml:space="preserve"> Injection, doxorubicin hydrochloride, liposomal, imported lipodox, 10 mg</t>
  </si>
  <si>
    <t xml:space="preserve"> Injection, doxorubicin hydrochloride, liposomal, not otherwise specified, 10 mg</t>
  </si>
  <si>
    <t xml:space="preserve"> Injection, interferon beta-1a, 1 mcg for intramuscular use</t>
  </si>
  <si>
    <t xml:space="preserve"> Collagen skin test</t>
  </si>
  <si>
    <t xml:space="preserve"> Skin substitute, not otherwise specified</t>
  </si>
  <si>
    <t xml:space="preserve"> Apligraf, per square centimeter</t>
  </si>
  <si>
    <t xml:space="preserve"> Oasis wound matrix, per square centimeter</t>
  </si>
  <si>
    <t xml:space="preserve"> Oasis burn matrix, per square centimeter</t>
  </si>
  <si>
    <t xml:space="preserve"> Integra bilayer matrix wound dressing (bmwd), per square centimeter</t>
  </si>
  <si>
    <t xml:space="preserve"> Integra dermal regeneration template (drt) or integra omnigraft dermal regeneration matrix, per square centimeter</t>
  </si>
  <si>
    <t xml:space="preserve"> Dermagraft, per square centimeter</t>
  </si>
  <si>
    <t xml:space="preserve"> Graftjacket, per square centimeter</t>
  </si>
  <si>
    <t xml:space="preserve"> Integra matrix, per square centimeter</t>
  </si>
  <si>
    <t xml:space="preserve"> Primatrix, per square centimeter</t>
  </si>
  <si>
    <t xml:space="preserve"> Gammagraft, per square centimeter</t>
  </si>
  <si>
    <t xml:space="preserve"> Cymetra, injectable, 1 cc</t>
  </si>
  <si>
    <t xml:space="preserve"> Graftjacket xpress, injectable, 1 cc</t>
  </si>
  <si>
    <t xml:space="preserve"> Integra flowable wound matrix, injectable, 1 cc</t>
  </si>
  <si>
    <t xml:space="preserve"> Alloskin, per square centimeter</t>
  </si>
  <si>
    <t xml:space="preserve"> Alloderm, per square centimeter</t>
  </si>
  <si>
    <t xml:space="preserve"> Hyalomatrix, per square centimeter</t>
  </si>
  <si>
    <t xml:space="preserve"> Matristem micromatrix, 1 mg</t>
  </si>
  <si>
    <t xml:space="preserve"> Theraskin, per square centimeter</t>
  </si>
  <si>
    <t xml:space="preserve"> Dermacell, dermacell awm or dermacell awm porous, per square centimeter</t>
  </si>
  <si>
    <t xml:space="preserve"> Alloskin rt, per square centimeter</t>
  </si>
  <si>
    <t xml:space="preserve"> Oasis ultra tri-layer wound matrix, per square centimeter</t>
  </si>
  <si>
    <t xml:space="preserve"> Arthroflex, per square centimeter</t>
  </si>
  <si>
    <t xml:space="preserve"> Memoderm, dermaspan, tranzgraft or integuply, per square centimeter</t>
  </si>
  <si>
    <t xml:space="preserve"> Talymed, per square centimeter</t>
  </si>
  <si>
    <t xml:space="preserve"> Flex hd, or allopatch hd, per square centimeter</t>
  </si>
  <si>
    <t xml:space="preserve"> Strattice tm, per square centimeter</t>
  </si>
  <si>
    <t xml:space="preserve"> Grafix core and grafixpl core, per square centimeter</t>
  </si>
  <si>
    <t xml:space="preserve"> Grafix prime, grafixpl prime, stravix and stravixpl, per square centimeter</t>
  </si>
  <si>
    <t xml:space="preserve"> Hmatrix, per square centimeter</t>
  </si>
  <si>
    <t xml:space="preserve"> Mediskin, per square centimeter</t>
  </si>
  <si>
    <t xml:space="preserve"> Ez-derm, per square centimeter</t>
  </si>
  <si>
    <t xml:space="preserve"> Amnioexcel, amnioexcel plus or biodexcel, per square centimeter</t>
  </si>
  <si>
    <t xml:space="preserve"> Biodfence dryflex, per square centimeter</t>
  </si>
  <si>
    <t xml:space="preserve"> Amniomatrix or biodmatrix, injectable, 1 cc</t>
  </si>
  <si>
    <t xml:space="preserve"> Biodfence, per square centimeter</t>
  </si>
  <si>
    <t xml:space="preserve"> Alloskin ac, per square centimeter</t>
  </si>
  <si>
    <t xml:space="preserve"> Xcm biologic tissue matrix, per square centimeter</t>
  </si>
  <si>
    <t xml:space="preserve"> Repriza, per square centimeter</t>
  </si>
  <si>
    <t xml:space="preserve"> Epifix, injectable, 1 mg</t>
  </si>
  <si>
    <t xml:space="preserve"> Tensix, per square centimeter</t>
  </si>
  <si>
    <t xml:space="preserve"> Architect, architect px, or architect fx, extracellular matrix, per square centimeter</t>
  </si>
  <si>
    <t xml:space="preserve"> Neox cord 1k, neox cord rt, or clarix cord 1k, per square centimeter</t>
  </si>
  <si>
    <t xml:space="preserve"> Excellagen, 0.1 cc</t>
  </si>
  <si>
    <t xml:space="preserve"> Allowrap ds or dry, per square centimeter</t>
  </si>
  <si>
    <t xml:space="preserve"> Amnioband or guardian, per square centimeter</t>
  </si>
  <si>
    <t xml:space="preserve"> Dermapure, per square centimeter</t>
  </si>
  <si>
    <t xml:space="preserve"> Dermavest and plurivest, per square centimeter</t>
  </si>
  <si>
    <t xml:space="preserve"> Biovance, per square centimeter</t>
  </si>
  <si>
    <t xml:space="preserve"> Neoxflo or clarixflo, 1 mg</t>
  </si>
  <si>
    <t xml:space="preserve"> Neox 100 or clarix 100, per square centimeter</t>
  </si>
  <si>
    <t xml:space="preserve"> Revitalon, per square centimeter</t>
  </si>
  <si>
    <t xml:space="preserve"> Kerecis omega3, per square centimeter</t>
  </si>
  <si>
    <t xml:space="preserve"> Affinity, per square centimeter</t>
  </si>
  <si>
    <t xml:space="preserve"> Nushield, per square centimeter</t>
  </si>
  <si>
    <t xml:space="preserve"> Bio-connekt wound matrix, per square centimeter</t>
  </si>
  <si>
    <t xml:space="preserve"> Woundex flow, bioskin flow, 0.5 cc</t>
  </si>
  <si>
    <t xml:space="preserve"> Woundex, bioskin, per square centimeter</t>
  </si>
  <si>
    <t xml:space="preserve"> Helicoll, per square centimeter</t>
  </si>
  <si>
    <t xml:space="preserve"> Keramatrix or kerasorb, per square centimeter</t>
  </si>
  <si>
    <t xml:space="preserve"> Cytal, per square centimeter</t>
  </si>
  <si>
    <t xml:space="preserve"> Truskin, per square centimeter</t>
  </si>
  <si>
    <t xml:space="preserve"> Amnioband, 1 mg</t>
  </si>
  <si>
    <t xml:space="preserve"> Artacent wound, per square centimeter</t>
  </si>
  <si>
    <t xml:space="preserve"> Cygnus, per square centimeter</t>
  </si>
  <si>
    <t xml:space="preserve"> Interfyl, 1 mg</t>
  </si>
  <si>
    <t xml:space="preserve"> Palingen or palingen xplus, per square centimeter</t>
  </si>
  <si>
    <t xml:space="preserve"> Palingen or promatrx, 0.36 mg per 0.25 cc</t>
  </si>
  <si>
    <t xml:space="preserve"> Miroderm, per square centimeter</t>
  </si>
  <si>
    <t xml:space="preserve"> Neopatch or therion, per square centimeter</t>
  </si>
  <si>
    <t xml:space="preserve"> Floweramnioflo, 0.1 cc</t>
  </si>
  <si>
    <t xml:space="preserve"> Floweramniopatch, per square centimeter</t>
  </si>
  <si>
    <t xml:space="preserve"> Flowerderm, per square centimeter</t>
  </si>
  <si>
    <t xml:space="preserve"> Revita, per square centimeter</t>
  </si>
  <si>
    <t xml:space="preserve"> Amnio wound, per square centimeter</t>
  </si>
  <si>
    <t xml:space="preserve"> Transcyte, per square centimeter</t>
  </si>
  <si>
    <t xml:space="preserve"> Surgigraft, per square centimeter</t>
  </si>
  <si>
    <t xml:space="preserve"> Cellesta or cellesta duo, per square centimeter</t>
  </si>
  <si>
    <t xml:space="preserve"> Cellesta flowable amnion (25 mg per cc); per 0.5 cc</t>
  </si>
  <si>
    <t xml:space="preserve"> Epifix, per square centimeter</t>
  </si>
  <si>
    <t xml:space="preserve"> Epicord, per square centimeter</t>
  </si>
  <si>
    <t xml:space="preserve"> Amnioarmor, per square centimeter</t>
  </si>
  <si>
    <t xml:space="preserve"> Artacent ac, 1 mg</t>
  </si>
  <si>
    <t xml:space="preserve"> Artacent ac, per square centimeter</t>
  </si>
  <si>
    <t xml:space="preserve"> Restorigin, per square centimeter</t>
  </si>
  <si>
    <t xml:space="preserve"> Restorigin, 1 cc</t>
  </si>
  <si>
    <t xml:space="preserve"> Coll-e-derm, per square centimeter</t>
  </si>
  <si>
    <t xml:space="preserve"> Novachor, per square centimeter</t>
  </si>
  <si>
    <t xml:space="preserve"> Puraply, per square centimeter</t>
  </si>
  <si>
    <t xml:space="preserve"> Puraply am, per square centimeter</t>
  </si>
  <si>
    <t xml:space="preserve"> Puraply xt, per square centimeter</t>
  </si>
  <si>
    <t xml:space="preserve"> Genesis amniotic membrane, per square centimeter</t>
  </si>
  <si>
    <t xml:space="preserve"> Cygnus matrix, per square centimeter</t>
  </si>
  <si>
    <t xml:space="preserve"> Skin te, per square centimeter</t>
  </si>
  <si>
    <t xml:space="preserve"> Matrion, per square centimeter</t>
  </si>
  <si>
    <t xml:space="preserve"> Keroxx (2.5g/cc), 1cc</t>
  </si>
  <si>
    <t xml:space="preserve"> Derma-gide, per square centimeter</t>
  </si>
  <si>
    <t xml:space="preserve"> Xwrap, per square centimeter</t>
  </si>
  <si>
    <t xml:space="preserve"> Membrane graft or membrane wrap, per square centimeter</t>
  </si>
  <si>
    <t xml:space="preserve"> Fluid flow or fluid gf, 1 cc</t>
  </si>
  <si>
    <t xml:space="preserve"> Novafix, per square cenitmeter</t>
  </si>
  <si>
    <t xml:space="preserve"> Surgraft, per square centimeter</t>
  </si>
  <si>
    <t>AXOLOTL GRAFT OR AXOLOTL DUALGRAFT, PER SQUARE CENTIMETER</t>
  </si>
  <si>
    <t xml:space="preserve"> Amnion bio or axobiomembrane, per square centimeter</t>
  </si>
  <si>
    <t xml:space="preserve"> Allogen, per cc</t>
  </si>
  <si>
    <t xml:space="preserve"> Ascent, 0.5 mg</t>
  </si>
  <si>
    <t xml:space="preserve"> Cellesta cord, per square centimeter</t>
  </si>
  <si>
    <t xml:space="preserve"> Axolotl ambient or axolotl cryo, 0.1 mg</t>
  </si>
  <si>
    <t xml:space="preserve"> Artacent cord, per square centimeter</t>
  </si>
  <si>
    <t xml:space="preserve"> Woundfix, biowound, woundfix plus, biowound plus, woundfix xplus or biowound xplus, per square centimeter</t>
  </si>
  <si>
    <t xml:space="preserve"> Surgicord, per square centimeter</t>
  </si>
  <si>
    <t xml:space="preserve"> Surgigraft-dual, per square centimeter</t>
  </si>
  <si>
    <t xml:space="preserve"> Bellacell hd or surederm, per square centimeter</t>
  </si>
  <si>
    <t xml:space="preserve"> Amniowrap2, per square centimeter</t>
  </si>
  <si>
    <t xml:space="preserve"> Progenamatrix, per square centimeter</t>
  </si>
  <si>
    <t xml:space="preserve"> Human health factor 10 amniotic patch (hhf10-p), per square centimeter</t>
  </si>
  <si>
    <t xml:space="preserve"> Amniobind or dermabind tl, per square centimeter</t>
  </si>
  <si>
    <t xml:space="preserve"> Myown skin, includes harvesting and preparation procedures, per square centimeter</t>
  </si>
  <si>
    <t xml:space="preserve"> Amniocore, per square centimeter</t>
  </si>
  <si>
    <t xml:space="preserve"> Cogenex amniotic membrane, per square centimeter</t>
  </si>
  <si>
    <t xml:space="preserve"> Cogenex flowable amnion, per 0.5 cc</t>
  </si>
  <si>
    <t xml:space="preserve"> Corplex p, per cc</t>
  </si>
  <si>
    <t xml:space="preserve"> Corplex, per square centimeter</t>
  </si>
  <si>
    <t xml:space="preserve"> Surfactor or nudyn, per 0.5 cc</t>
  </si>
  <si>
    <t xml:space="preserve"> Xcellerate, per square centimeter</t>
  </si>
  <si>
    <t xml:space="preserve"> Amniorepair or altiply, per square centimeter</t>
  </si>
  <si>
    <t xml:space="preserve"> Carepatch, per square centimeter</t>
  </si>
  <si>
    <t xml:space="preserve"> Cryo-cord, per square centimeter</t>
  </si>
  <si>
    <t xml:space="preserve"> Derm-maxx, per square centimeter</t>
  </si>
  <si>
    <t xml:space="preserve"> Amnio-maxx or amnio-maxx lite, per square centimeter</t>
  </si>
  <si>
    <t xml:space="preserve"> Corecyte, for topical use only, per 0.5 cc</t>
  </si>
  <si>
    <t xml:space="preserve"> Polycyte, for topical use only, per 0.5 cc</t>
  </si>
  <si>
    <t xml:space="preserve"> Amniocyte plus, per 0.5 cc</t>
  </si>
  <si>
    <t>PROCENTA, PER 200 MG</t>
  </si>
  <si>
    <t xml:space="preserve"> Amniotext, per cc</t>
  </si>
  <si>
    <t xml:space="preserve"> Coretext or protext, per cc</t>
  </si>
  <si>
    <t xml:space="preserve"> Amniotext patch, per square centimeter</t>
  </si>
  <si>
    <t xml:space="preserve"> Dermacyte amniotic membrane allograft, per square centimeter</t>
  </si>
  <si>
    <t xml:space="preserve"> Amniply, for topical use only, per square centimeter</t>
  </si>
  <si>
    <t xml:space="preserve"> Amnioamp-mp, per square centimeter</t>
  </si>
  <si>
    <t xml:space="preserve"> Vim, per square centimeter</t>
  </si>
  <si>
    <t xml:space="preserve"> Vendaje, per square centimeter</t>
  </si>
  <si>
    <t xml:space="preserve"> Zenith amniotic membrane, per square centimeter</t>
  </si>
  <si>
    <t xml:space="preserve"> Novafix dl, per square centimeter</t>
  </si>
  <si>
    <t xml:space="preserve"> Reguard, for topical use only, per square centimeter</t>
  </si>
  <si>
    <t xml:space="preserve"> Mlg-complete, per square centimeter</t>
  </si>
  <si>
    <t xml:space="preserve"> Relese, per square centimeter</t>
  </si>
  <si>
    <t xml:space="preserve"> Enverse, per square centimeter</t>
  </si>
  <si>
    <t xml:space="preserve"> Celera dual layer or celera dual membrane, per square centimeter</t>
  </si>
  <si>
    <t xml:space="preserve"> Signature apatch, per square centimeter</t>
  </si>
  <si>
    <t xml:space="preserve"> Tag, per square centimeter</t>
  </si>
  <si>
    <t xml:space="preserve"> Dual layer impax membrane, per square centimeter</t>
  </si>
  <si>
    <t xml:space="preserve"> Surgraft tl, per square centimeter</t>
  </si>
  <si>
    <t xml:space="preserve"> Cocoon membrane, per square centimeter</t>
  </si>
  <si>
    <t xml:space="preserve"> Neostim tl, per square centimeter</t>
  </si>
  <si>
    <t xml:space="preserve"> Neostim membrane, per square centimeter</t>
  </si>
  <si>
    <t xml:space="preserve"> Neostim dl, per square centimeter</t>
  </si>
  <si>
    <t xml:space="preserve"> Surgraft ft, per square centimeter</t>
  </si>
  <si>
    <t xml:space="preserve"> Surgraft xt, per square centimeter</t>
  </si>
  <si>
    <t xml:space="preserve"> Complete sl, per square centimeter</t>
  </si>
  <si>
    <t xml:space="preserve"> Complete ft, per square centimeter</t>
  </si>
  <si>
    <t xml:space="preserve"> Esano a, per square centimeter</t>
  </si>
  <si>
    <t xml:space="preserve"> Esano aaa, per square centimeter</t>
  </si>
  <si>
    <t xml:space="preserve"> Esano ac, per square centimeter</t>
  </si>
  <si>
    <t xml:space="preserve"> Esano aca, per square centimeter</t>
  </si>
  <si>
    <t xml:space="preserve"> Orion, per square centimeter</t>
  </si>
  <si>
    <t>Q4277</t>
  </si>
  <si>
    <t>WOUNDPLUS MEMBRANE OR E-GRAFT, PER SQUARE CENTIMETER</t>
  </si>
  <si>
    <t xml:space="preserve"> Epieffect, per square centimeter</t>
  </si>
  <si>
    <t xml:space="preserve"> Vendaje ac, per square centimeter</t>
  </si>
  <si>
    <t xml:space="preserve"> Xcell amnio matrix, per square centimeter</t>
  </si>
  <si>
    <t xml:space="preserve"> Barrera sl or barrera dl, per square centimeter</t>
  </si>
  <si>
    <t xml:space="preserve"> Cygnus dual, per square centimeter</t>
  </si>
  <si>
    <t xml:space="preserve"> Biovance tri-layer or biovance 3l, per square centimeter</t>
  </si>
  <si>
    <t xml:space="preserve"> Dermabind sl, per square centimeter</t>
  </si>
  <si>
    <t xml:space="preserve"> Nudyn dl or nudyn dl mesh, per square centimeter</t>
  </si>
  <si>
    <t xml:space="preserve"> Nudyn sl or nudyn slw, per square centimeter</t>
  </si>
  <si>
    <t xml:space="preserve"> Dermabind dl, per square centimeter</t>
  </si>
  <si>
    <t xml:space="preserve"> Dermabind ch, per square centimeter</t>
  </si>
  <si>
    <t xml:space="preserve"> Revoshield + amniotic barrier, per square centimeter</t>
  </si>
  <si>
    <t xml:space="preserve"> Membrane wrap-hydro, per square centimeter</t>
  </si>
  <si>
    <t xml:space="preserve"> Lamellas xt, per square centimeter</t>
  </si>
  <si>
    <t xml:space="preserve"> Lamellas, per square centimeter</t>
  </si>
  <si>
    <t xml:space="preserve"> Acesso dl, per square centimeter</t>
  </si>
  <si>
    <t xml:space="preserve"> Amnio quad-core, per square centimeter</t>
  </si>
  <si>
    <t xml:space="preserve"> Amnio tri-core amniotic, per square centimeter</t>
  </si>
  <si>
    <t xml:space="preserve"> Rebound matrix, per square centimeter</t>
  </si>
  <si>
    <t xml:space="preserve"> Emerge matrix, per square centimeter</t>
  </si>
  <si>
    <t xml:space="preserve"> Amnicore pro, per square centimeter</t>
  </si>
  <si>
    <t xml:space="preserve"> Amnicore pro+, per square centimeter</t>
  </si>
  <si>
    <t xml:space="preserve"> Acesso tl, per square centimeter</t>
  </si>
  <si>
    <t xml:space="preserve"> Activate matrix, per square centimeter</t>
  </si>
  <si>
    <t xml:space="preserve"> Complete aca, per square centimeter</t>
  </si>
  <si>
    <t xml:space="preserve"> Complete aa, per square centimeter</t>
  </si>
  <si>
    <t xml:space="preserve"> Grafix plus, per square centimeter</t>
  </si>
  <si>
    <t xml:space="preserve"> Injection, filgrastim-sndz, biosimilar, (zarxio), 1 microgram</t>
  </si>
  <si>
    <t xml:space="preserve"> Injection, infliximab-dyyb, biosimilar, (inflectra), 10 mg</t>
  </si>
  <si>
    <t xml:space="preserve"> Injection, infliximab-abda, biosimilar, (renflexis), 10 mg</t>
  </si>
  <si>
    <t xml:space="preserve"> Injection, epoetin alfa-epbx, biosimilar, (retacrit) (for esrd on dialysis), 100 units</t>
  </si>
  <si>
    <t xml:space="preserve"> Injection, epoetin alfa-epbx, biosimilar, (retacrit) (for non-esrd use), 1000 units</t>
  </si>
  <si>
    <t xml:space="preserve"> Injection, bevacizumab-awwb, biosimilar, (mvasi), 10 mg</t>
  </si>
  <si>
    <t xml:space="preserve"> Injection, pegfilgrastim-jmdb (fulphila), biosimilar, 0.5 mg</t>
  </si>
  <si>
    <t xml:space="preserve"> Injection, infliximab-qbtx, biosimilar, (ixifi), 10 mg</t>
  </si>
  <si>
    <t xml:space="preserve"> Injection, filgrastim-aafi, biosimilar, (nivestym), 1 microgram</t>
  </si>
  <si>
    <t xml:space="preserve"> Injection, pegfilgrastim-cbqv (udenyca), biosimilar, 0.5 mg</t>
  </si>
  <si>
    <t xml:space="preserve"> Injection, trastuzumab-dttb, biosimilar, (ontruzant), 10 mg</t>
  </si>
  <si>
    <t xml:space="preserve"> Injection, trastuzumab-pkrb, biosimilar, (herzuma), 10 mg</t>
  </si>
  <si>
    <t xml:space="preserve"> Injection, trastuzumab-dkst, biosimilar, (ogivri), 10 mg</t>
  </si>
  <si>
    <t xml:space="preserve"> Injection, rituximab-abbs, biosimilar, (truxima), 10 mg</t>
  </si>
  <si>
    <t xml:space="preserve"> Injection, trastuzumab-qyyp, biosimilar, (trazimera), 10 mg</t>
  </si>
  <si>
    <t xml:space="preserve"> Injection, trastuzumab-anns, biosimilar, (kanjinti), 10 mg</t>
  </si>
  <si>
    <t xml:space="preserve"> Injection, bevacizumab-bvzr, biosimilar, (zirabev), 10 mg</t>
  </si>
  <si>
    <t xml:space="preserve"> Injection, rituximab-pvvr, biosimilar, (ruxience), 10 mg</t>
  </si>
  <si>
    <t xml:space="preserve"> Injection, pegfilgrastim-bmez (ziextenzo), biosimilar, 0.5 mg</t>
  </si>
  <si>
    <t xml:space="preserve"> Injection, infliximab-axxq, biosimilar, (avsola), 10 mg</t>
  </si>
  <si>
    <t xml:space="preserve"> Injection, pegfilgrastim-apgf (nyvepria), biosimilar, 0.5 mg</t>
  </si>
  <si>
    <t xml:space="preserve"> Injection, rituximab-arrx, biosimilar, (riabni), 10 mg</t>
  </si>
  <si>
    <t xml:space="preserve"> Injection, ranibizumab-nuna, biosimilar, (byooviz), 0.1 mg</t>
  </si>
  <si>
    <t xml:space="preserve"> Injection, filgrastim-ayow, biosimilar, (releuko), 1 microgram</t>
  </si>
  <si>
    <t xml:space="preserve"> Injection, bevacizumab-maly, biosimilar, (alymsys), 10 mg</t>
  </si>
  <si>
    <t xml:space="preserve"> Injection, pegfilgrastim-fpgk (stimufend), biosimilar, 0.5 mg</t>
  </si>
  <si>
    <t xml:space="preserve"> Injection, ranibizumab-eqrn (cimerli), biosimilar, 0.1 mg</t>
  </si>
  <si>
    <t xml:space="preserve"> Injection, bevacizumab-adcd (vegzelma), biosimilar, 10 mg</t>
  </si>
  <si>
    <t xml:space="preserve"> Injection, pegfilgrastim-pbbk (fylnetra), biosimilar, 0.5 mg</t>
  </si>
  <si>
    <t xml:space="preserve"> Injection, adalimumab-aacf (idacio), biosimilar, 20 mg</t>
  </si>
  <si>
    <t xml:space="preserve"> Injection, adalimumab-afzb (abrilada), biosimilar, 10 mg</t>
  </si>
  <si>
    <t xml:space="preserve"> Injection, sulfur hexafluoride lipid microspheres, per ml</t>
  </si>
  <si>
    <t xml:space="preserve"> Low osmolar contrast material, 400 or greater mg/ml iodine concentration, per ml</t>
  </si>
  <si>
    <t xml:space="preserve"> Injection, iron-based magnetic resonance contrast agent, per ml</t>
  </si>
  <si>
    <t xml:space="preserve"> Oral magnetic resonance contrast agent, per 100 ml</t>
  </si>
  <si>
    <t xml:space="preserve"> Injection, perflexane lipid microspheres, per ml</t>
  </si>
  <si>
    <t xml:space="preserve"> Injection, octafluoropropane microspheres, per ml</t>
  </si>
  <si>
    <t xml:space="preserve"> Injection, perflutren lipid microspheres, per ml</t>
  </si>
  <si>
    <t xml:space="preserve"> High osmolar contrast material, up to 149 mg/ml iodine concentration, per ml</t>
  </si>
  <si>
    <t xml:space="preserve"> High osmolar contrast material, 150-199 mg/ml iodine concentration, per ml</t>
  </si>
  <si>
    <t xml:space="preserve"> High osmolar contrast material, 200-249 mg/ml iodine concentration, per ml</t>
  </si>
  <si>
    <t xml:space="preserve"> High osmolar contrast material, 250-299 mg/ml iodine concentration, per ml</t>
  </si>
  <si>
    <t xml:space="preserve"> High osmolar contrast material, 300-349 mg/ml iodine concentration, per ml</t>
  </si>
  <si>
    <t xml:space="preserve"> High osmolar contrast material, 350-399 mg/ml iodine concentration, per ml</t>
  </si>
  <si>
    <t xml:space="preserve"> High osmolar contrast material, 400 or greater mg/ml iodine concentration, per ml</t>
  </si>
  <si>
    <t xml:space="preserve"> Low osmolar contrast material, 100-199 mg/ml iodine concentration, per ml</t>
  </si>
  <si>
    <t xml:space="preserve"> Low osmolar contrast material, 200-299 mg/ml iodine concentration, per ml</t>
  </si>
  <si>
    <t xml:space="preserve"> Low osmolar contrast material, 300-399 mg/ml iodine concentration, per ml</t>
  </si>
  <si>
    <t xml:space="preserve"> Injection, non-radioactive, non-contrast, visualization adjunct (e.g., methylene blue, isosulfan blue), 1 mg</t>
  </si>
  <si>
    <t xml:space="preserve"> Flutemetamol f18, diagnostic, per study dose, up to 5 millicuries</t>
  </si>
  <si>
    <t xml:space="preserve"> Florbetaben f18, diagnostic, per study dose, up to 8.1 millicuries</t>
  </si>
  <si>
    <t xml:space="preserve"> Injection, buprenorphine extended-release (sublocade), less than or equal to 100 mg</t>
  </si>
  <si>
    <t xml:space="preserve"> Injection, buprenorphine extended-release (sublocade), greater than 100 mg</t>
  </si>
  <si>
    <t xml:space="preserve"> Breast reconstruction with deep inferior epigastric perforator (diep) flap or superficial inferior epigastric artery (siea) flap, including harvesting of the flap, microvascular transfer, closure of donor site and shaping the flap into a breast, unilateral</t>
  </si>
  <si>
    <t xml:space="preserve"> Laparoscopic esophagomyotomy (heller type)</t>
  </si>
  <si>
    <t xml:space="preserve"> Arthroereisis, subtalar</t>
  </si>
  <si>
    <t xml:space="preserve"> Surgical techniques requiring use of robotic surgical system (list separately in addition to code for primary procedure)</t>
  </si>
  <si>
    <t xml:space="preserve"> Anterior chamber intraocular lens</t>
  </si>
  <si>
    <t xml:space="preserve"> Iris supported intraocular lens</t>
  </si>
  <si>
    <t xml:space="preserve"> Posterior chamber intraocular lens</t>
  </si>
  <si>
    <t xml:space="preserve"> Processing, preserving and transporting corneal tissue</t>
  </si>
  <si>
    <t xml:space="preserve"> Amniotic membrane for surgical reconstruction, per procedure</t>
  </si>
  <si>
    <t xml:space="preserve"> Vision item or service, miscellaneous</t>
  </si>
  <si>
    <t>45%</t>
  </si>
  <si>
    <t>INJECTION PROCEDURE AND SURGERY OF THICKENED PENILE TISSUE</t>
  </si>
  <si>
    <t>METHOTREXATE SODIUM, 5 MG</t>
  </si>
  <si>
    <t>Corrected fee schedule to show 2024 rates</t>
  </si>
  <si>
    <t>Instillation of agent onto lung surface using chest tube</t>
  </si>
  <si>
    <t>D7282</t>
  </si>
  <si>
    <t>Mobilization of erupted or malpositioned tooth to aid eruption</t>
  </si>
  <si>
    <t>Corrected the following pricing:  32560 is 45% not $311.25, 32604 is 45% not $5,847.40, 32960 is $311.25 not 45%, 32994 is $5847.40 not 45%, 90384 is 45% not $0, 90393 is $0 not 45%, D0145 is 45% not $0.00, D1120 is 45% not $0, D1351 is 45% not $0, D1510 is 45% not $0, D1520 is 45% not $0, D3240 is $0 not 45%, D3310 is $0 not 45%, D3320 is $0 not 45%, D3330	 is $0 not 45%, D3460 is $0 not 45%, D3910 is $0 not 45%, G0378 is 45% not $51.92, G0429 is $51.92 not $0, G0516 is $0 not 45%, G0517 is $0 not 45%, G0518 is $0 not 45%.
Removed the following codes, should not have been on fee schedule:  76984, 0100T, 92974, C7518, C7519, C7534, C7541, C7542, C7543, C7544, C7546, C7549, C7552, C7553, C7555		
D0330 was showing twice, removed duplicate.
Added D7282 should have been on fee schedule.
Removed 80000-89999, G0433-G0435, G0475-G0476, G0659, G9143 and Q0115 and placed notation at top of fee schedule stating lab codes will be reimbursed from the Clinical Lab Fee Schedule.</t>
  </si>
  <si>
    <r>
      <rPr>
        <sz val="10"/>
        <color rgb="FF000000"/>
        <rFont val="Calibri"/>
        <family val="2"/>
      </rPr>
      <t>•</t>
    </r>
    <r>
      <rPr>
        <sz val="10"/>
        <color rgb="FF000000"/>
        <rFont val="Times New Roman"/>
        <family val="1"/>
      </rPr>
      <t>Lab codes 80000-89999, G0433-G0435, G0475-G0476, G0659, G9143 and Q0115 will be reimbursed from the Clinical Lab Fee Schedule</t>
    </r>
  </si>
  <si>
    <r>
      <rPr>
        <sz val="10"/>
        <color rgb="FF000000"/>
        <rFont val="Calibri"/>
        <family val="2"/>
      </rPr>
      <t>•</t>
    </r>
    <r>
      <rPr>
        <sz val="10"/>
        <color rgb="FF000000"/>
        <rFont val="Times New Roman"/>
        <family val="1"/>
      </rPr>
      <t>Reimbursement for multiple endoscopy discounting, multiple procedure discounting, and reproductive services can be found in ASC</t>
    </r>
    <r>
      <rPr>
        <sz val="10"/>
        <color rgb="FF000000"/>
        <rFont val="Times New Roman"/>
        <family val="2"/>
      </rPr>
      <t xml:space="preserve"> Regulation 
907 KAR 1:008 at the following link: https://apps.legislature.ky.gov/law/kar/titles/907/001/008/</t>
    </r>
  </si>
  <si>
    <t>Corrected notes section.  Part of the following notation was cutoff: •Reimbursement for multiple endoscopy discounting, multiple procedure discounting, and reproductive services can be found in ASC Regulation 
907 KAR 1:008 at the following link: https://apps.legislature.ky.gov/law/kar/titles/907/001/008/</t>
  </si>
  <si>
    <t>Code J3971 was entered on the fee schedule in error with no description, amounts, or dates.  This code has been removed.</t>
  </si>
  <si>
    <r>
      <t xml:space="preserve">2024 Kentucky Medicaid ASC Fee Schedule </t>
    </r>
    <r>
      <rPr>
        <b/>
        <sz val="8"/>
        <rFont val="Times New Roman"/>
        <family val="1"/>
      </rPr>
      <t>revised 11.19.2024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</si>
</sst>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0" x14ac:knownFonts="1">
    <font>
      <sz val="10"/>
      <color rgb="FF000000"/>
      <name val="Times New Roman"/>
      <charset val="204"/>
    </font>
    <font>
      <sz val="11"/>
      <color theme="1"/>
      <name val="Calibri"/>
      <family val="2"/>
      <scheme val="minor"/>
    </font>
    <font>
      <b/>
      <sz val="16"/>
      <name val="Times New Roman"/>
      <family val="1"/>
    </font>
    <font>
      <sz val="11"/>
      <color rgb="FF000000"/>
      <name val="Calibri"/>
      <family val="2"/>
      <scheme val="minor"/>
    </font>
    <font>
      <b/>
      <sz val="8"/>
      <name val="Times New Roman"/>
      <family val="1"/>
    </font>
    <font>
      <sz val="10"/>
      <color rgb="FF000000"/>
      <name val="Times New Roman"/>
      <family val="1"/>
    </font>
    <font>
      <u/>
      <sz val="10"/>
      <color theme="10"/>
      <name val="Times New Roman"/>
      <family val="1"/>
    </font>
    <font>
      <sz val="10"/>
      <color rgb="FF000000"/>
      <name val="Calibri"/>
      <family val="2"/>
    </font>
    <font>
      <sz val="10"/>
      <color rgb="FF000000"/>
      <name val="Times New Roman"/>
      <family val="2"/>
    </font>
    <font>
      <b/>
      <sz val="10"/>
      <color rgb="FF000000"/>
      <name val="Times New Roman"/>
      <family val="1"/>
    </font>
    <font>
      <b/>
      <sz val="10"/>
      <name val="Times New Roman"/>
      <family val="1"/>
    </font>
    <font>
      <b/>
      <sz val="12"/>
      <color rgb="FF000000"/>
      <name val="Times New Roman"/>
      <family val="1"/>
    </font>
    <font>
      <b/>
      <sz val="11"/>
      <color theme="1"/>
      <name val="Calibri"/>
      <family val="2"/>
      <scheme val="minor"/>
    </font>
    <font>
      <b/>
      <sz val="18"/>
      <color theme="1"/>
      <name val="Calibri"/>
      <family val="2"/>
      <scheme val="minor"/>
    </font>
    <font>
      <sz val="10"/>
      <color indexed="8"/>
      <name val="Arial"/>
      <family val="2"/>
    </font>
    <font>
      <sz val="11"/>
      <name val="Calibri"/>
      <family val="2"/>
      <scheme val="minor"/>
    </font>
    <font>
      <sz val="10"/>
      <color rgb="FF000000"/>
      <name val="Times New Roman"/>
      <family val="2"/>
      <charset val="204"/>
    </font>
    <font>
      <sz val="10"/>
      <color rgb="FF000000"/>
      <name val="Times New Roman"/>
      <family val="1"/>
    </font>
    <font>
      <b/>
      <sz val="11"/>
      <color theme="1"/>
      <name val="Calibri"/>
      <family val="2"/>
    </font>
    <font>
      <sz val="10"/>
      <color rgb="FF00B0F0"/>
      <name val="Times New Roman"/>
      <family val="1"/>
    </font>
  </fonts>
  <fills count="5">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4" fillId="0" borderId="0"/>
    <xf numFmtId="43" fontId="17" fillId="0" borderId="0" applyFont="0" applyFill="0" applyBorder="0" applyAlignment="0" applyProtection="0"/>
  </cellStyleXfs>
  <cellXfs count="68">
    <xf numFmtId="0" fontId="0" fillId="0" borderId="0" xfId="0" applyFill="1" applyBorder="1" applyAlignment="1">
      <alignment horizontal="left" vertical="top"/>
    </xf>
    <xf numFmtId="0" fontId="12" fillId="2" borderId="1" xfId="0" applyFont="1" applyFill="1" applyBorder="1" applyAlignment="1">
      <alignment horizontal="center"/>
    </xf>
    <xf numFmtId="14" fontId="12" fillId="2" borderId="1" xfId="0" applyNumberFormat="1" applyFont="1" applyFill="1" applyBorder="1" applyAlignment="1">
      <alignment horizontal="center" wrapText="1"/>
    </xf>
    <xf numFmtId="14" fontId="0" fillId="0" borderId="8" xfId="0" applyNumberFormat="1" applyBorder="1" applyAlignment="1">
      <alignment horizontal="center"/>
    </xf>
    <xf numFmtId="0" fontId="0" fillId="0" borderId="8" xfId="0" applyBorder="1"/>
    <xf numFmtId="0" fontId="0" fillId="0" borderId="8" xfId="0" applyBorder="1" applyAlignment="1">
      <alignment wrapText="1"/>
    </xf>
    <xf numFmtId="0" fontId="0" fillId="0" borderId="8" xfId="0" applyBorder="1" applyAlignment="1">
      <alignment vertical="center" wrapText="1"/>
    </xf>
    <xf numFmtId="14" fontId="0" fillId="0" borderId="8" xfId="0" applyNumberFormat="1" applyBorder="1" applyAlignment="1">
      <alignment horizontal="center" wrapText="1"/>
    </xf>
    <xf numFmtId="0" fontId="15" fillId="0" borderId="8" xfId="2" applyFont="1" applyBorder="1" applyAlignment="1">
      <alignment horizontal="left" wrapText="1"/>
    </xf>
    <xf numFmtId="49" fontId="15" fillId="0" borderId="8" xfId="2" applyNumberFormat="1" applyFont="1" applyBorder="1" applyAlignment="1">
      <alignment horizontal="left" wrapText="1"/>
    </xf>
    <xf numFmtId="14" fontId="3" fillId="0" borderId="8" xfId="0" applyNumberFormat="1" applyFont="1" applyBorder="1" applyAlignment="1">
      <alignment horizontal="center"/>
    </xf>
    <xf numFmtId="14" fontId="1" fillId="0" borderId="8" xfId="0" applyNumberFormat="1" applyFont="1" applyBorder="1" applyAlignment="1">
      <alignment horizontal="center" vertical="center" wrapText="1"/>
    </xf>
    <xf numFmtId="0" fontId="15" fillId="0" borderId="8" xfId="0" applyFont="1" applyBorder="1" applyAlignment="1">
      <alignment horizontal="left" wrapText="1"/>
    </xf>
    <xf numFmtId="0" fontId="16" fillId="0" borderId="8" xfId="0" applyFont="1" applyBorder="1" applyAlignment="1">
      <alignment wrapText="1"/>
    </xf>
    <xf numFmtId="0" fontId="0" fillId="0" borderId="0" xfId="0"/>
    <xf numFmtId="0" fontId="0" fillId="0" borderId="0" xfId="0" applyAlignment="1">
      <alignment horizontal="center"/>
    </xf>
    <xf numFmtId="49" fontId="12" fillId="3" borderId="8" xfId="0" applyNumberFormat="1" applyFont="1" applyFill="1" applyBorder="1" applyAlignment="1">
      <alignment horizontal="center"/>
    </xf>
    <xf numFmtId="0" fontId="0" fillId="0" borderId="8" xfId="0" applyBorder="1" applyAlignment="1">
      <alignment horizontal="center"/>
    </xf>
    <xf numFmtId="43" fontId="0" fillId="0" borderId="9" xfId="3" applyFont="1" applyBorder="1" applyAlignment="1"/>
    <xf numFmtId="0" fontId="0" fillId="0" borderId="0" xfId="0" applyAlignment="1">
      <alignment wrapText="1"/>
    </xf>
    <xf numFmtId="49" fontId="12" fillId="3" borderId="8" xfId="0" applyNumberFormat="1" applyFont="1" applyFill="1" applyBorder="1" applyAlignment="1">
      <alignment wrapText="1"/>
    </xf>
    <xf numFmtId="49" fontId="5" fillId="0" borderId="8" xfId="0" applyNumberFormat="1" applyFont="1" applyBorder="1" applyAlignment="1">
      <alignment horizontal="center"/>
    </xf>
    <xf numFmtId="164" fontId="0" fillId="0" borderId="0" xfId="0" applyNumberFormat="1" applyAlignment="1">
      <alignment horizontal="center"/>
    </xf>
    <xf numFmtId="164" fontId="18" fillId="4" borderId="8" xfId="0" applyNumberFormat="1" applyFont="1" applyFill="1" applyBorder="1" applyAlignment="1">
      <alignment horizontal="center"/>
    </xf>
    <xf numFmtId="164" fontId="5" fillId="0" borderId="8" xfId="0" applyNumberFormat="1" applyFont="1" applyBorder="1" applyAlignment="1">
      <alignment horizontal="center"/>
    </xf>
    <xf numFmtId="164" fontId="0" fillId="0" borderId="8" xfId="0" applyNumberFormat="1" applyBorder="1" applyAlignment="1">
      <alignment horizontal="center"/>
    </xf>
    <xf numFmtId="1" fontId="0" fillId="0" borderId="8" xfId="0" applyNumberFormat="1" applyBorder="1" applyAlignment="1">
      <alignment horizontal="center"/>
    </xf>
    <xf numFmtId="0" fontId="5" fillId="0" borderId="8" xfId="0" applyFont="1" applyBorder="1" applyAlignment="1">
      <alignment wrapText="1"/>
    </xf>
    <xf numFmtId="0" fontId="0" fillId="0" borderId="12" xfId="0" applyBorder="1" applyAlignment="1">
      <alignment horizontal="center"/>
    </xf>
    <xf numFmtId="164" fontId="0" fillId="0" borderId="0" xfId="0" applyNumberFormat="1" applyBorder="1" applyAlignment="1">
      <alignment horizontal="center"/>
    </xf>
    <xf numFmtId="0" fontId="5" fillId="0" borderId="8" xfId="0" applyFont="1" applyBorder="1" applyAlignment="1">
      <alignment horizontal="center"/>
    </xf>
    <xf numFmtId="0" fontId="19" fillId="0" borderId="8" xfId="0" applyFont="1" applyBorder="1" applyAlignment="1">
      <alignment horizontal="center"/>
    </xf>
    <xf numFmtId="0" fontId="19" fillId="0" borderId="8" xfId="0" applyFont="1" applyBorder="1" applyAlignment="1">
      <alignment wrapText="1"/>
    </xf>
    <xf numFmtId="164" fontId="19" fillId="0" borderId="8" xfId="0" applyNumberFormat="1" applyFont="1" applyBorder="1" applyAlignment="1">
      <alignment horizontal="center"/>
    </xf>
    <xf numFmtId="0" fontId="10" fillId="0" borderId="5" xfId="1" applyFont="1" applyFill="1" applyBorder="1" applyAlignment="1">
      <alignment horizontal="left"/>
    </xf>
    <xf numFmtId="0" fontId="10" fillId="0" borderId="0" xfId="1" applyFont="1" applyFill="1" applyBorder="1" applyAlignment="1">
      <alignment horizontal="left" wrapText="1"/>
    </xf>
    <xf numFmtId="0" fontId="10" fillId="0" borderId="0" xfId="1" applyFont="1" applyFill="1" applyBorder="1" applyAlignment="1">
      <alignment horizontal="center"/>
    </xf>
    <xf numFmtId="0" fontId="10" fillId="0" borderId="6" xfId="1" applyFont="1" applyFill="1" applyBorder="1" applyAlignment="1">
      <alignment horizontal="center"/>
    </xf>
    <xf numFmtId="0" fontId="8" fillId="0" borderId="5" xfId="0" applyFont="1" applyBorder="1" applyAlignment="1">
      <alignment horizontal="left" indent="1"/>
    </xf>
    <xf numFmtId="0" fontId="5" fillId="0" borderId="0" xfId="0" applyFont="1" applyBorder="1" applyAlignment="1">
      <alignment horizontal="left" wrapText="1"/>
    </xf>
    <xf numFmtId="0" fontId="5" fillId="0" borderId="0"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indent="1"/>
    </xf>
    <xf numFmtId="0" fontId="5" fillId="0" borderId="5" xfId="0" applyFont="1" applyBorder="1" applyAlignment="1">
      <alignment horizontal="left" indent="2"/>
    </xf>
    <xf numFmtId="0" fontId="8" fillId="0" borderId="5" xfId="0" applyFont="1" applyBorder="1" applyAlignment="1">
      <alignment horizontal="left" wrapText="1"/>
    </xf>
    <xf numFmtId="0" fontId="8" fillId="0" borderId="0" xfId="0" applyFont="1" applyBorder="1" applyAlignment="1">
      <alignment horizontal="left" wrapText="1"/>
    </xf>
    <xf numFmtId="0" fontId="8" fillId="0" borderId="6" xfId="0" applyFont="1" applyBorder="1" applyAlignment="1">
      <alignment horizontal="left" wrapText="1"/>
    </xf>
    <xf numFmtId="0" fontId="8" fillId="0" borderId="10" xfId="0" applyFont="1" applyBorder="1" applyAlignment="1">
      <alignment horizontal="left"/>
    </xf>
    <xf numFmtId="0" fontId="5" fillId="0" borderId="7" xfId="0" applyFont="1" applyBorder="1" applyAlignment="1">
      <alignment horizontal="left"/>
    </xf>
    <xf numFmtId="0" fontId="5" fillId="0" borderId="11" xfId="0" applyFont="1" applyBorder="1" applyAlignment="1">
      <alignment horizontal="left"/>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9" fillId="0" borderId="5" xfId="0" applyFont="1" applyBorder="1" applyAlignment="1">
      <alignment horizontal="left"/>
    </xf>
    <xf numFmtId="0" fontId="9" fillId="0" borderId="0" xfId="0" applyFont="1" applyBorder="1" applyAlignment="1">
      <alignment horizontal="left" wrapText="1"/>
    </xf>
    <xf numFmtId="0" fontId="9" fillId="0" borderId="0" xfId="0" applyFont="1" applyBorder="1" applyAlignment="1">
      <alignment horizontal="center"/>
    </xf>
    <xf numFmtId="0" fontId="9" fillId="0" borderId="6" xfId="0" applyFont="1" applyBorder="1" applyAlignment="1">
      <alignment horizontal="center"/>
    </xf>
    <xf numFmtId="0" fontId="6" fillId="0" borderId="5" xfId="1" applyFill="1" applyBorder="1"/>
    <xf numFmtId="0" fontId="0" fillId="0" borderId="0" xfId="0" applyBorder="1" applyAlignment="1">
      <alignment wrapText="1"/>
    </xf>
    <xf numFmtId="0" fontId="0" fillId="0" borderId="0" xfId="0" applyBorder="1" applyAlignment="1">
      <alignment horizontal="center"/>
    </xf>
    <xf numFmtId="0" fontId="0" fillId="0" borderId="6" xfId="0" applyBorder="1" applyAlignment="1">
      <alignment horizontal="center"/>
    </xf>
    <xf numFmtId="0" fontId="11" fillId="0" borderId="5" xfId="0"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horizontal="center" wrapText="1"/>
    </xf>
    <xf numFmtId="0" fontId="11" fillId="0" borderId="6" xfId="0" applyFont="1" applyBorder="1" applyAlignment="1">
      <alignment horizontal="center" wrapText="1"/>
    </xf>
    <xf numFmtId="14" fontId="13" fillId="0" borderId="7" xfId="0" applyNumberFormat="1" applyFont="1" applyBorder="1" applyAlignment="1">
      <alignment horizontal="left"/>
    </xf>
    <xf numFmtId="0" fontId="5" fillId="0" borderId="8" xfId="0" applyFont="1" applyBorder="1"/>
  </cellXfs>
  <cellStyles count="4">
    <cellStyle name="Comma" xfId="3" builtinId="3"/>
    <cellStyle name="Hyperlink" xfId="1" builtinId="8"/>
    <cellStyle name="Normal" xfId="0" builtinId="0"/>
    <cellStyle name="Normal_Sheet2" xfId="2" xr:uid="{48C652BB-5C77-45F9-8C94-B2AEFFB97B78}"/>
  </cellStyles>
  <dxfs count="0"/>
  <tableStyles count="0" defaultTableStyle="TableStyleMedium9" defaultPivotStyle="PivotStyleLight16"/>
  <colors>
    <mruColors>
      <color rgb="FF96C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1</xdr:row>
      <xdr:rowOff>57150</xdr:rowOff>
    </xdr:from>
    <xdr:to>
      <xdr:col>4</xdr:col>
      <xdr:colOff>2209800</xdr:colOff>
      <xdr:row>3</xdr:row>
      <xdr:rowOff>158750</xdr:rowOff>
    </xdr:to>
    <xdr:pic>
      <xdr:nvPicPr>
        <xdr:cNvPr id="3" name="Picture 2">
          <a:extLst>
            <a:ext uri="{FF2B5EF4-FFF2-40B4-BE49-F238E27FC236}">
              <a16:creationId xmlns:a16="http://schemas.microsoft.com/office/drawing/2014/main" id="{E9A633A3-61EC-4245-A818-C29F33F4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8050" y="311150"/>
          <a:ext cx="1600200" cy="45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ms.gov/Medicare/Medicare-Fee-for-Service-Payment/ASCPayment/11_Addenda_Updates.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22"/>
  <sheetViews>
    <sheetView showGridLines="0" tabSelected="1" zoomScaleNormal="100" workbookViewId="0">
      <selection activeCell="A6" sqref="A6:E6"/>
    </sheetView>
  </sheetViews>
  <sheetFormatPr defaultRowHeight="13" x14ac:dyDescent="0.3"/>
  <cols>
    <col min="1" max="1" width="16.796875" style="15" bestFit="1" customWidth="1"/>
    <col min="2" max="2" width="40.69921875" style="19" customWidth="1"/>
    <col min="3" max="3" width="13.69921875" style="15" bestFit="1" customWidth="1"/>
    <col min="4" max="4" width="13.5" style="15" customWidth="1"/>
    <col min="5" max="5" width="38.296875" style="22" bestFit="1" customWidth="1"/>
    <col min="6" max="6" width="10" style="14" bestFit="1" customWidth="1"/>
    <col min="7" max="16384" width="8.796875" style="14"/>
  </cols>
  <sheetData>
    <row r="1" spans="1:5" ht="20" x14ac:dyDescent="0.3">
      <c r="A1" s="50" t="s">
        <v>7140</v>
      </c>
      <c r="B1" s="51"/>
      <c r="C1" s="52"/>
      <c r="D1" s="52"/>
      <c r="E1" s="53"/>
    </row>
    <row r="2" spans="1:5" ht="15" x14ac:dyDescent="0.3">
      <c r="A2" s="62" t="s">
        <v>0</v>
      </c>
      <c r="B2" s="63"/>
      <c r="C2" s="64"/>
      <c r="D2" s="64"/>
      <c r="E2" s="65"/>
    </row>
    <row r="3" spans="1:5" x14ac:dyDescent="0.3">
      <c r="A3" s="54" t="s">
        <v>1</v>
      </c>
      <c r="B3" s="55"/>
      <c r="C3" s="56"/>
      <c r="D3" s="56"/>
      <c r="E3" s="57"/>
    </row>
    <row r="4" spans="1:5" x14ac:dyDescent="0.3">
      <c r="A4" s="58" t="s">
        <v>2</v>
      </c>
      <c r="B4" s="59"/>
      <c r="C4" s="60"/>
      <c r="D4" s="60"/>
      <c r="E4" s="61"/>
    </row>
    <row r="5" spans="1:5" ht="13" customHeight="1" x14ac:dyDescent="0.3">
      <c r="A5" s="34" t="s">
        <v>3</v>
      </c>
      <c r="B5" s="35"/>
      <c r="C5" s="36"/>
      <c r="D5" s="36"/>
      <c r="E5" s="37"/>
    </row>
    <row r="6" spans="1:5" x14ac:dyDescent="0.3">
      <c r="A6" s="38" t="s">
        <v>4</v>
      </c>
      <c r="B6" s="39"/>
      <c r="C6" s="40"/>
      <c r="D6" s="40"/>
      <c r="E6" s="41"/>
    </row>
    <row r="7" spans="1:5" x14ac:dyDescent="0.3">
      <c r="A7" s="42" t="s">
        <v>7</v>
      </c>
      <c r="B7" s="39"/>
      <c r="C7" s="40"/>
      <c r="D7" s="40"/>
      <c r="E7" s="41"/>
    </row>
    <row r="8" spans="1:5" x14ac:dyDescent="0.3">
      <c r="A8" s="42" t="s">
        <v>5</v>
      </c>
      <c r="B8" s="39"/>
      <c r="C8" s="40"/>
      <c r="D8" s="40"/>
      <c r="E8" s="41"/>
    </row>
    <row r="9" spans="1:5" x14ac:dyDescent="0.3">
      <c r="A9" s="42" t="s">
        <v>6</v>
      </c>
      <c r="B9" s="39"/>
      <c r="C9" s="40"/>
      <c r="D9" s="40"/>
      <c r="E9" s="41"/>
    </row>
    <row r="10" spans="1:5" x14ac:dyDescent="0.3">
      <c r="A10" s="42" t="s">
        <v>8</v>
      </c>
      <c r="B10" s="39"/>
      <c r="C10" s="40"/>
      <c r="D10" s="40"/>
      <c r="E10" s="41"/>
    </row>
    <row r="11" spans="1:5" x14ac:dyDescent="0.3">
      <c r="A11" s="43" t="s">
        <v>9</v>
      </c>
      <c r="B11" s="39"/>
      <c r="C11" s="40"/>
      <c r="D11" s="40"/>
      <c r="E11" s="41"/>
    </row>
    <row r="12" spans="1:5" x14ac:dyDescent="0.3">
      <c r="A12" s="44" t="s">
        <v>7137</v>
      </c>
      <c r="B12" s="45"/>
      <c r="C12" s="45"/>
      <c r="D12" s="45"/>
      <c r="E12" s="46"/>
    </row>
    <row r="13" spans="1:5" x14ac:dyDescent="0.3">
      <c r="A13" s="44"/>
      <c r="B13" s="45"/>
      <c r="C13" s="45"/>
      <c r="D13" s="45"/>
      <c r="E13" s="46"/>
    </row>
    <row r="14" spans="1:5" ht="13.5" thickBot="1" x14ac:dyDescent="0.35">
      <c r="A14" s="47" t="s">
        <v>7136</v>
      </c>
      <c r="B14" s="48"/>
      <c r="C14" s="48"/>
      <c r="D14" s="48"/>
      <c r="E14" s="49"/>
    </row>
    <row r="16" spans="1:5" ht="14.5" x14ac:dyDescent="0.35">
      <c r="A16" s="16" t="s">
        <v>16</v>
      </c>
      <c r="B16" s="20" t="s">
        <v>17</v>
      </c>
      <c r="C16" s="16" t="s">
        <v>10</v>
      </c>
      <c r="D16" s="16" t="s">
        <v>18</v>
      </c>
      <c r="E16" s="23" t="s">
        <v>19</v>
      </c>
    </row>
    <row r="17" spans="1:5" x14ac:dyDescent="0.3">
      <c r="A17" s="17" t="str">
        <f>"00100"</f>
        <v>00100</v>
      </c>
      <c r="B17" s="5" t="s">
        <v>25</v>
      </c>
      <c r="C17" s="17">
        <v>19941213</v>
      </c>
      <c r="D17" s="17">
        <v>22991231</v>
      </c>
      <c r="E17" s="24" t="s">
        <v>7128</v>
      </c>
    </row>
    <row r="18" spans="1:5" x14ac:dyDescent="0.3">
      <c r="A18" s="17" t="str">
        <f>"00102"</f>
        <v>00102</v>
      </c>
      <c r="B18" s="5" t="s">
        <v>26</v>
      </c>
      <c r="C18" s="17">
        <v>19941213</v>
      </c>
      <c r="D18" s="17">
        <v>22991231</v>
      </c>
      <c r="E18" s="24" t="s">
        <v>7128</v>
      </c>
    </row>
    <row r="19" spans="1:5" x14ac:dyDescent="0.3">
      <c r="A19" s="17" t="str">
        <f>"00103"</f>
        <v>00103</v>
      </c>
      <c r="B19" s="5" t="s">
        <v>27</v>
      </c>
      <c r="C19" s="17">
        <v>19941213</v>
      </c>
      <c r="D19" s="17">
        <v>22991231</v>
      </c>
      <c r="E19" s="24" t="s">
        <v>7128</v>
      </c>
    </row>
    <row r="20" spans="1:5" x14ac:dyDescent="0.3">
      <c r="A20" s="17" t="str">
        <f>"00104"</f>
        <v>00104</v>
      </c>
      <c r="B20" s="5" t="s">
        <v>28</v>
      </c>
      <c r="C20" s="17">
        <v>19941213</v>
      </c>
      <c r="D20" s="17">
        <v>22991231</v>
      </c>
      <c r="E20" s="24" t="s">
        <v>7128</v>
      </c>
    </row>
    <row r="21" spans="1:5" ht="26" x14ac:dyDescent="0.3">
      <c r="A21" s="17" t="str">
        <f>"00120"</f>
        <v>00120</v>
      </c>
      <c r="B21" s="5" t="s">
        <v>29</v>
      </c>
      <c r="C21" s="17">
        <v>19941213</v>
      </c>
      <c r="D21" s="17">
        <v>22991231</v>
      </c>
      <c r="E21" s="24" t="s">
        <v>7128</v>
      </c>
    </row>
    <row r="22" spans="1:5" x14ac:dyDescent="0.3">
      <c r="A22" s="17" t="str">
        <f>"00124"</f>
        <v>00124</v>
      </c>
      <c r="B22" s="5" t="s">
        <v>30</v>
      </c>
      <c r="C22" s="17">
        <v>19941213</v>
      </c>
      <c r="D22" s="17">
        <v>22991231</v>
      </c>
      <c r="E22" s="24" t="s">
        <v>7128</v>
      </c>
    </row>
    <row r="23" spans="1:5" x14ac:dyDescent="0.3">
      <c r="A23" s="17" t="str">
        <f>"00126"</f>
        <v>00126</v>
      </c>
      <c r="B23" s="5" t="s">
        <v>31</v>
      </c>
      <c r="C23" s="17">
        <v>19941213</v>
      </c>
      <c r="D23" s="17">
        <v>22991231</v>
      </c>
      <c r="E23" s="24" t="s">
        <v>7128</v>
      </c>
    </row>
    <row r="24" spans="1:5" x14ac:dyDescent="0.3">
      <c r="A24" s="17" t="str">
        <f>"00140"</f>
        <v>00140</v>
      </c>
      <c r="B24" s="5" t="s">
        <v>32</v>
      </c>
      <c r="C24" s="17">
        <v>19941213</v>
      </c>
      <c r="D24" s="17">
        <v>22991231</v>
      </c>
      <c r="E24" s="24" t="s">
        <v>7128</v>
      </c>
    </row>
    <row r="25" spans="1:5" x14ac:dyDescent="0.3">
      <c r="A25" s="17" t="str">
        <f>"00142"</f>
        <v>00142</v>
      </c>
      <c r="B25" s="5" t="s">
        <v>33</v>
      </c>
      <c r="C25" s="17">
        <v>19941213</v>
      </c>
      <c r="D25" s="17">
        <v>22991231</v>
      </c>
      <c r="E25" s="24" t="s">
        <v>7128</v>
      </c>
    </row>
    <row r="26" spans="1:5" ht="26" x14ac:dyDescent="0.3">
      <c r="A26" s="17" t="str">
        <f>"00144"</f>
        <v>00144</v>
      </c>
      <c r="B26" s="5" t="s">
        <v>34</v>
      </c>
      <c r="C26" s="17">
        <v>19941213</v>
      </c>
      <c r="D26" s="17">
        <v>22991231</v>
      </c>
      <c r="E26" s="24" t="s">
        <v>7128</v>
      </c>
    </row>
    <row r="27" spans="1:5" x14ac:dyDescent="0.3">
      <c r="A27" s="17" t="str">
        <f>"00145"</f>
        <v>00145</v>
      </c>
      <c r="B27" s="5" t="s">
        <v>35</v>
      </c>
      <c r="C27" s="17">
        <v>19941213</v>
      </c>
      <c r="D27" s="17">
        <v>22991231</v>
      </c>
      <c r="E27" s="24" t="s">
        <v>7128</v>
      </c>
    </row>
    <row r="28" spans="1:5" ht="26" x14ac:dyDescent="0.3">
      <c r="A28" s="17" t="str">
        <f>"00147"</f>
        <v>00147</v>
      </c>
      <c r="B28" s="5" t="s">
        <v>36</v>
      </c>
      <c r="C28" s="17">
        <v>19941213</v>
      </c>
      <c r="D28" s="17">
        <v>22991231</v>
      </c>
      <c r="E28" s="24" t="s">
        <v>7128</v>
      </c>
    </row>
    <row r="29" spans="1:5" ht="26" x14ac:dyDescent="0.3">
      <c r="A29" s="17" t="str">
        <f>"00148"</f>
        <v>00148</v>
      </c>
      <c r="B29" s="5" t="s">
        <v>37</v>
      </c>
      <c r="C29" s="17">
        <v>19941213</v>
      </c>
      <c r="D29" s="17">
        <v>22991231</v>
      </c>
      <c r="E29" s="24" t="s">
        <v>7128</v>
      </c>
    </row>
    <row r="30" spans="1:5" ht="26" x14ac:dyDescent="0.3">
      <c r="A30" s="17" t="str">
        <f>"00160"</f>
        <v>00160</v>
      </c>
      <c r="B30" s="5" t="s">
        <v>38</v>
      </c>
      <c r="C30" s="17">
        <v>19941213</v>
      </c>
      <c r="D30" s="17">
        <v>22991231</v>
      </c>
      <c r="E30" s="24" t="s">
        <v>7128</v>
      </c>
    </row>
    <row r="31" spans="1:5" ht="26" x14ac:dyDescent="0.3">
      <c r="A31" s="17" t="str">
        <f>"00162"</f>
        <v>00162</v>
      </c>
      <c r="B31" s="5" t="s">
        <v>39</v>
      </c>
      <c r="C31" s="17">
        <v>19941213</v>
      </c>
      <c r="D31" s="17">
        <v>22991231</v>
      </c>
      <c r="E31" s="24" t="s">
        <v>7128</v>
      </c>
    </row>
    <row r="32" spans="1:5" ht="26" x14ac:dyDescent="0.3">
      <c r="A32" s="17" t="str">
        <f>"00164"</f>
        <v>00164</v>
      </c>
      <c r="B32" s="5" t="s">
        <v>40</v>
      </c>
      <c r="C32" s="17">
        <v>19941213</v>
      </c>
      <c r="D32" s="17">
        <v>22991231</v>
      </c>
      <c r="E32" s="24" t="s">
        <v>7128</v>
      </c>
    </row>
    <row r="33" spans="1:5" x14ac:dyDescent="0.3">
      <c r="A33" s="17" t="str">
        <f>"00170"</f>
        <v>00170</v>
      </c>
      <c r="B33" s="5" t="s">
        <v>41</v>
      </c>
      <c r="C33" s="17">
        <v>19941213</v>
      </c>
      <c r="D33" s="17">
        <v>22991231</v>
      </c>
      <c r="E33" s="24" t="s">
        <v>7128</v>
      </c>
    </row>
    <row r="34" spans="1:5" ht="26" x14ac:dyDescent="0.3">
      <c r="A34" s="17" t="str">
        <f>"00172"</f>
        <v>00172</v>
      </c>
      <c r="B34" s="5" t="s">
        <v>42</v>
      </c>
      <c r="C34" s="17">
        <v>19941213</v>
      </c>
      <c r="D34" s="17">
        <v>22991231</v>
      </c>
      <c r="E34" s="24" t="s">
        <v>7128</v>
      </c>
    </row>
    <row r="35" spans="1:5" ht="26" x14ac:dyDescent="0.3">
      <c r="A35" s="17" t="str">
        <f>"00174"</f>
        <v>00174</v>
      </c>
      <c r="B35" s="5" t="s">
        <v>43</v>
      </c>
      <c r="C35" s="17">
        <v>19941213</v>
      </c>
      <c r="D35" s="17">
        <v>22991231</v>
      </c>
      <c r="E35" s="24" t="s">
        <v>7128</v>
      </c>
    </row>
    <row r="36" spans="1:5" ht="26" x14ac:dyDescent="0.3">
      <c r="A36" s="17" t="str">
        <f>"00190"</f>
        <v>00190</v>
      </c>
      <c r="B36" s="5" t="s">
        <v>44</v>
      </c>
      <c r="C36" s="17">
        <v>19941213</v>
      </c>
      <c r="D36" s="17">
        <v>22991231</v>
      </c>
      <c r="E36" s="24" t="s">
        <v>7128</v>
      </c>
    </row>
    <row r="37" spans="1:5" x14ac:dyDescent="0.3">
      <c r="A37" s="17" t="str">
        <f>"00210"</f>
        <v>00210</v>
      </c>
      <c r="B37" s="5" t="s">
        <v>45</v>
      </c>
      <c r="C37" s="17">
        <v>19941213</v>
      </c>
      <c r="D37" s="17">
        <v>22991231</v>
      </c>
      <c r="E37" s="24" t="s">
        <v>7128</v>
      </c>
    </row>
    <row r="38" spans="1:5" x14ac:dyDescent="0.3">
      <c r="A38" s="17" t="str">
        <f>"00212"</f>
        <v>00212</v>
      </c>
      <c r="B38" s="5" t="s">
        <v>46</v>
      </c>
      <c r="C38" s="17">
        <v>19941213</v>
      </c>
      <c r="D38" s="17">
        <v>22991231</v>
      </c>
      <c r="E38" s="24" t="s">
        <v>7128</v>
      </c>
    </row>
    <row r="39" spans="1:5" ht="26" x14ac:dyDescent="0.3">
      <c r="A39" s="17" t="str">
        <f>"00216"</f>
        <v>00216</v>
      </c>
      <c r="B39" s="5" t="s">
        <v>47</v>
      </c>
      <c r="C39" s="17">
        <v>19941213</v>
      </c>
      <c r="D39" s="17">
        <v>22991231</v>
      </c>
      <c r="E39" s="24" t="s">
        <v>7128</v>
      </c>
    </row>
    <row r="40" spans="1:5" ht="26" x14ac:dyDescent="0.3">
      <c r="A40" s="17" t="str">
        <f>"00218"</f>
        <v>00218</v>
      </c>
      <c r="B40" s="5" t="s">
        <v>48</v>
      </c>
      <c r="C40" s="17">
        <v>19941213</v>
      </c>
      <c r="D40" s="17">
        <v>22991231</v>
      </c>
      <c r="E40" s="24" t="s">
        <v>7128</v>
      </c>
    </row>
    <row r="41" spans="1:5" ht="26" x14ac:dyDescent="0.3">
      <c r="A41" s="17" t="str">
        <f>"00220"</f>
        <v>00220</v>
      </c>
      <c r="B41" s="5" t="s">
        <v>49</v>
      </c>
      <c r="C41" s="17">
        <v>19941213</v>
      </c>
      <c r="D41" s="17">
        <v>22991231</v>
      </c>
      <c r="E41" s="24" t="s">
        <v>7128</v>
      </c>
    </row>
    <row r="42" spans="1:5" x14ac:dyDescent="0.3">
      <c r="A42" s="17" t="str">
        <f>"00222"</f>
        <v>00222</v>
      </c>
      <c r="B42" s="5" t="s">
        <v>50</v>
      </c>
      <c r="C42" s="17">
        <v>19941213</v>
      </c>
      <c r="D42" s="17">
        <v>22991231</v>
      </c>
      <c r="E42" s="24" t="s">
        <v>7128</v>
      </c>
    </row>
    <row r="43" spans="1:5" ht="26" x14ac:dyDescent="0.3">
      <c r="A43" s="17" t="str">
        <f>"00300"</f>
        <v>00300</v>
      </c>
      <c r="B43" s="5" t="s">
        <v>51</v>
      </c>
      <c r="C43" s="17">
        <v>19941213</v>
      </c>
      <c r="D43" s="17">
        <v>22991231</v>
      </c>
      <c r="E43" s="24" t="s">
        <v>7128</v>
      </c>
    </row>
    <row r="44" spans="1:5" ht="26" x14ac:dyDescent="0.3">
      <c r="A44" s="17" t="str">
        <f>"00320"</f>
        <v>00320</v>
      </c>
      <c r="B44" s="5" t="s">
        <v>52</v>
      </c>
      <c r="C44" s="17">
        <v>19941213</v>
      </c>
      <c r="D44" s="17">
        <v>22991231</v>
      </c>
      <c r="E44" s="24" t="s">
        <v>7128</v>
      </c>
    </row>
    <row r="45" spans="1:5" x14ac:dyDescent="0.3">
      <c r="A45" s="17" t="str">
        <f>"00322"</f>
        <v>00322</v>
      </c>
      <c r="B45" s="5" t="s">
        <v>53</v>
      </c>
      <c r="C45" s="17">
        <v>19941213</v>
      </c>
      <c r="D45" s="17">
        <v>22991231</v>
      </c>
      <c r="E45" s="24" t="s">
        <v>7128</v>
      </c>
    </row>
    <row r="46" spans="1:5" ht="26" x14ac:dyDescent="0.3">
      <c r="A46" s="17" t="str">
        <f>"00350"</f>
        <v>00350</v>
      </c>
      <c r="B46" s="5" t="s">
        <v>54</v>
      </c>
      <c r="C46" s="17">
        <v>19941213</v>
      </c>
      <c r="D46" s="17">
        <v>22991231</v>
      </c>
      <c r="E46" s="24" t="s">
        <v>7128</v>
      </c>
    </row>
    <row r="47" spans="1:5" x14ac:dyDescent="0.3">
      <c r="A47" s="17" t="str">
        <f>"00352"</f>
        <v>00352</v>
      </c>
      <c r="B47" s="5" t="s">
        <v>55</v>
      </c>
      <c r="C47" s="17">
        <v>19941213</v>
      </c>
      <c r="D47" s="17">
        <v>22991231</v>
      </c>
      <c r="E47" s="24" t="s">
        <v>7128</v>
      </c>
    </row>
    <row r="48" spans="1:5" ht="26" x14ac:dyDescent="0.3">
      <c r="A48" s="17" t="str">
        <f>"00400"</f>
        <v>00400</v>
      </c>
      <c r="B48" s="5" t="s">
        <v>56</v>
      </c>
      <c r="C48" s="17">
        <v>19941213</v>
      </c>
      <c r="D48" s="17">
        <v>22991231</v>
      </c>
      <c r="E48" s="24" t="s">
        <v>7128</v>
      </c>
    </row>
    <row r="49" spans="1:5" x14ac:dyDescent="0.3">
      <c r="A49" s="17" t="str">
        <f>"00402"</f>
        <v>00402</v>
      </c>
      <c r="B49" s="5" t="s">
        <v>57</v>
      </c>
      <c r="C49" s="17">
        <v>19941213</v>
      </c>
      <c r="D49" s="17">
        <v>22991231</v>
      </c>
      <c r="E49" s="24" t="s">
        <v>7128</v>
      </c>
    </row>
    <row r="50" spans="1:5" x14ac:dyDescent="0.3">
      <c r="A50" s="17" t="str">
        <f>"00404"</f>
        <v>00404</v>
      </c>
      <c r="B50" s="5" t="s">
        <v>58</v>
      </c>
      <c r="C50" s="17">
        <v>19941213</v>
      </c>
      <c r="D50" s="17">
        <v>22991231</v>
      </c>
      <c r="E50" s="24" t="s">
        <v>7128</v>
      </c>
    </row>
    <row r="51" spans="1:5" ht="26" x14ac:dyDescent="0.3">
      <c r="A51" s="17" t="str">
        <f>"00406"</f>
        <v>00406</v>
      </c>
      <c r="B51" s="5" t="s">
        <v>59</v>
      </c>
      <c r="C51" s="17">
        <v>19941213</v>
      </c>
      <c r="D51" s="17">
        <v>22991231</v>
      </c>
      <c r="E51" s="24" t="s">
        <v>7128</v>
      </c>
    </row>
    <row r="52" spans="1:5" ht="26" x14ac:dyDescent="0.3">
      <c r="A52" s="17" t="str">
        <f>"00410"</f>
        <v>00410</v>
      </c>
      <c r="B52" s="5" t="s">
        <v>60</v>
      </c>
      <c r="C52" s="17">
        <v>19941213</v>
      </c>
      <c r="D52" s="17">
        <v>22991231</v>
      </c>
      <c r="E52" s="24" t="s">
        <v>7128</v>
      </c>
    </row>
    <row r="53" spans="1:5" ht="26" x14ac:dyDescent="0.3">
      <c r="A53" s="17" t="str">
        <f>"00450"</f>
        <v>00450</v>
      </c>
      <c r="B53" s="5" t="s">
        <v>61</v>
      </c>
      <c r="C53" s="17">
        <v>19941213</v>
      </c>
      <c r="D53" s="17">
        <v>22991231</v>
      </c>
      <c r="E53" s="24" t="s">
        <v>7128</v>
      </c>
    </row>
    <row r="54" spans="1:5" x14ac:dyDescent="0.3">
      <c r="A54" s="17" t="str">
        <f>"00454"</f>
        <v>00454</v>
      </c>
      <c r="B54" s="5" t="s">
        <v>62</v>
      </c>
      <c r="C54" s="17">
        <v>19941213</v>
      </c>
      <c r="D54" s="17">
        <v>22991231</v>
      </c>
      <c r="E54" s="24" t="s">
        <v>7128</v>
      </c>
    </row>
    <row r="55" spans="1:5" x14ac:dyDescent="0.3">
      <c r="A55" s="17" t="str">
        <f>"00470"</f>
        <v>00470</v>
      </c>
      <c r="B55" s="5" t="s">
        <v>63</v>
      </c>
      <c r="C55" s="17">
        <v>19941213</v>
      </c>
      <c r="D55" s="17">
        <v>22991231</v>
      </c>
      <c r="E55" s="24" t="s">
        <v>7128</v>
      </c>
    </row>
    <row r="56" spans="1:5" ht="26" x14ac:dyDescent="0.3">
      <c r="A56" s="17" t="str">
        <f>"00472"</f>
        <v>00472</v>
      </c>
      <c r="B56" s="5" t="s">
        <v>64</v>
      </c>
      <c r="C56" s="17">
        <v>19941213</v>
      </c>
      <c r="D56" s="17">
        <v>22991231</v>
      </c>
      <c r="E56" s="24" t="s">
        <v>7128</v>
      </c>
    </row>
    <row r="57" spans="1:5" x14ac:dyDescent="0.3">
      <c r="A57" s="17" t="str">
        <f>"00500"</f>
        <v>00500</v>
      </c>
      <c r="B57" s="5" t="s">
        <v>65</v>
      </c>
      <c r="C57" s="17">
        <v>19941213</v>
      </c>
      <c r="D57" s="17">
        <v>22991231</v>
      </c>
      <c r="E57" s="24" t="s">
        <v>7128</v>
      </c>
    </row>
    <row r="58" spans="1:5" x14ac:dyDescent="0.3">
      <c r="A58" s="17" t="str">
        <f>"00520"</f>
        <v>00520</v>
      </c>
      <c r="B58" s="5" t="s">
        <v>66</v>
      </c>
      <c r="C58" s="17">
        <v>19941213</v>
      </c>
      <c r="D58" s="17">
        <v>22991231</v>
      </c>
      <c r="E58" s="24" t="s">
        <v>7128</v>
      </c>
    </row>
    <row r="59" spans="1:5" x14ac:dyDescent="0.3">
      <c r="A59" s="17" t="str">
        <f>"00522"</f>
        <v>00522</v>
      </c>
      <c r="B59" s="5" t="s">
        <v>67</v>
      </c>
      <c r="C59" s="17">
        <v>19941213</v>
      </c>
      <c r="D59" s="17">
        <v>22991231</v>
      </c>
      <c r="E59" s="24" t="s">
        <v>7128</v>
      </c>
    </row>
    <row r="60" spans="1:5" ht="26" x14ac:dyDescent="0.3">
      <c r="A60" s="17" t="str">
        <f>"00528"</f>
        <v>00528</v>
      </c>
      <c r="B60" s="5" t="s">
        <v>68</v>
      </c>
      <c r="C60" s="17">
        <v>19941213</v>
      </c>
      <c r="D60" s="17">
        <v>22991231</v>
      </c>
      <c r="E60" s="24" t="s">
        <v>7128</v>
      </c>
    </row>
    <row r="61" spans="1:5" ht="26" x14ac:dyDescent="0.3">
      <c r="A61" s="17" t="str">
        <f>"00530"</f>
        <v>00530</v>
      </c>
      <c r="B61" s="5" t="s">
        <v>69</v>
      </c>
      <c r="C61" s="17">
        <v>19941213</v>
      </c>
      <c r="D61" s="17">
        <v>22991231</v>
      </c>
      <c r="E61" s="24" t="s">
        <v>7128</v>
      </c>
    </row>
    <row r="62" spans="1:5" x14ac:dyDescent="0.3">
      <c r="A62" s="17" t="str">
        <f>"00532"</f>
        <v>00532</v>
      </c>
      <c r="B62" s="5" t="s">
        <v>70</v>
      </c>
      <c r="C62" s="17">
        <v>19941213</v>
      </c>
      <c r="D62" s="17">
        <v>22991231</v>
      </c>
      <c r="E62" s="24" t="s">
        <v>7128</v>
      </c>
    </row>
    <row r="63" spans="1:5" ht="26" x14ac:dyDescent="0.3">
      <c r="A63" s="17" t="str">
        <f>"00534"</f>
        <v>00534</v>
      </c>
      <c r="B63" s="5" t="s">
        <v>71</v>
      </c>
      <c r="C63" s="17">
        <v>19941213</v>
      </c>
      <c r="D63" s="17">
        <v>22991231</v>
      </c>
      <c r="E63" s="24" t="s">
        <v>7128</v>
      </c>
    </row>
    <row r="64" spans="1:5" x14ac:dyDescent="0.3">
      <c r="A64" s="17" t="str">
        <f>"00548"</f>
        <v>00548</v>
      </c>
      <c r="B64" s="5" t="s">
        <v>72</v>
      </c>
      <c r="C64" s="17">
        <v>19941213</v>
      </c>
      <c r="D64" s="17">
        <v>22991231</v>
      </c>
      <c r="E64" s="24" t="s">
        <v>7128</v>
      </c>
    </row>
    <row r="65" spans="1:5" x14ac:dyDescent="0.3">
      <c r="A65" s="17" t="str">
        <f>"00600"</f>
        <v>00600</v>
      </c>
      <c r="B65" s="5" t="s">
        <v>75</v>
      </c>
      <c r="C65" s="17">
        <v>19941213</v>
      </c>
      <c r="D65" s="17">
        <v>22991231</v>
      </c>
      <c r="E65" s="24" t="s">
        <v>7128</v>
      </c>
    </row>
    <row r="66" spans="1:5" x14ac:dyDescent="0.3">
      <c r="A66" s="17" t="str">
        <f>"00620"</f>
        <v>00620</v>
      </c>
      <c r="B66" s="5" t="s">
        <v>76</v>
      </c>
      <c r="C66" s="17">
        <v>19941213</v>
      </c>
      <c r="D66" s="17">
        <v>22991231</v>
      </c>
      <c r="E66" s="24" t="s">
        <v>7128</v>
      </c>
    </row>
    <row r="67" spans="1:5" x14ac:dyDescent="0.3">
      <c r="A67" s="17" t="str">
        <f>"00630"</f>
        <v>00630</v>
      </c>
      <c r="B67" s="5" t="s">
        <v>77</v>
      </c>
      <c r="C67" s="17">
        <v>19941213</v>
      </c>
      <c r="D67" s="17">
        <v>22991231</v>
      </c>
      <c r="E67" s="24" t="s">
        <v>7128</v>
      </c>
    </row>
    <row r="68" spans="1:5" x14ac:dyDescent="0.3">
      <c r="A68" s="17" t="str">
        <f>"00670"</f>
        <v>00670</v>
      </c>
      <c r="B68" s="5" t="s">
        <v>78</v>
      </c>
      <c r="C68" s="17">
        <v>19941213</v>
      </c>
      <c r="D68" s="17">
        <v>22991231</v>
      </c>
      <c r="E68" s="24" t="s">
        <v>7128</v>
      </c>
    </row>
    <row r="69" spans="1:5" ht="26" x14ac:dyDescent="0.3">
      <c r="A69" s="17" t="str">
        <f>"00700"</f>
        <v>00700</v>
      </c>
      <c r="B69" s="5" t="s">
        <v>79</v>
      </c>
      <c r="C69" s="17">
        <v>19941213</v>
      </c>
      <c r="D69" s="17">
        <v>22991231</v>
      </c>
      <c r="E69" s="24" t="s">
        <v>7128</v>
      </c>
    </row>
    <row r="70" spans="1:5" x14ac:dyDescent="0.3">
      <c r="A70" s="17" t="str">
        <f>"00702"</f>
        <v>00702</v>
      </c>
      <c r="B70" s="5" t="s">
        <v>80</v>
      </c>
      <c r="C70" s="17">
        <v>19941213</v>
      </c>
      <c r="D70" s="17">
        <v>22991231</v>
      </c>
      <c r="E70" s="24" t="s">
        <v>7128</v>
      </c>
    </row>
    <row r="71" spans="1:5" x14ac:dyDescent="0.3">
      <c r="A71" s="17" t="str">
        <f>"00730"</f>
        <v>00730</v>
      </c>
      <c r="B71" s="5" t="s">
        <v>81</v>
      </c>
      <c r="C71" s="17">
        <v>19941213</v>
      </c>
      <c r="D71" s="17">
        <v>22991231</v>
      </c>
      <c r="E71" s="24" t="s">
        <v>7128</v>
      </c>
    </row>
    <row r="72" spans="1:5" ht="39" x14ac:dyDescent="0.3">
      <c r="A72" s="17" t="str">
        <f>"00731"</f>
        <v>00731</v>
      </c>
      <c r="B72" s="5" t="s">
        <v>82</v>
      </c>
      <c r="C72" s="17">
        <v>20180101</v>
      </c>
      <c r="D72" s="17">
        <v>22991231</v>
      </c>
      <c r="E72" s="24" t="s">
        <v>7128</v>
      </c>
    </row>
    <row r="73" spans="1:5" ht="26" x14ac:dyDescent="0.3">
      <c r="A73" s="17" t="str">
        <f>"00732"</f>
        <v>00732</v>
      </c>
      <c r="B73" s="5" t="s">
        <v>83</v>
      </c>
      <c r="C73" s="17">
        <v>20180101</v>
      </c>
      <c r="D73" s="17">
        <v>22991231</v>
      </c>
      <c r="E73" s="24" t="s">
        <v>7128</v>
      </c>
    </row>
    <row r="74" spans="1:5" ht="26" x14ac:dyDescent="0.3">
      <c r="A74" s="17" t="str">
        <f>"00750"</f>
        <v>00750</v>
      </c>
      <c r="B74" s="5" t="s">
        <v>84</v>
      </c>
      <c r="C74" s="17">
        <v>19941213</v>
      </c>
      <c r="D74" s="17">
        <v>22991231</v>
      </c>
      <c r="E74" s="24" t="s">
        <v>7128</v>
      </c>
    </row>
    <row r="75" spans="1:5" ht="39" x14ac:dyDescent="0.3">
      <c r="A75" s="17" t="str">
        <f>"00752"</f>
        <v>00752</v>
      </c>
      <c r="B75" s="5" t="s">
        <v>85</v>
      </c>
      <c r="C75" s="17">
        <v>19941213</v>
      </c>
      <c r="D75" s="17">
        <v>22991231</v>
      </c>
      <c r="E75" s="24" t="s">
        <v>7128</v>
      </c>
    </row>
    <row r="76" spans="1:5" ht="26" x14ac:dyDescent="0.3">
      <c r="A76" s="17" t="str">
        <f>"00754"</f>
        <v>00754</v>
      </c>
      <c r="B76" s="5" t="s">
        <v>86</v>
      </c>
      <c r="C76" s="17">
        <v>19941213</v>
      </c>
      <c r="D76" s="17">
        <v>22991231</v>
      </c>
      <c r="E76" s="24" t="s">
        <v>7128</v>
      </c>
    </row>
    <row r="77" spans="1:5" ht="26" x14ac:dyDescent="0.3">
      <c r="A77" s="17" t="str">
        <f>"00756"</f>
        <v>00756</v>
      </c>
      <c r="B77" s="5" t="s">
        <v>87</v>
      </c>
      <c r="C77" s="17">
        <v>19941213</v>
      </c>
      <c r="D77" s="17">
        <v>22991231</v>
      </c>
      <c r="E77" s="24" t="s">
        <v>7128</v>
      </c>
    </row>
    <row r="78" spans="1:5" ht="26" x14ac:dyDescent="0.3">
      <c r="A78" s="17" t="str">
        <f>"00770"</f>
        <v>00770</v>
      </c>
      <c r="B78" s="5" t="s">
        <v>88</v>
      </c>
      <c r="C78" s="17">
        <v>19941213</v>
      </c>
      <c r="D78" s="17">
        <v>22991231</v>
      </c>
      <c r="E78" s="24" t="s">
        <v>7128</v>
      </c>
    </row>
    <row r="79" spans="1:5" ht="26" x14ac:dyDescent="0.3">
      <c r="A79" s="17" t="str">
        <f>"00790"</f>
        <v>00790</v>
      </c>
      <c r="B79" s="5" t="s">
        <v>89</v>
      </c>
      <c r="C79" s="17">
        <v>19941213</v>
      </c>
      <c r="D79" s="17">
        <v>22991231</v>
      </c>
      <c r="E79" s="24" t="s">
        <v>7128</v>
      </c>
    </row>
    <row r="80" spans="1:5" ht="26" x14ac:dyDescent="0.3">
      <c r="A80" s="17" t="str">
        <f>"00800"</f>
        <v>00800</v>
      </c>
      <c r="B80" s="5" t="s">
        <v>90</v>
      </c>
      <c r="C80" s="17">
        <v>19941213</v>
      </c>
      <c r="D80" s="17">
        <v>22991231</v>
      </c>
      <c r="E80" s="24" t="s">
        <v>7128</v>
      </c>
    </row>
    <row r="81" spans="1:5" ht="26" x14ac:dyDescent="0.3">
      <c r="A81" s="17" t="str">
        <f>"00811"</f>
        <v>00811</v>
      </c>
      <c r="B81" s="5" t="s">
        <v>91</v>
      </c>
      <c r="C81" s="17">
        <v>20180101</v>
      </c>
      <c r="D81" s="17">
        <v>22991231</v>
      </c>
      <c r="E81" s="24" t="s">
        <v>7128</v>
      </c>
    </row>
    <row r="82" spans="1:5" ht="26" x14ac:dyDescent="0.3">
      <c r="A82" s="17" t="str">
        <f>"00812"</f>
        <v>00812</v>
      </c>
      <c r="B82" s="5" t="s">
        <v>92</v>
      </c>
      <c r="C82" s="17">
        <v>20180101</v>
      </c>
      <c r="D82" s="17">
        <v>22991231</v>
      </c>
      <c r="E82" s="24" t="s">
        <v>7128</v>
      </c>
    </row>
    <row r="83" spans="1:5" ht="26" x14ac:dyDescent="0.3">
      <c r="A83" s="17" t="str">
        <f>"00813"</f>
        <v>00813</v>
      </c>
      <c r="B83" s="5" t="s">
        <v>93</v>
      </c>
      <c r="C83" s="17">
        <v>20180101</v>
      </c>
      <c r="D83" s="17">
        <v>22991231</v>
      </c>
      <c r="E83" s="24" t="s">
        <v>7128</v>
      </c>
    </row>
    <row r="84" spans="1:5" ht="26" x14ac:dyDescent="0.3">
      <c r="A84" s="17" t="str">
        <f>"00820"</f>
        <v>00820</v>
      </c>
      <c r="B84" s="5" t="s">
        <v>94</v>
      </c>
      <c r="C84" s="17">
        <v>19941213</v>
      </c>
      <c r="D84" s="17">
        <v>22991231</v>
      </c>
      <c r="E84" s="24" t="s">
        <v>7128</v>
      </c>
    </row>
    <row r="85" spans="1:5" ht="26" x14ac:dyDescent="0.3">
      <c r="A85" s="17" t="str">
        <f>"00830"</f>
        <v>00830</v>
      </c>
      <c r="B85" s="5" t="s">
        <v>95</v>
      </c>
      <c r="C85" s="17">
        <v>19941213</v>
      </c>
      <c r="D85" s="17">
        <v>22991231</v>
      </c>
      <c r="E85" s="24" t="s">
        <v>7128</v>
      </c>
    </row>
    <row r="86" spans="1:5" x14ac:dyDescent="0.3">
      <c r="A86" s="17" t="str">
        <f>"00832"</f>
        <v>00832</v>
      </c>
      <c r="B86" s="5" t="s">
        <v>96</v>
      </c>
      <c r="C86" s="17">
        <v>19941213</v>
      </c>
      <c r="D86" s="17">
        <v>22991231</v>
      </c>
      <c r="E86" s="24" t="s">
        <v>7128</v>
      </c>
    </row>
    <row r="87" spans="1:5" ht="26" x14ac:dyDescent="0.3">
      <c r="A87" s="17" t="str">
        <f>"00840"</f>
        <v>00840</v>
      </c>
      <c r="B87" s="5" t="s">
        <v>97</v>
      </c>
      <c r="C87" s="17">
        <v>19941213</v>
      </c>
      <c r="D87" s="17">
        <v>22991231</v>
      </c>
      <c r="E87" s="24" t="s">
        <v>7128</v>
      </c>
    </row>
    <row r="88" spans="1:5" ht="26" x14ac:dyDescent="0.3">
      <c r="A88" s="17" t="str">
        <f>"00842"</f>
        <v>00842</v>
      </c>
      <c r="B88" s="5" t="s">
        <v>98</v>
      </c>
      <c r="C88" s="17">
        <v>19941213</v>
      </c>
      <c r="D88" s="17">
        <v>22991231</v>
      </c>
      <c r="E88" s="24" t="s">
        <v>7128</v>
      </c>
    </row>
    <row r="89" spans="1:5" ht="26" x14ac:dyDescent="0.3">
      <c r="A89" s="17" t="str">
        <f>"00860"</f>
        <v>00860</v>
      </c>
      <c r="B89" s="5" t="s">
        <v>99</v>
      </c>
      <c r="C89" s="17">
        <v>19941213</v>
      </c>
      <c r="D89" s="17">
        <v>22991231</v>
      </c>
      <c r="E89" s="24" t="s">
        <v>7128</v>
      </c>
    </row>
    <row r="90" spans="1:5" ht="26" x14ac:dyDescent="0.3">
      <c r="A90" s="17" t="str">
        <f>"00862"</f>
        <v>00862</v>
      </c>
      <c r="B90" s="5" t="s">
        <v>100</v>
      </c>
      <c r="C90" s="17">
        <v>19941213</v>
      </c>
      <c r="D90" s="17">
        <v>22991231</v>
      </c>
      <c r="E90" s="24" t="s">
        <v>7128</v>
      </c>
    </row>
    <row r="91" spans="1:5" x14ac:dyDescent="0.3">
      <c r="A91" s="17" t="str">
        <f>"00870"</f>
        <v>00870</v>
      </c>
      <c r="B91" s="5" t="s">
        <v>101</v>
      </c>
      <c r="C91" s="17">
        <v>19941213</v>
      </c>
      <c r="D91" s="17">
        <v>22991231</v>
      </c>
      <c r="E91" s="24" t="s">
        <v>7128</v>
      </c>
    </row>
    <row r="92" spans="1:5" ht="26" x14ac:dyDescent="0.3">
      <c r="A92" s="17" t="str">
        <f>"00872"</f>
        <v>00872</v>
      </c>
      <c r="B92" s="5" t="s">
        <v>102</v>
      </c>
      <c r="C92" s="17">
        <v>19941213</v>
      </c>
      <c r="D92" s="17">
        <v>22991231</v>
      </c>
      <c r="E92" s="24" t="s">
        <v>7128</v>
      </c>
    </row>
    <row r="93" spans="1:5" ht="26" x14ac:dyDescent="0.3">
      <c r="A93" s="17" t="str">
        <f>"00873"</f>
        <v>00873</v>
      </c>
      <c r="B93" s="5" t="s">
        <v>103</v>
      </c>
      <c r="C93" s="17">
        <v>19941213</v>
      </c>
      <c r="D93" s="17">
        <v>22991231</v>
      </c>
      <c r="E93" s="24" t="s">
        <v>7128</v>
      </c>
    </row>
    <row r="94" spans="1:5" ht="26" x14ac:dyDescent="0.3">
      <c r="A94" s="17" t="str">
        <f>"00880"</f>
        <v>00880</v>
      </c>
      <c r="B94" s="5" t="s">
        <v>104</v>
      </c>
      <c r="C94" s="17">
        <v>19941213</v>
      </c>
      <c r="D94" s="17">
        <v>22991231</v>
      </c>
      <c r="E94" s="24" t="s">
        <v>7128</v>
      </c>
    </row>
    <row r="95" spans="1:5" x14ac:dyDescent="0.3">
      <c r="A95" s="17" t="str">
        <f>"00902"</f>
        <v>00902</v>
      </c>
      <c r="B95" s="5" t="s">
        <v>105</v>
      </c>
      <c r="C95" s="17">
        <v>19941213</v>
      </c>
      <c r="D95" s="17">
        <v>22991231</v>
      </c>
      <c r="E95" s="24" t="s">
        <v>7128</v>
      </c>
    </row>
    <row r="96" spans="1:5" ht="26" x14ac:dyDescent="0.3">
      <c r="A96" s="17" t="str">
        <f>"00906"</f>
        <v>00906</v>
      </c>
      <c r="B96" s="5" t="s">
        <v>106</v>
      </c>
      <c r="C96" s="17">
        <v>19941213</v>
      </c>
      <c r="D96" s="17">
        <v>22991231</v>
      </c>
      <c r="E96" s="24" t="s">
        <v>7128</v>
      </c>
    </row>
    <row r="97" spans="1:5" ht="26" x14ac:dyDescent="0.3">
      <c r="A97" s="17" t="str">
        <f>"00910"</f>
        <v>00910</v>
      </c>
      <c r="B97" s="5" t="s">
        <v>107</v>
      </c>
      <c r="C97" s="17">
        <v>19941213</v>
      </c>
      <c r="D97" s="17">
        <v>22991231</v>
      </c>
      <c r="E97" s="24" t="s">
        <v>7128</v>
      </c>
    </row>
    <row r="98" spans="1:5" ht="26" x14ac:dyDescent="0.3">
      <c r="A98" s="17" t="str">
        <f>"00912"</f>
        <v>00912</v>
      </c>
      <c r="B98" s="5" t="s">
        <v>108</v>
      </c>
      <c r="C98" s="17">
        <v>19941213</v>
      </c>
      <c r="D98" s="17">
        <v>22991231</v>
      </c>
      <c r="E98" s="24" t="s">
        <v>7128</v>
      </c>
    </row>
    <row r="99" spans="1:5" ht="26" x14ac:dyDescent="0.3">
      <c r="A99" s="17" t="str">
        <f>"00914"</f>
        <v>00914</v>
      </c>
      <c r="B99" s="5" t="s">
        <v>109</v>
      </c>
      <c r="C99" s="17">
        <v>19941213</v>
      </c>
      <c r="D99" s="17">
        <v>22991231</v>
      </c>
      <c r="E99" s="24" t="s">
        <v>7128</v>
      </c>
    </row>
    <row r="100" spans="1:5" ht="26" x14ac:dyDescent="0.3">
      <c r="A100" s="17" t="str">
        <f>"00916"</f>
        <v>00916</v>
      </c>
      <c r="B100" s="5" t="s">
        <v>110</v>
      </c>
      <c r="C100" s="17">
        <v>19941213</v>
      </c>
      <c r="D100" s="17">
        <v>22991231</v>
      </c>
      <c r="E100" s="24" t="s">
        <v>7128</v>
      </c>
    </row>
    <row r="101" spans="1:5" ht="39" x14ac:dyDescent="0.3">
      <c r="A101" s="17" t="str">
        <f>"00918"</f>
        <v>00918</v>
      </c>
      <c r="B101" s="5" t="s">
        <v>111</v>
      </c>
      <c r="C101" s="17">
        <v>19941213</v>
      </c>
      <c r="D101" s="17">
        <v>22991231</v>
      </c>
      <c r="E101" s="24" t="s">
        <v>7128</v>
      </c>
    </row>
    <row r="102" spans="1:5" x14ac:dyDescent="0.3">
      <c r="A102" s="17" t="str">
        <f>"00920"</f>
        <v>00920</v>
      </c>
      <c r="B102" s="5" t="s">
        <v>112</v>
      </c>
      <c r="C102" s="17">
        <v>19941213</v>
      </c>
      <c r="D102" s="17">
        <v>22991231</v>
      </c>
      <c r="E102" s="24" t="s">
        <v>7128</v>
      </c>
    </row>
    <row r="103" spans="1:5" x14ac:dyDescent="0.3">
      <c r="A103" s="17" t="str">
        <f>"00922"</f>
        <v>00922</v>
      </c>
      <c r="B103" s="5" t="s">
        <v>113</v>
      </c>
      <c r="C103" s="17">
        <v>19941213</v>
      </c>
      <c r="D103" s="17">
        <v>22991231</v>
      </c>
      <c r="E103" s="24" t="s">
        <v>7128</v>
      </c>
    </row>
    <row r="104" spans="1:5" ht="26" x14ac:dyDescent="0.3">
      <c r="A104" s="17" t="str">
        <f>"00924"</f>
        <v>00924</v>
      </c>
      <c r="B104" s="5" t="s">
        <v>114</v>
      </c>
      <c r="C104" s="17">
        <v>19941213</v>
      </c>
      <c r="D104" s="17">
        <v>22991231</v>
      </c>
      <c r="E104" s="24" t="s">
        <v>7128</v>
      </c>
    </row>
    <row r="105" spans="1:5" x14ac:dyDescent="0.3">
      <c r="A105" s="17" t="str">
        <f>"00926"</f>
        <v>00926</v>
      </c>
      <c r="B105" s="5" t="s">
        <v>115</v>
      </c>
      <c r="C105" s="17">
        <v>19941213</v>
      </c>
      <c r="D105" s="17">
        <v>22991231</v>
      </c>
      <c r="E105" s="24" t="s">
        <v>7128</v>
      </c>
    </row>
    <row r="106" spans="1:5" ht="26" x14ac:dyDescent="0.3">
      <c r="A106" s="17" t="str">
        <f>"00928"</f>
        <v>00928</v>
      </c>
      <c r="B106" s="5" t="s">
        <v>116</v>
      </c>
      <c r="C106" s="17">
        <v>19941213</v>
      </c>
      <c r="D106" s="17">
        <v>22991231</v>
      </c>
      <c r="E106" s="24" t="s">
        <v>7128</v>
      </c>
    </row>
    <row r="107" spans="1:5" ht="26" x14ac:dyDescent="0.3">
      <c r="A107" s="17" t="str">
        <f>"00930"</f>
        <v>00930</v>
      </c>
      <c r="B107" s="5" t="s">
        <v>117</v>
      </c>
      <c r="C107" s="17">
        <v>19941213</v>
      </c>
      <c r="D107" s="17">
        <v>22991231</v>
      </c>
      <c r="E107" s="24" t="s">
        <v>7128</v>
      </c>
    </row>
    <row r="108" spans="1:5" x14ac:dyDescent="0.3">
      <c r="A108" s="17" t="str">
        <f>"00938"</f>
        <v>00938</v>
      </c>
      <c r="B108" s="5" t="s">
        <v>118</v>
      </c>
      <c r="C108" s="17">
        <v>19941213</v>
      </c>
      <c r="D108" s="17">
        <v>22991231</v>
      </c>
      <c r="E108" s="24" t="s">
        <v>7128</v>
      </c>
    </row>
    <row r="109" spans="1:5" ht="26" x14ac:dyDescent="0.3">
      <c r="A109" s="17" t="str">
        <f>"00940"</f>
        <v>00940</v>
      </c>
      <c r="B109" s="5" t="s">
        <v>119</v>
      </c>
      <c r="C109" s="17">
        <v>19941213</v>
      </c>
      <c r="D109" s="17">
        <v>22991231</v>
      </c>
      <c r="E109" s="24" t="s">
        <v>7128</v>
      </c>
    </row>
    <row r="110" spans="1:5" ht="26" x14ac:dyDescent="0.3">
      <c r="A110" s="17" t="str">
        <f>"00942"</f>
        <v>00942</v>
      </c>
      <c r="B110" s="5" t="s">
        <v>120</v>
      </c>
      <c r="C110" s="17">
        <v>19941213</v>
      </c>
      <c r="D110" s="17">
        <v>22991231</v>
      </c>
      <c r="E110" s="24" t="s">
        <v>7128</v>
      </c>
    </row>
    <row r="111" spans="1:5" x14ac:dyDescent="0.3">
      <c r="A111" s="17" t="str">
        <f>"00948"</f>
        <v>00948</v>
      </c>
      <c r="B111" s="5" t="s">
        <v>121</v>
      </c>
      <c r="C111" s="17">
        <v>19941213</v>
      </c>
      <c r="D111" s="17">
        <v>22991231</v>
      </c>
      <c r="E111" s="24" t="s">
        <v>7128</v>
      </c>
    </row>
    <row r="112" spans="1:5" ht="26" x14ac:dyDescent="0.3">
      <c r="A112" s="17" t="str">
        <f>"00950"</f>
        <v>00950</v>
      </c>
      <c r="B112" s="5" t="s">
        <v>122</v>
      </c>
      <c r="C112" s="17">
        <v>19941213</v>
      </c>
      <c r="D112" s="17">
        <v>22991231</v>
      </c>
      <c r="E112" s="24" t="s">
        <v>7128</v>
      </c>
    </row>
    <row r="113" spans="1:5" ht="26" x14ac:dyDescent="0.3">
      <c r="A113" s="17" t="str">
        <f>"00952"</f>
        <v>00952</v>
      </c>
      <c r="B113" s="5" t="s">
        <v>123</v>
      </c>
      <c r="C113" s="17">
        <v>19941213</v>
      </c>
      <c r="D113" s="17">
        <v>22991231</v>
      </c>
      <c r="E113" s="24" t="s">
        <v>7128</v>
      </c>
    </row>
    <row r="114" spans="1:5" x14ac:dyDescent="0.3">
      <c r="A114" s="17" t="str">
        <f>"01120"</f>
        <v>01120</v>
      </c>
      <c r="B114" s="5" t="s">
        <v>126</v>
      </c>
      <c r="C114" s="17">
        <v>19941213</v>
      </c>
      <c r="D114" s="17">
        <v>22991231</v>
      </c>
      <c r="E114" s="24" t="s">
        <v>7128</v>
      </c>
    </row>
    <row r="115" spans="1:5" ht="26" x14ac:dyDescent="0.3">
      <c r="A115" s="17" t="str">
        <f>"01130"</f>
        <v>01130</v>
      </c>
      <c r="B115" s="5" t="s">
        <v>127</v>
      </c>
      <c r="C115" s="17">
        <v>19941213</v>
      </c>
      <c r="D115" s="17">
        <v>22991231</v>
      </c>
      <c r="E115" s="24" t="s">
        <v>7128</v>
      </c>
    </row>
    <row r="116" spans="1:5" ht="26" x14ac:dyDescent="0.3">
      <c r="A116" s="17" t="str">
        <f>"01160"</f>
        <v>01160</v>
      </c>
      <c r="B116" s="5" t="s">
        <v>128</v>
      </c>
      <c r="C116" s="17">
        <v>19941213</v>
      </c>
      <c r="D116" s="17">
        <v>22991231</v>
      </c>
      <c r="E116" s="24" t="s">
        <v>7128</v>
      </c>
    </row>
    <row r="117" spans="1:5" ht="26" x14ac:dyDescent="0.3">
      <c r="A117" s="17" t="str">
        <f>"01170"</f>
        <v>01170</v>
      </c>
      <c r="B117" s="5" t="s">
        <v>129</v>
      </c>
      <c r="C117" s="17">
        <v>19941213</v>
      </c>
      <c r="D117" s="17">
        <v>22991231</v>
      </c>
      <c r="E117" s="24" t="s">
        <v>7128</v>
      </c>
    </row>
    <row r="118" spans="1:5" x14ac:dyDescent="0.3">
      <c r="A118" s="17" t="str">
        <f>"01200"</f>
        <v>01200</v>
      </c>
      <c r="B118" s="5" t="s">
        <v>130</v>
      </c>
      <c r="C118" s="17">
        <v>19941213</v>
      </c>
      <c r="D118" s="17">
        <v>22991231</v>
      </c>
      <c r="E118" s="24" t="s">
        <v>7128</v>
      </c>
    </row>
    <row r="119" spans="1:5" ht="26" x14ac:dyDescent="0.3">
      <c r="A119" s="17" t="str">
        <f>"01202"</f>
        <v>01202</v>
      </c>
      <c r="B119" s="5" t="s">
        <v>131</v>
      </c>
      <c r="C119" s="17">
        <v>19941213</v>
      </c>
      <c r="D119" s="17">
        <v>22991231</v>
      </c>
      <c r="E119" s="24" t="s">
        <v>7128</v>
      </c>
    </row>
    <row r="120" spans="1:5" x14ac:dyDescent="0.3">
      <c r="A120" s="17" t="str">
        <f>"01210"</f>
        <v>01210</v>
      </c>
      <c r="B120" s="5" t="s">
        <v>132</v>
      </c>
      <c r="C120" s="17">
        <v>19941213</v>
      </c>
      <c r="D120" s="17">
        <v>22991231</v>
      </c>
      <c r="E120" s="24" t="s">
        <v>7128</v>
      </c>
    </row>
    <row r="121" spans="1:5" ht="26" x14ac:dyDescent="0.3">
      <c r="A121" s="17" t="str">
        <f>"01220"</f>
        <v>01220</v>
      </c>
      <c r="B121" s="5" t="s">
        <v>133</v>
      </c>
      <c r="C121" s="17">
        <v>19941213</v>
      </c>
      <c r="D121" s="17">
        <v>22991231</v>
      </c>
      <c r="E121" s="24" t="s">
        <v>7128</v>
      </c>
    </row>
    <row r="122" spans="1:5" ht="26" x14ac:dyDescent="0.3">
      <c r="A122" s="17" t="str">
        <f>"01230"</f>
        <v>01230</v>
      </c>
      <c r="B122" s="5" t="s">
        <v>134</v>
      </c>
      <c r="C122" s="17">
        <v>19941213</v>
      </c>
      <c r="D122" s="17">
        <v>22991231</v>
      </c>
      <c r="E122" s="24" t="s">
        <v>7128</v>
      </c>
    </row>
    <row r="123" spans="1:5" ht="26" x14ac:dyDescent="0.3">
      <c r="A123" s="17" t="str">
        <f>"01250"</f>
        <v>01250</v>
      </c>
      <c r="B123" s="5" t="s">
        <v>135</v>
      </c>
      <c r="C123" s="17">
        <v>19941213</v>
      </c>
      <c r="D123" s="17">
        <v>22991231</v>
      </c>
      <c r="E123" s="24" t="s">
        <v>7128</v>
      </c>
    </row>
    <row r="124" spans="1:5" x14ac:dyDescent="0.3">
      <c r="A124" s="17" t="str">
        <f>"01260"</f>
        <v>01260</v>
      </c>
      <c r="B124" s="5" t="s">
        <v>136</v>
      </c>
      <c r="C124" s="17">
        <v>19941213</v>
      </c>
      <c r="D124" s="17">
        <v>22991231</v>
      </c>
      <c r="E124" s="24" t="s">
        <v>7128</v>
      </c>
    </row>
    <row r="125" spans="1:5" ht="26" x14ac:dyDescent="0.3">
      <c r="A125" s="17" t="str">
        <f>"01270"</f>
        <v>01270</v>
      </c>
      <c r="B125" s="5" t="s">
        <v>137</v>
      </c>
      <c r="C125" s="17">
        <v>19941213</v>
      </c>
      <c r="D125" s="17">
        <v>22991231</v>
      </c>
      <c r="E125" s="24" t="s">
        <v>7128</v>
      </c>
    </row>
    <row r="126" spans="1:5" ht="26" x14ac:dyDescent="0.3">
      <c r="A126" s="17" t="str">
        <f>"01320"</f>
        <v>01320</v>
      </c>
      <c r="B126" s="5" t="s">
        <v>138</v>
      </c>
      <c r="C126" s="17">
        <v>19941213</v>
      </c>
      <c r="D126" s="17">
        <v>22991231</v>
      </c>
      <c r="E126" s="24" t="s">
        <v>7128</v>
      </c>
    </row>
    <row r="127" spans="1:5" ht="26" x14ac:dyDescent="0.3">
      <c r="A127" s="17" t="str">
        <f>"01340"</f>
        <v>01340</v>
      </c>
      <c r="B127" s="5" t="s">
        <v>139</v>
      </c>
      <c r="C127" s="17">
        <v>19941213</v>
      </c>
      <c r="D127" s="17">
        <v>22991231</v>
      </c>
      <c r="E127" s="24" t="s">
        <v>7128</v>
      </c>
    </row>
    <row r="128" spans="1:5" ht="26" x14ac:dyDescent="0.3">
      <c r="A128" s="17" t="str">
        <f>"01360"</f>
        <v>01360</v>
      </c>
      <c r="B128" s="5" t="s">
        <v>140</v>
      </c>
      <c r="C128" s="17">
        <v>19941213</v>
      </c>
      <c r="D128" s="17">
        <v>22991231</v>
      </c>
      <c r="E128" s="24" t="s">
        <v>7128</v>
      </c>
    </row>
    <row r="129" spans="1:5" x14ac:dyDescent="0.3">
      <c r="A129" s="17" t="str">
        <f>"01380"</f>
        <v>01380</v>
      </c>
      <c r="B129" s="5" t="s">
        <v>141</v>
      </c>
      <c r="C129" s="17">
        <v>19941213</v>
      </c>
      <c r="D129" s="17">
        <v>22991231</v>
      </c>
      <c r="E129" s="24" t="s">
        <v>7128</v>
      </c>
    </row>
    <row r="130" spans="1:5" ht="26" x14ac:dyDescent="0.3">
      <c r="A130" s="17" t="str">
        <f>"01382"</f>
        <v>01382</v>
      </c>
      <c r="B130" s="5" t="s">
        <v>142</v>
      </c>
      <c r="C130" s="17">
        <v>19941213</v>
      </c>
      <c r="D130" s="17">
        <v>22991231</v>
      </c>
      <c r="E130" s="24" t="s">
        <v>7128</v>
      </c>
    </row>
    <row r="131" spans="1:5" ht="26" x14ac:dyDescent="0.3">
      <c r="A131" s="17" t="str">
        <f>"01390"</f>
        <v>01390</v>
      </c>
      <c r="B131" s="5" t="s">
        <v>143</v>
      </c>
      <c r="C131" s="17">
        <v>19941213</v>
      </c>
      <c r="D131" s="17">
        <v>22991231</v>
      </c>
      <c r="E131" s="24" t="s">
        <v>7128</v>
      </c>
    </row>
    <row r="132" spans="1:5" ht="26" x14ac:dyDescent="0.3">
      <c r="A132" s="17" t="str">
        <f>"01392"</f>
        <v>01392</v>
      </c>
      <c r="B132" s="5" t="s">
        <v>144</v>
      </c>
      <c r="C132" s="17">
        <v>19941213</v>
      </c>
      <c r="D132" s="17">
        <v>22991231</v>
      </c>
      <c r="E132" s="24" t="s">
        <v>7128</v>
      </c>
    </row>
    <row r="133" spans="1:5" ht="26" x14ac:dyDescent="0.3">
      <c r="A133" s="17" t="str">
        <f>"01400"</f>
        <v>01400</v>
      </c>
      <c r="B133" s="5" t="s">
        <v>145</v>
      </c>
      <c r="C133" s="17">
        <v>19941213</v>
      </c>
      <c r="D133" s="17">
        <v>22991231</v>
      </c>
      <c r="E133" s="24" t="s">
        <v>7128</v>
      </c>
    </row>
    <row r="134" spans="1:5" ht="26" x14ac:dyDescent="0.3">
      <c r="A134" s="17" t="str">
        <f>"01420"</f>
        <v>01420</v>
      </c>
      <c r="B134" s="5" t="s">
        <v>146</v>
      </c>
      <c r="C134" s="17">
        <v>19941213</v>
      </c>
      <c r="D134" s="17">
        <v>22991231</v>
      </c>
      <c r="E134" s="24" t="s">
        <v>7128</v>
      </c>
    </row>
    <row r="135" spans="1:5" x14ac:dyDescent="0.3">
      <c r="A135" s="17" t="str">
        <f>"01430"</f>
        <v>01430</v>
      </c>
      <c r="B135" s="5" t="s">
        <v>147</v>
      </c>
      <c r="C135" s="17">
        <v>19941213</v>
      </c>
      <c r="D135" s="17">
        <v>22991231</v>
      </c>
      <c r="E135" s="24" t="s">
        <v>7128</v>
      </c>
    </row>
    <row r="136" spans="1:5" ht="26" x14ac:dyDescent="0.3">
      <c r="A136" s="17" t="str">
        <f>"01432"</f>
        <v>01432</v>
      </c>
      <c r="B136" s="5" t="s">
        <v>148</v>
      </c>
      <c r="C136" s="17">
        <v>19941213</v>
      </c>
      <c r="D136" s="17">
        <v>22991231</v>
      </c>
      <c r="E136" s="24" t="s">
        <v>7128</v>
      </c>
    </row>
    <row r="137" spans="1:5" x14ac:dyDescent="0.3">
      <c r="A137" s="17" t="str">
        <f>"01440"</f>
        <v>01440</v>
      </c>
      <c r="B137" s="5" t="s">
        <v>149</v>
      </c>
      <c r="C137" s="17">
        <v>19941213</v>
      </c>
      <c r="D137" s="17">
        <v>22991231</v>
      </c>
      <c r="E137" s="24" t="s">
        <v>7128</v>
      </c>
    </row>
    <row r="138" spans="1:5" ht="26" x14ac:dyDescent="0.3">
      <c r="A138" s="17" t="str">
        <f>"01462"</f>
        <v>01462</v>
      </c>
      <c r="B138" s="5" t="s">
        <v>150</v>
      </c>
      <c r="C138" s="17">
        <v>19941213</v>
      </c>
      <c r="D138" s="17">
        <v>22991231</v>
      </c>
      <c r="E138" s="24" t="s">
        <v>7128</v>
      </c>
    </row>
    <row r="139" spans="1:5" ht="26" x14ac:dyDescent="0.3">
      <c r="A139" s="17" t="str">
        <f>"01464"</f>
        <v>01464</v>
      </c>
      <c r="B139" s="5" t="s">
        <v>151</v>
      </c>
      <c r="C139" s="17">
        <v>19941213</v>
      </c>
      <c r="D139" s="17">
        <v>22991231</v>
      </c>
      <c r="E139" s="24" t="s">
        <v>7128</v>
      </c>
    </row>
    <row r="140" spans="1:5" ht="39" x14ac:dyDescent="0.3">
      <c r="A140" s="17" t="str">
        <f>"01470"</f>
        <v>01470</v>
      </c>
      <c r="B140" s="5" t="s">
        <v>152</v>
      </c>
      <c r="C140" s="17">
        <v>19941213</v>
      </c>
      <c r="D140" s="17">
        <v>22991231</v>
      </c>
      <c r="E140" s="24" t="s">
        <v>7128</v>
      </c>
    </row>
    <row r="141" spans="1:5" x14ac:dyDescent="0.3">
      <c r="A141" s="17" t="str">
        <f>"01472"</f>
        <v>01472</v>
      </c>
      <c r="B141" s="5" t="s">
        <v>153</v>
      </c>
      <c r="C141" s="17">
        <v>19941213</v>
      </c>
      <c r="D141" s="17">
        <v>22991231</v>
      </c>
      <c r="E141" s="24" t="s">
        <v>7128</v>
      </c>
    </row>
    <row r="142" spans="1:5" x14ac:dyDescent="0.3">
      <c r="A142" s="17" t="str">
        <f>"01474"</f>
        <v>01474</v>
      </c>
      <c r="B142" s="5" t="s">
        <v>154</v>
      </c>
      <c r="C142" s="17">
        <v>19941213</v>
      </c>
      <c r="D142" s="17">
        <v>22991231</v>
      </c>
      <c r="E142" s="24" t="s">
        <v>7128</v>
      </c>
    </row>
    <row r="143" spans="1:5" ht="26" x14ac:dyDescent="0.3">
      <c r="A143" s="17" t="str">
        <f>"01480"</f>
        <v>01480</v>
      </c>
      <c r="B143" s="5" t="s">
        <v>155</v>
      </c>
      <c r="C143" s="17">
        <v>19941213</v>
      </c>
      <c r="D143" s="17">
        <v>22991231</v>
      </c>
      <c r="E143" s="24" t="s">
        <v>7128</v>
      </c>
    </row>
    <row r="144" spans="1:5" x14ac:dyDescent="0.3">
      <c r="A144" s="17" t="str">
        <f>"01482"</f>
        <v>01482</v>
      </c>
      <c r="B144" s="5" t="s">
        <v>156</v>
      </c>
      <c r="C144" s="17">
        <v>19941213</v>
      </c>
      <c r="D144" s="17">
        <v>22991231</v>
      </c>
      <c r="E144" s="24" t="s">
        <v>7128</v>
      </c>
    </row>
    <row r="145" spans="1:5" ht="26" x14ac:dyDescent="0.3">
      <c r="A145" s="17" t="str">
        <f>"01484"</f>
        <v>01484</v>
      </c>
      <c r="B145" s="5" t="s">
        <v>157</v>
      </c>
      <c r="C145" s="17">
        <v>19941213</v>
      </c>
      <c r="D145" s="17">
        <v>22991231</v>
      </c>
      <c r="E145" s="24" t="s">
        <v>7128</v>
      </c>
    </row>
    <row r="146" spans="1:5" ht="26" x14ac:dyDescent="0.3">
      <c r="A146" s="17" t="str">
        <f>"01490"</f>
        <v>01490</v>
      </c>
      <c r="B146" s="5" t="s">
        <v>158</v>
      </c>
      <c r="C146" s="17">
        <v>19941213</v>
      </c>
      <c r="D146" s="17">
        <v>22991231</v>
      </c>
      <c r="E146" s="24" t="s">
        <v>7128</v>
      </c>
    </row>
    <row r="147" spans="1:5" ht="26" x14ac:dyDescent="0.3">
      <c r="A147" s="17" t="str">
        <f>"01500"</f>
        <v>01500</v>
      </c>
      <c r="B147" s="5" t="s">
        <v>159</v>
      </c>
      <c r="C147" s="17">
        <v>19941213</v>
      </c>
      <c r="D147" s="17">
        <v>22991231</v>
      </c>
      <c r="E147" s="24" t="s">
        <v>7128</v>
      </c>
    </row>
    <row r="148" spans="1:5" ht="26" x14ac:dyDescent="0.3">
      <c r="A148" s="17" t="str">
        <f>"01520"</f>
        <v>01520</v>
      </c>
      <c r="B148" s="5" t="s">
        <v>160</v>
      </c>
      <c r="C148" s="17">
        <v>19941213</v>
      </c>
      <c r="D148" s="17">
        <v>22991231</v>
      </c>
      <c r="E148" s="24" t="s">
        <v>7128</v>
      </c>
    </row>
    <row r="149" spans="1:5" ht="26" x14ac:dyDescent="0.3">
      <c r="A149" s="17" t="str">
        <f>"01522"</f>
        <v>01522</v>
      </c>
      <c r="B149" s="5" t="s">
        <v>161</v>
      </c>
      <c r="C149" s="17">
        <v>19941213</v>
      </c>
      <c r="D149" s="17">
        <v>22991231</v>
      </c>
      <c r="E149" s="24" t="s">
        <v>7128</v>
      </c>
    </row>
    <row r="150" spans="1:5" ht="39" x14ac:dyDescent="0.3">
      <c r="A150" s="17" t="str">
        <f>"01610"</f>
        <v>01610</v>
      </c>
      <c r="B150" s="5" t="s">
        <v>162</v>
      </c>
      <c r="C150" s="17">
        <v>19941213</v>
      </c>
      <c r="D150" s="17">
        <v>22991231</v>
      </c>
      <c r="E150" s="24" t="s">
        <v>7128</v>
      </c>
    </row>
    <row r="151" spans="1:5" ht="26" x14ac:dyDescent="0.3">
      <c r="A151" s="17" t="str">
        <f>"01620"</f>
        <v>01620</v>
      </c>
      <c r="B151" s="5" t="s">
        <v>163</v>
      </c>
      <c r="C151" s="17">
        <v>19941213</v>
      </c>
      <c r="D151" s="17">
        <v>22991231</v>
      </c>
      <c r="E151" s="24" t="s">
        <v>7128</v>
      </c>
    </row>
    <row r="152" spans="1:5" ht="26" x14ac:dyDescent="0.3">
      <c r="A152" s="17" t="str">
        <f>"01622"</f>
        <v>01622</v>
      </c>
      <c r="B152" s="5" t="s">
        <v>164</v>
      </c>
      <c r="C152" s="17">
        <v>19941213</v>
      </c>
      <c r="D152" s="17">
        <v>22991231</v>
      </c>
      <c r="E152" s="24" t="s">
        <v>7128</v>
      </c>
    </row>
    <row r="153" spans="1:5" ht="26" x14ac:dyDescent="0.3">
      <c r="A153" s="17" t="str">
        <f>"01630"</f>
        <v>01630</v>
      </c>
      <c r="B153" s="5" t="s">
        <v>165</v>
      </c>
      <c r="C153" s="17">
        <v>19941213</v>
      </c>
      <c r="D153" s="17">
        <v>22991231</v>
      </c>
      <c r="E153" s="24" t="s">
        <v>7128</v>
      </c>
    </row>
    <row r="154" spans="1:5" ht="26" x14ac:dyDescent="0.3">
      <c r="A154" s="17" t="str">
        <f>"01650"</f>
        <v>01650</v>
      </c>
      <c r="B154" s="5" t="s">
        <v>166</v>
      </c>
      <c r="C154" s="17">
        <v>19941213</v>
      </c>
      <c r="D154" s="17">
        <v>22991231</v>
      </c>
      <c r="E154" s="24" t="s">
        <v>7128</v>
      </c>
    </row>
    <row r="155" spans="1:5" ht="26" x14ac:dyDescent="0.3">
      <c r="A155" s="17" t="str">
        <f>"01670"</f>
        <v>01670</v>
      </c>
      <c r="B155" s="5" t="s">
        <v>167</v>
      </c>
      <c r="C155" s="17">
        <v>19941213</v>
      </c>
      <c r="D155" s="17">
        <v>22991231</v>
      </c>
      <c r="E155" s="24" t="s">
        <v>7128</v>
      </c>
    </row>
    <row r="156" spans="1:5" ht="26" x14ac:dyDescent="0.3">
      <c r="A156" s="17" t="str">
        <f>"01680"</f>
        <v>01680</v>
      </c>
      <c r="B156" s="5" t="s">
        <v>168</v>
      </c>
      <c r="C156" s="17">
        <v>19941213</v>
      </c>
      <c r="D156" s="17">
        <v>22991231</v>
      </c>
      <c r="E156" s="24" t="s">
        <v>7128</v>
      </c>
    </row>
    <row r="157" spans="1:5" ht="39" x14ac:dyDescent="0.3">
      <c r="A157" s="17" t="str">
        <f>"01710"</f>
        <v>01710</v>
      </c>
      <c r="B157" s="5" t="s">
        <v>169</v>
      </c>
      <c r="C157" s="17">
        <v>19941213</v>
      </c>
      <c r="D157" s="17">
        <v>22991231</v>
      </c>
      <c r="E157" s="24" t="s">
        <v>7128</v>
      </c>
    </row>
    <row r="158" spans="1:5" ht="26" x14ac:dyDescent="0.3">
      <c r="A158" s="17" t="str">
        <f>"01712"</f>
        <v>01712</v>
      </c>
      <c r="B158" s="5" t="s">
        <v>170</v>
      </c>
      <c r="C158" s="17">
        <v>19941213</v>
      </c>
      <c r="D158" s="17">
        <v>22991231</v>
      </c>
      <c r="E158" s="24" t="s">
        <v>7128</v>
      </c>
    </row>
    <row r="159" spans="1:5" ht="26" x14ac:dyDescent="0.3">
      <c r="A159" s="17" t="str">
        <f>"01714"</f>
        <v>01714</v>
      </c>
      <c r="B159" s="5" t="s">
        <v>171</v>
      </c>
      <c r="C159" s="17">
        <v>19941213</v>
      </c>
      <c r="D159" s="17">
        <v>22991231</v>
      </c>
      <c r="E159" s="24" t="s">
        <v>7128</v>
      </c>
    </row>
    <row r="160" spans="1:5" ht="26" x14ac:dyDescent="0.3">
      <c r="A160" s="17" t="str">
        <f>"01716"</f>
        <v>01716</v>
      </c>
      <c r="B160" s="5" t="s">
        <v>172</v>
      </c>
      <c r="C160" s="17">
        <v>19941213</v>
      </c>
      <c r="D160" s="17">
        <v>22991231</v>
      </c>
      <c r="E160" s="24" t="s">
        <v>7128</v>
      </c>
    </row>
    <row r="161" spans="1:5" ht="26" x14ac:dyDescent="0.3">
      <c r="A161" s="17" t="str">
        <f>"01730"</f>
        <v>01730</v>
      </c>
      <c r="B161" s="5" t="s">
        <v>173</v>
      </c>
      <c r="C161" s="17">
        <v>19941213</v>
      </c>
      <c r="D161" s="17">
        <v>22991231</v>
      </c>
      <c r="E161" s="24" t="s">
        <v>7128</v>
      </c>
    </row>
    <row r="162" spans="1:5" ht="26" x14ac:dyDescent="0.3">
      <c r="A162" s="17" t="str">
        <f>"01732"</f>
        <v>01732</v>
      </c>
      <c r="B162" s="5" t="s">
        <v>174</v>
      </c>
      <c r="C162" s="17">
        <v>19941213</v>
      </c>
      <c r="D162" s="17">
        <v>22991231</v>
      </c>
      <c r="E162" s="24" t="s">
        <v>7128</v>
      </c>
    </row>
    <row r="163" spans="1:5" x14ac:dyDescent="0.3">
      <c r="A163" s="17" t="str">
        <f>"01740"</f>
        <v>01740</v>
      </c>
      <c r="B163" s="5" t="s">
        <v>175</v>
      </c>
      <c r="C163" s="17">
        <v>19941213</v>
      </c>
      <c r="D163" s="17">
        <v>22991231</v>
      </c>
      <c r="E163" s="24" t="s">
        <v>7128</v>
      </c>
    </row>
    <row r="164" spans="1:5" ht="26" x14ac:dyDescent="0.3">
      <c r="A164" s="17" t="str">
        <f>"01742"</f>
        <v>01742</v>
      </c>
      <c r="B164" s="5" t="s">
        <v>176</v>
      </c>
      <c r="C164" s="17">
        <v>19941213</v>
      </c>
      <c r="D164" s="17">
        <v>22991231</v>
      </c>
      <c r="E164" s="24" t="s">
        <v>7128</v>
      </c>
    </row>
    <row r="165" spans="1:5" ht="26" x14ac:dyDescent="0.3">
      <c r="A165" s="17" t="str">
        <f>"01744"</f>
        <v>01744</v>
      </c>
      <c r="B165" s="5" t="s">
        <v>177</v>
      </c>
      <c r="C165" s="17">
        <v>19941213</v>
      </c>
      <c r="D165" s="17">
        <v>22991231</v>
      </c>
      <c r="E165" s="24" t="s">
        <v>7128</v>
      </c>
    </row>
    <row r="166" spans="1:5" ht="26" x14ac:dyDescent="0.3">
      <c r="A166" s="17" t="str">
        <f>"01758"</f>
        <v>01758</v>
      </c>
      <c r="B166" s="5" t="s">
        <v>178</v>
      </c>
      <c r="C166" s="17">
        <v>19941213</v>
      </c>
      <c r="D166" s="17">
        <v>22991231</v>
      </c>
      <c r="E166" s="24" t="s">
        <v>7128</v>
      </c>
    </row>
    <row r="167" spans="1:5" x14ac:dyDescent="0.3">
      <c r="A167" s="17" t="str">
        <f>"01760"</f>
        <v>01760</v>
      </c>
      <c r="B167" s="5" t="s">
        <v>179</v>
      </c>
      <c r="C167" s="17">
        <v>19941213</v>
      </c>
      <c r="D167" s="17">
        <v>22991231</v>
      </c>
      <c r="E167" s="24" t="s">
        <v>7128</v>
      </c>
    </row>
    <row r="168" spans="1:5" ht="26" x14ac:dyDescent="0.3">
      <c r="A168" s="17" t="str">
        <f>"01770"</f>
        <v>01770</v>
      </c>
      <c r="B168" s="5" t="s">
        <v>180</v>
      </c>
      <c r="C168" s="17">
        <v>19941213</v>
      </c>
      <c r="D168" s="17">
        <v>22991231</v>
      </c>
      <c r="E168" s="24" t="s">
        <v>7128</v>
      </c>
    </row>
    <row r="169" spans="1:5" ht="26" x14ac:dyDescent="0.3">
      <c r="A169" s="17" t="str">
        <f>"01772"</f>
        <v>01772</v>
      </c>
      <c r="B169" s="5" t="s">
        <v>181</v>
      </c>
      <c r="C169" s="17">
        <v>19941213</v>
      </c>
      <c r="D169" s="17">
        <v>22991231</v>
      </c>
      <c r="E169" s="24" t="s">
        <v>7128</v>
      </c>
    </row>
    <row r="170" spans="1:5" ht="26" x14ac:dyDescent="0.3">
      <c r="A170" s="17" t="str">
        <f>"01780"</f>
        <v>01780</v>
      </c>
      <c r="B170" s="5" t="s">
        <v>182</v>
      </c>
      <c r="C170" s="17">
        <v>19941213</v>
      </c>
      <c r="D170" s="17">
        <v>22991231</v>
      </c>
      <c r="E170" s="24" t="s">
        <v>7128</v>
      </c>
    </row>
    <row r="171" spans="1:5" ht="26" x14ac:dyDescent="0.3">
      <c r="A171" s="17" t="str">
        <f>"01782"</f>
        <v>01782</v>
      </c>
      <c r="B171" s="5" t="s">
        <v>183</v>
      </c>
      <c r="C171" s="17">
        <v>19941213</v>
      </c>
      <c r="D171" s="17">
        <v>22991231</v>
      </c>
      <c r="E171" s="24" t="s">
        <v>7128</v>
      </c>
    </row>
    <row r="172" spans="1:5" ht="26" x14ac:dyDescent="0.3">
      <c r="A172" s="17" t="str">
        <f>"01810"</f>
        <v>01810</v>
      </c>
      <c r="B172" s="5" t="s">
        <v>184</v>
      </c>
      <c r="C172" s="17">
        <v>19941213</v>
      </c>
      <c r="D172" s="17">
        <v>22991231</v>
      </c>
      <c r="E172" s="24" t="s">
        <v>7128</v>
      </c>
    </row>
    <row r="173" spans="1:5" ht="26" x14ac:dyDescent="0.3">
      <c r="A173" s="17" t="str">
        <f>"01820"</f>
        <v>01820</v>
      </c>
      <c r="B173" s="5" t="s">
        <v>185</v>
      </c>
      <c r="C173" s="17">
        <v>19941213</v>
      </c>
      <c r="D173" s="17">
        <v>22991231</v>
      </c>
      <c r="E173" s="24" t="s">
        <v>7128</v>
      </c>
    </row>
    <row r="174" spans="1:5" ht="26" x14ac:dyDescent="0.3">
      <c r="A174" s="17" t="str">
        <f>"01830"</f>
        <v>01830</v>
      </c>
      <c r="B174" s="5" t="s">
        <v>186</v>
      </c>
      <c r="C174" s="17">
        <v>19941213</v>
      </c>
      <c r="D174" s="17">
        <v>22991231</v>
      </c>
      <c r="E174" s="24" t="s">
        <v>7128</v>
      </c>
    </row>
    <row r="175" spans="1:5" x14ac:dyDescent="0.3">
      <c r="A175" s="17" t="str">
        <f>"01832"</f>
        <v>01832</v>
      </c>
      <c r="B175" s="5" t="s">
        <v>187</v>
      </c>
      <c r="C175" s="17">
        <v>19941213</v>
      </c>
      <c r="D175" s="17">
        <v>22991231</v>
      </c>
      <c r="E175" s="24" t="s">
        <v>7128</v>
      </c>
    </row>
    <row r="176" spans="1:5" ht="26" x14ac:dyDescent="0.3">
      <c r="A176" s="17" t="str">
        <f>"01840"</f>
        <v>01840</v>
      </c>
      <c r="B176" s="5" t="s">
        <v>188</v>
      </c>
      <c r="C176" s="17">
        <v>19941213</v>
      </c>
      <c r="D176" s="17">
        <v>22991231</v>
      </c>
      <c r="E176" s="24" t="s">
        <v>7128</v>
      </c>
    </row>
    <row r="177" spans="1:5" ht="26" x14ac:dyDescent="0.3">
      <c r="A177" s="17" t="str">
        <f>"01842"</f>
        <v>01842</v>
      </c>
      <c r="B177" s="5" t="s">
        <v>189</v>
      </c>
      <c r="C177" s="17">
        <v>19941213</v>
      </c>
      <c r="D177" s="17">
        <v>22991231</v>
      </c>
      <c r="E177" s="24" t="s">
        <v>7128</v>
      </c>
    </row>
    <row r="178" spans="1:5" ht="26" x14ac:dyDescent="0.3">
      <c r="A178" s="17" t="str">
        <f>"01844"</f>
        <v>01844</v>
      </c>
      <c r="B178" s="5" t="s">
        <v>190</v>
      </c>
      <c r="C178" s="17">
        <v>19941213</v>
      </c>
      <c r="D178" s="17">
        <v>22991231</v>
      </c>
      <c r="E178" s="24" t="s">
        <v>7128</v>
      </c>
    </row>
    <row r="179" spans="1:5" ht="26" x14ac:dyDescent="0.3">
      <c r="A179" s="17" t="str">
        <f>"01850"</f>
        <v>01850</v>
      </c>
      <c r="B179" s="5" t="s">
        <v>191</v>
      </c>
      <c r="C179" s="17">
        <v>19941213</v>
      </c>
      <c r="D179" s="17">
        <v>22991231</v>
      </c>
      <c r="E179" s="24" t="s">
        <v>7128</v>
      </c>
    </row>
    <row r="180" spans="1:5" ht="26" x14ac:dyDescent="0.3">
      <c r="A180" s="17" t="str">
        <f>"01852"</f>
        <v>01852</v>
      </c>
      <c r="B180" s="5" t="s">
        <v>192</v>
      </c>
      <c r="C180" s="17">
        <v>19941213</v>
      </c>
      <c r="D180" s="17">
        <v>22991231</v>
      </c>
      <c r="E180" s="24" t="s">
        <v>7128</v>
      </c>
    </row>
    <row r="181" spans="1:5" ht="26" x14ac:dyDescent="0.3">
      <c r="A181" s="17" t="str">
        <f>"01860"</f>
        <v>01860</v>
      </c>
      <c r="B181" s="5" t="s">
        <v>193</v>
      </c>
      <c r="C181" s="17">
        <v>19941213</v>
      </c>
      <c r="D181" s="17">
        <v>22991231</v>
      </c>
      <c r="E181" s="24" t="s">
        <v>7128</v>
      </c>
    </row>
    <row r="182" spans="1:5" ht="26" x14ac:dyDescent="0.3">
      <c r="A182" s="17" t="str">
        <f>"01916"</f>
        <v>01916</v>
      </c>
      <c r="B182" s="5" t="s">
        <v>194</v>
      </c>
      <c r="C182" s="17">
        <v>19941213</v>
      </c>
      <c r="D182" s="17">
        <v>22991231</v>
      </c>
      <c r="E182" s="24" t="s">
        <v>7128</v>
      </c>
    </row>
    <row r="183" spans="1:5" ht="26" x14ac:dyDescent="0.3">
      <c r="A183" s="17" t="str">
        <f>"01920"</f>
        <v>01920</v>
      </c>
      <c r="B183" s="5" t="s">
        <v>195</v>
      </c>
      <c r="C183" s="17">
        <v>19941213</v>
      </c>
      <c r="D183" s="17">
        <v>22991231</v>
      </c>
      <c r="E183" s="24" t="s">
        <v>7128</v>
      </c>
    </row>
    <row r="184" spans="1:5" x14ac:dyDescent="0.3">
      <c r="A184" s="17" t="str">
        <f>"01922"</f>
        <v>01922</v>
      </c>
      <c r="B184" s="5" t="s">
        <v>196</v>
      </c>
      <c r="C184" s="17">
        <v>19941213</v>
      </c>
      <c r="D184" s="17">
        <v>22991231</v>
      </c>
      <c r="E184" s="24" t="s">
        <v>7128</v>
      </c>
    </row>
    <row r="185" spans="1:5" ht="26" x14ac:dyDescent="0.3">
      <c r="A185" s="17" t="str">
        <f>"01996"</f>
        <v>01996</v>
      </c>
      <c r="B185" s="5" t="s">
        <v>197</v>
      </c>
      <c r="C185" s="17">
        <v>19941213</v>
      </c>
      <c r="D185" s="17">
        <v>22991231</v>
      </c>
      <c r="E185" s="24" t="s">
        <v>7128</v>
      </c>
    </row>
    <row r="186" spans="1:5" x14ac:dyDescent="0.3">
      <c r="A186" s="17" t="str">
        <f>"01999"</f>
        <v>01999</v>
      </c>
      <c r="B186" s="5" t="s">
        <v>198</v>
      </c>
      <c r="C186" s="17">
        <v>19900101</v>
      </c>
      <c r="D186" s="17">
        <v>22991231</v>
      </c>
      <c r="E186" s="24" t="s">
        <v>7128</v>
      </c>
    </row>
    <row r="187" spans="1:5" ht="26" x14ac:dyDescent="0.3">
      <c r="A187" s="17" t="str">
        <f>"10004"</f>
        <v>10004</v>
      </c>
      <c r="B187" s="5" t="s">
        <v>344</v>
      </c>
      <c r="C187" s="17">
        <v>20190101</v>
      </c>
      <c r="D187" s="17">
        <v>22991231</v>
      </c>
      <c r="E187" s="25">
        <v>0</v>
      </c>
    </row>
    <row r="188" spans="1:5" ht="26" x14ac:dyDescent="0.3">
      <c r="A188" s="17" t="str">
        <f>"10005"</f>
        <v>10005</v>
      </c>
      <c r="B188" s="5" t="s">
        <v>345</v>
      </c>
      <c r="C188" s="17">
        <v>20190101</v>
      </c>
      <c r="D188" s="17">
        <v>22991231</v>
      </c>
      <c r="E188" s="25">
        <v>348.6</v>
      </c>
    </row>
    <row r="189" spans="1:5" ht="26" x14ac:dyDescent="0.3">
      <c r="A189" s="17" t="str">
        <f>"10006"</f>
        <v>10006</v>
      </c>
      <c r="B189" s="5" t="s">
        <v>346</v>
      </c>
      <c r="C189" s="17">
        <v>20190101</v>
      </c>
      <c r="D189" s="17">
        <v>22991231</v>
      </c>
      <c r="E189" s="25">
        <v>0</v>
      </c>
    </row>
    <row r="190" spans="1:5" ht="26" x14ac:dyDescent="0.3">
      <c r="A190" s="17" t="str">
        <f>"10007"</f>
        <v>10007</v>
      </c>
      <c r="B190" s="5" t="s">
        <v>347</v>
      </c>
      <c r="C190" s="17">
        <v>20190101</v>
      </c>
      <c r="D190" s="17">
        <v>22991231</v>
      </c>
      <c r="E190" s="25">
        <v>221.43</v>
      </c>
    </row>
    <row r="191" spans="1:5" ht="26" x14ac:dyDescent="0.3">
      <c r="A191" s="17" t="str">
        <f>"10008"</f>
        <v>10008</v>
      </c>
      <c r="B191" s="5" t="s">
        <v>348</v>
      </c>
      <c r="C191" s="17">
        <v>20190101</v>
      </c>
      <c r="D191" s="17">
        <v>22991231</v>
      </c>
      <c r="E191" s="25">
        <v>0</v>
      </c>
    </row>
    <row r="192" spans="1:5" ht="26" x14ac:dyDescent="0.3">
      <c r="A192" s="17" t="str">
        <f>"10009"</f>
        <v>10009</v>
      </c>
      <c r="B192" s="5" t="s">
        <v>349</v>
      </c>
      <c r="C192" s="17">
        <v>20190101</v>
      </c>
      <c r="D192" s="17">
        <v>22991231</v>
      </c>
      <c r="E192" s="25">
        <v>348.6</v>
      </c>
    </row>
    <row r="193" spans="1:5" ht="26" x14ac:dyDescent="0.3">
      <c r="A193" s="17" t="str">
        <f>"10010"</f>
        <v>10010</v>
      </c>
      <c r="B193" s="5" t="s">
        <v>350</v>
      </c>
      <c r="C193" s="17">
        <v>20190101</v>
      </c>
      <c r="D193" s="17">
        <v>22991231</v>
      </c>
      <c r="E193" s="25">
        <v>0</v>
      </c>
    </row>
    <row r="194" spans="1:5" ht="26" x14ac:dyDescent="0.3">
      <c r="A194" s="17" t="str">
        <f>"10011"</f>
        <v>10011</v>
      </c>
      <c r="B194" s="5" t="s">
        <v>351</v>
      </c>
      <c r="C194" s="17">
        <v>20190101</v>
      </c>
      <c r="D194" s="17">
        <v>22991231</v>
      </c>
      <c r="E194" s="25">
        <v>348.6</v>
      </c>
    </row>
    <row r="195" spans="1:5" ht="26" x14ac:dyDescent="0.3">
      <c r="A195" s="17" t="str">
        <f>"10012"</f>
        <v>10012</v>
      </c>
      <c r="B195" s="5" t="s">
        <v>352</v>
      </c>
      <c r="C195" s="17">
        <v>20190101</v>
      </c>
      <c r="D195" s="17">
        <v>22991231</v>
      </c>
      <c r="E195" s="25">
        <v>0</v>
      </c>
    </row>
    <row r="196" spans="1:5" x14ac:dyDescent="0.3">
      <c r="A196" s="17" t="str">
        <f>"10021"</f>
        <v>10021</v>
      </c>
      <c r="B196" s="5" t="s">
        <v>353</v>
      </c>
      <c r="C196" s="17">
        <v>20020101</v>
      </c>
      <c r="D196" s="17">
        <v>22991231</v>
      </c>
      <c r="E196" s="25">
        <v>58.48</v>
      </c>
    </row>
    <row r="197" spans="1:5" ht="26" x14ac:dyDescent="0.3">
      <c r="A197" s="17" t="str">
        <f>"10030"</f>
        <v>10030</v>
      </c>
      <c r="B197" s="5" t="s">
        <v>354</v>
      </c>
      <c r="C197" s="17">
        <v>20230101</v>
      </c>
      <c r="D197" s="17">
        <v>22991231</v>
      </c>
      <c r="E197" s="25">
        <v>348.6</v>
      </c>
    </row>
    <row r="198" spans="1:5" ht="26" x14ac:dyDescent="0.3">
      <c r="A198" s="17" t="str">
        <f>"10035"</f>
        <v>10035</v>
      </c>
      <c r="B198" s="5" t="s">
        <v>355</v>
      </c>
      <c r="C198" s="17">
        <v>20230101</v>
      </c>
      <c r="D198" s="17">
        <v>22991231</v>
      </c>
      <c r="E198" s="25">
        <v>0</v>
      </c>
    </row>
    <row r="199" spans="1:5" ht="26" x14ac:dyDescent="0.3">
      <c r="A199" s="17" t="str">
        <f>"10036"</f>
        <v>10036</v>
      </c>
      <c r="B199" s="5" t="s">
        <v>356</v>
      </c>
      <c r="C199" s="17">
        <v>20230101</v>
      </c>
      <c r="D199" s="17">
        <v>22991231</v>
      </c>
      <c r="E199" s="25">
        <v>0</v>
      </c>
    </row>
    <row r="200" spans="1:5" x14ac:dyDescent="0.3">
      <c r="A200" s="17" t="str">
        <f>"10040"</f>
        <v>10040</v>
      </c>
      <c r="B200" s="5" t="s">
        <v>357</v>
      </c>
      <c r="C200" s="17">
        <v>19900101</v>
      </c>
      <c r="D200" s="17">
        <v>22991231</v>
      </c>
      <c r="E200" s="25">
        <v>0</v>
      </c>
    </row>
    <row r="201" spans="1:5" x14ac:dyDescent="0.3">
      <c r="A201" s="17" t="str">
        <f>"10060"</f>
        <v>10060</v>
      </c>
      <c r="B201" s="5" t="s">
        <v>358</v>
      </c>
      <c r="C201" s="17">
        <v>19900101</v>
      </c>
      <c r="D201" s="17">
        <v>22991231</v>
      </c>
      <c r="E201" s="25">
        <v>77.569999999999993</v>
      </c>
    </row>
    <row r="202" spans="1:5" ht="26" x14ac:dyDescent="0.3">
      <c r="A202" s="17" t="str">
        <f>"10061"</f>
        <v>10061</v>
      </c>
      <c r="B202" s="5" t="s">
        <v>359</v>
      </c>
      <c r="C202" s="17">
        <v>19900101</v>
      </c>
      <c r="D202" s="17">
        <v>22991231</v>
      </c>
      <c r="E202" s="25">
        <v>115.72</v>
      </c>
    </row>
    <row r="203" spans="1:5" x14ac:dyDescent="0.3">
      <c r="A203" s="17" t="str">
        <f>"10080"</f>
        <v>10080</v>
      </c>
      <c r="B203" s="5" t="s">
        <v>360</v>
      </c>
      <c r="C203" s="17">
        <v>19900101</v>
      </c>
      <c r="D203" s="17">
        <v>22991231</v>
      </c>
      <c r="E203" s="25">
        <v>191.4</v>
      </c>
    </row>
    <row r="204" spans="1:5" x14ac:dyDescent="0.3">
      <c r="A204" s="17" t="str">
        <f>"10081"</f>
        <v>10081</v>
      </c>
      <c r="B204" s="5" t="s">
        <v>361</v>
      </c>
      <c r="C204" s="17">
        <v>19900101</v>
      </c>
      <c r="D204" s="17">
        <v>22991231</v>
      </c>
      <c r="E204" s="25">
        <v>230.81</v>
      </c>
    </row>
    <row r="205" spans="1:5" ht="26" x14ac:dyDescent="0.3">
      <c r="A205" s="17" t="str">
        <f>"10120"</f>
        <v>10120</v>
      </c>
      <c r="B205" s="5" t="s">
        <v>362</v>
      </c>
      <c r="C205" s="17">
        <v>19900101</v>
      </c>
      <c r="D205" s="17">
        <v>22991231</v>
      </c>
      <c r="E205" s="25">
        <v>100.71</v>
      </c>
    </row>
    <row r="206" spans="1:5" ht="26" x14ac:dyDescent="0.3">
      <c r="A206" s="17" t="str">
        <f>"10121"</f>
        <v>10121</v>
      </c>
      <c r="B206" s="5" t="s">
        <v>363</v>
      </c>
      <c r="C206" s="17">
        <v>19900101</v>
      </c>
      <c r="D206" s="17">
        <v>22991231</v>
      </c>
      <c r="E206" s="25">
        <v>652.27</v>
      </c>
    </row>
    <row r="207" spans="1:5" x14ac:dyDescent="0.3">
      <c r="A207" s="17" t="str">
        <f>"10140"</f>
        <v>10140</v>
      </c>
      <c r="B207" s="5" t="s">
        <v>364</v>
      </c>
      <c r="C207" s="17">
        <v>19900101</v>
      </c>
      <c r="D207" s="17">
        <v>22991231</v>
      </c>
      <c r="E207" s="25">
        <v>104.15</v>
      </c>
    </row>
    <row r="208" spans="1:5" x14ac:dyDescent="0.3">
      <c r="A208" s="17" t="str">
        <f>"10160"</f>
        <v>10160</v>
      </c>
      <c r="B208" s="5" t="s">
        <v>365</v>
      </c>
      <c r="C208" s="17">
        <v>19900101</v>
      </c>
      <c r="D208" s="17">
        <v>22991231</v>
      </c>
      <c r="E208" s="25">
        <v>78.19</v>
      </c>
    </row>
    <row r="209" spans="1:5" ht="26" x14ac:dyDescent="0.3">
      <c r="A209" s="17" t="str">
        <f>"10180"</f>
        <v>10180</v>
      </c>
      <c r="B209" s="5" t="s">
        <v>366</v>
      </c>
      <c r="C209" s="17">
        <v>19900101</v>
      </c>
      <c r="D209" s="17">
        <v>22991231</v>
      </c>
      <c r="E209" s="25">
        <v>1105.24</v>
      </c>
    </row>
    <row r="210" spans="1:5" ht="26" x14ac:dyDescent="0.3">
      <c r="A210" s="17" t="str">
        <f>"11000"</f>
        <v>11000</v>
      </c>
      <c r="B210" s="5" t="s">
        <v>367</v>
      </c>
      <c r="C210" s="17">
        <v>19900101</v>
      </c>
      <c r="D210" s="17">
        <v>22991231</v>
      </c>
      <c r="E210" s="25">
        <v>35.340000000000003</v>
      </c>
    </row>
    <row r="211" spans="1:5" ht="26" x14ac:dyDescent="0.3">
      <c r="A211" s="17" t="str">
        <f>"11001"</f>
        <v>11001</v>
      </c>
      <c r="B211" s="5" t="s">
        <v>368</v>
      </c>
      <c r="C211" s="17">
        <v>19900101</v>
      </c>
      <c r="D211" s="17">
        <v>22991231</v>
      </c>
      <c r="E211" s="25">
        <v>0</v>
      </c>
    </row>
    <row r="212" spans="1:5" ht="26" x14ac:dyDescent="0.3">
      <c r="A212" s="17" t="str">
        <f>"11010"</f>
        <v>11010</v>
      </c>
      <c r="B212" s="5" t="s">
        <v>369</v>
      </c>
      <c r="C212" s="17">
        <v>19900101</v>
      </c>
      <c r="D212" s="17">
        <v>22991231</v>
      </c>
      <c r="E212" s="25">
        <v>348.6</v>
      </c>
    </row>
    <row r="213" spans="1:5" ht="39" x14ac:dyDescent="0.3">
      <c r="A213" s="17" t="str">
        <f>"11011"</f>
        <v>11011</v>
      </c>
      <c r="B213" s="5" t="s">
        <v>370</v>
      </c>
      <c r="C213" s="17">
        <v>19900101</v>
      </c>
      <c r="D213" s="17">
        <v>22991231</v>
      </c>
      <c r="E213" s="25">
        <v>348.6</v>
      </c>
    </row>
    <row r="214" spans="1:5" ht="39" x14ac:dyDescent="0.3">
      <c r="A214" s="17" t="str">
        <f>"11012"</f>
        <v>11012</v>
      </c>
      <c r="B214" s="5" t="s">
        <v>371</v>
      </c>
      <c r="C214" s="17">
        <v>19900101</v>
      </c>
      <c r="D214" s="17">
        <v>22991231</v>
      </c>
      <c r="E214" s="25">
        <v>1105.24</v>
      </c>
    </row>
    <row r="215" spans="1:5" x14ac:dyDescent="0.3">
      <c r="A215" s="17" t="str">
        <f>"11042"</f>
        <v>11042</v>
      </c>
      <c r="B215" s="5" t="s">
        <v>372</v>
      </c>
      <c r="C215" s="17">
        <v>19900101</v>
      </c>
      <c r="D215" s="17">
        <v>22991231</v>
      </c>
      <c r="E215" s="25">
        <v>197.56</v>
      </c>
    </row>
    <row r="216" spans="1:5" ht="26" x14ac:dyDescent="0.3">
      <c r="A216" s="17" t="str">
        <f>"11043"</f>
        <v>11043</v>
      </c>
      <c r="B216" s="5" t="s">
        <v>373</v>
      </c>
      <c r="C216" s="17">
        <v>19900101</v>
      </c>
      <c r="D216" s="17">
        <v>22991231</v>
      </c>
      <c r="E216" s="25">
        <v>311.18</v>
      </c>
    </row>
    <row r="217" spans="1:5" x14ac:dyDescent="0.3">
      <c r="A217" s="17" t="str">
        <f>"11044"</f>
        <v>11044</v>
      </c>
      <c r="B217" s="5" t="s">
        <v>374</v>
      </c>
      <c r="C217" s="17">
        <v>19970801</v>
      </c>
      <c r="D217" s="17">
        <v>22991231</v>
      </c>
      <c r="E217" s="25">
        <v>652.27</v>
      </c>
    </row>
    <row r="218" spans="1:5" ht="26" x14ac:dyDescent="0.3">
      <c r="A218" s="17" t="str">
        <f>"11045"</f>
        <v>11045</v>
      </c>
      <c r="B218" s="5" t="s">
        <v>375</v>
      </c>
      <c r="C218" s="17">
        <v>20110101</v>
      </c>
      <c r="D218" s="17">
        <v>22991231</v>
      </c>
      <c r="E218" s="25">
        <v>0</v>
      </c>
    </row>
    <row r="219" spans="1:5" ht="26" x14ac:dyDescent="0.3">
      <c r="A219" s="17" t="str">
        <f>"11046"</f>
        <v>11046</v>
      </c>
      <c r="B219" s="5" t="s">
        <v>376</v>
      </c>
      <c r="C219" s="17">
        <v>20110101</v>
      </c>
      <c r="D219" s="17">
        <v>22991231</v>
      </c>
      <c r="E219" s="25">
        <v>0</v>
      </c>
    </row>
    <row r="220" spans="1:5" ht="26" x14ac:dyDescent="0.3">
      <c r="A220" s="17" t="str">
        <f>"11047"</f>
        <v>11047</v>
      </c>
      <c r="B220" s="5" t="s">
        <v>377</v>
      </c>
      <c r="C220" s="17">
        <v>20110101</v>
      </c>
      <c r="D220" s="17">
        <v>22991231</v>
      </c>
      <c r="E220" s="25">
        <v>0</v>
      </c>
    </row>
    <row r="221" spans="1:5" ht="26" x14ac:dyDescent="0.3">
      <c r="A221" s="17" t="str">
        <f>"11055"</f>
        <v>11055</v>
      </c>
      <c r="B221" s="5" t="s">
        <v>378</v>
      </c>
      <c r="C221" s="17">
        <v>19900101</v>
      </c>
      <c r="D221" s="17">
        <v>22991231</v>
      </c>
      <c r="E221" s="25">
        <v>0</v>
      </c>
    </row>
    <row r="222" spans="1:5" ht="26" x14ac:dyDescent="0.3">
      <c r="A222" s="17" t="str">
        <f>"11056"</f>
        <v>11056</v>
      </c>
      <c r="B222" s="5" t="s">
        <v>379</v>
      </c>
      <c r="C222" s="17">
        <v>19900101</v>
      </c>
      <c r="D222" s="17">
        <v>22991231</v>
      </c>
      <c r="E222" s="25">
        <v>0</v>
      </c>
    </row>
    <row r="223" spans="1:5" ht="26" x14ac:dyDescent="0.3">
      <c r="A223" s="17" t="str">
        <f>"11057"</f>
        <v>11057</v>
      </c>
      <c r="B223" s="5" t="s">
        <v>380</v>
      </c>
      <c r="C223" s="17">
        <v>19900101</v>
      </c>
      <c r="D223" s="17">
        <v>22991231</v>
      </c>
      <c r="E223" s="25">
        <v>62.87</v>
      </c>
    </row>
    <row r="224" spans="1:5" x14ac:dyDescent="0.3">
      <c r="A224" s="17" t="str">
        <f>"11102"</f>
        <v>11102</v>
      </c>
      <c r="B224" s="5" t="s">
        <v>381</v>
      </c>
      <c r="C224" s="17">
        <v>20190101</v>
      </c>
      <c r="D224" s="17">
        <v>22991231</v>
      </c>
      <c r="E224" s="25">
        <v>71.62</v>
      </c>
    </row>
    <row r="225" spans="1:5" ht="26" x14ac:dyDescent="0.3">
      <c r="A225" s="17" t="str">
        <f>"11103"</f>
        <v>11103</v>
      </c>
      <c r="B225" s="5" t="s">
        <v>382</v>
      </c>
      <c r="C225" s="17">
        <v>20190101</v>
      </c>
      <c r="D225" s="17">
        <v>22991231</v>
      </c>
      <c r="E225" s="25">
        <v>0</v>
      </c>
    </row>
    <row r="226" spans="1:5" x14ac:dyDescent="0.3">
      <c r="A226" s="17" t="str">
        <f>"11104"</f>
        <v>11104</v>
      </c>
      <c r="B226" s="5" t="s">
        <v>383</v>
      </c>
      <c r="C226" s="17">
        <v>20190101</v>
      </c>
      <c r="D226" s="17">
        <v>22991231</v>
      </c>
      <c r="E226" s="25">
        <v>88.51</v>
      </c>
    </row>
    <row r="227" spans="1:5" x14ac:dyDescent="0.3">
      <c r="A227" s="17" t="str">
        <f>"11105"</f>
        <v>11105</v>
      </c>
      <c r="B227" s="5" t="s">
        <v>384</v>
      </c>
      <c r="C227" s="17">
        <v>20190101</v>
      </c>
      <c r="D227" s="17">
        <v>22991231</v>
      </c>
      <c r="E227" s="25">
        <v>0</v>
      </c>
    </row>
    <row r="228" spans="1:5" x14ac:dyDescent="0.3">
      <c r="A228" s="17" t="str">
        <f>"11106"</f>
        <v>11106</v>
      </c>
      <c r="B228" s="5" t="s">
        <v>385</v>
      </c>
      <c r="C228" s="17">
        <v>20190101</v>
      </c>
      <c r="D228" s="17">
        <v>22991231</v>
      </c>
      <c r="E228" s="25">
        <v>110.41</v>
      </c>
    </row>
    <row r="229" spans="1:5" x14ac:dyDescent="0.3">
      <c r="A229" s="17" t="str">
        <f>"11107"</f>
        <v>11107</v>
      </c>
      <c r="B229" s="5" t="s">
        <v>386</v>
      </c>
      <c r="C229" s="17">
        <v>20190101</v>
      </c>
      <c r="D229" s="17">
        <v>22991231</v>
      </c>
      <c r="E229" s="25">
        <v>0</v>
      </c>
    </row>
    <row r="230" spans="1:5" x14ac:dyDescent="0.3">
      <c r="A230" s="17" t="str">
        <f>"11200"</f>
        <v>11200</v>
      </c>
      <c r="B230" s="5" t="s">
        <v>387</v>
      </c>
      <c r="C230" s="17">
        <v>19900101</v>
      </c>
      <c r="D230" s="17">
        <v>22991231</v>
      </c>
      <c r="E230" s="25">
        <v>0</v>
      </c>
    </row>
    <row r="231" spans="1:5" x14ac:dyDescent="0.3">
      <c r="A231" s="17" t="str">
        <f>"11201"</f>
        <v>11201</v>
      </c>
      <c r="B231" s="5" t="s">
        <v>388</v>
      </c>
      <c r="C231" s="17">
        <v>19900101</v>
      </c>
      <c r="D231" s="17">
        <v>22991231</v>
      </c>
      <c r="E231" s="25">
        <v>0</v>
      </c>
    </row>
    <row r="232" spans="1:5" ht="26" x14ac:dyDescent="0.3">
      <c r="A232" s="17" t="str">
        <f>"11300"</f>
        <v>11300</v>
      </c>
      <c r="B232" s="5" t="s">
        <v>389</v>
      </c>
      <c r="C232" s="17">
        <v>19900101</v>
      </c>
      <c r="D232" s="17">
        <v>22991231</v>
      </c>
      <c r="E232" s="25">
        <v>0</v>
      </c>
    </row>
    <row r="233" spans="1:5" ht="26" x14ac:dyDescent="0.3">
      <c r="A233" s="17" t="str">
        <f>"11301"</f>
        <v>11301</v>
      </c>
      <c r="B233" s="5" t="s">
        <v>390</v>
      </c>
      <c r="C233" s="17">
        <v>19900101</v>
      </c>
      <c r="D233" s="17">
        <v>22991231</v>
      </c>
      <c r="E233" s="25">
        <v>0</v>
      </c>
    </row>
    <row r="234" spans="1:5" ht="26" x14ac:dyDescent="0.3">
      <c r="A234" s="17" t="str">
        <f>"11302"</f>
        <v>11302</v>
      </c>
      <c r="B234" s="5" t="s">
        <v>391</v>
      </c>
      <c r="C234" s="17">
        <v>19900101</v>
      </c>
      <c r="D234" s="17">
        <v>22991231</v>
      </c>
      <c r="E234" s="25">
        <v>0</v>
      </c>
    </row>
    <row r="235" spans="1:5" ht="26" x14ac:dyDescent="0.3">
      <c r="A235" s="17" t="str">
        <f>"11303"</f>
        <v>11303</v>
      </c>
      <c r="B235" s="5" t="s">
        <v>392</v>
      </c>
      <c r="C235" s="17">
        <v>19900101</v>
      </c>
      <c r="D235" s="17">
        <v>22991231</v>
      </c>
      <c r="E235" s="25">
        <v>0</v>
      </c>
    </row>
    <row r="236" spans="1:5" ht="26" x14ac:dyDescent="0.3">
      <c r="A236" s="17" t="str">
        <f>"11305"</f>
        <v>11305</v>
      </c>
      <c r="B236" s="5" t="s">
        <v>393</v>
      </c>
      <c r="C236" s="17">
        <v>19900101</v>
      </c>
      <c r="D236" s="17">
        <v>22991231</v>
      </c>
      <c r="E236" s="25">
        <v>0</v>
      </c>
    </row>
    <row r="237" spans="1:5" ht="26" x14ac:dyDescent="0.3">
      <c r="A237" s="17" t="str">
        <f>"11306"</f>
        <v>11306</v>
      </c>
      <c r="B237" s="5" t="s">
        <v>394</v>
      </c>
      <c r="C237" s="17">
        <v>19900101</v>
      </c>
      <c r="D237" s="17">
        <v>22991231</v>
      </c>
      <c r="E237" s="25">
        <v>0</v>
      </c>
    </row>
    <row r="238" spans="1:5" ht="26" x14ac:dyDescent="0.3">
      <c r="A238" s="17" t="str">
        <f>"11307"</f>
        <v>11307</v>
      </c>
      <c r="B238" s="5" t="s">
        <v>395</v>
      </c>
      <c r="C238" s="17">
        <v>19900101</v>
      </c>
      <c r="D238" s="17">
        <v>22991231</v>
      </c>
      <c r="E238" s="25">
        <v>88.82</v>
      </c>
    </row>
    <row r="239" spans="1:5" ht="26" x14ac:dyDescent="0.3">
      <c r="A239" s="17" t="str">
        <f>"11308"</f>
        <v>11308</v>
      </c>
      <c r="B239" s="5" t="s">
        <v>396</v>
      </c>
      <c r="C239" s="17">
        <v>19900101</v>
      </c>
      <c r="D239" s="17">
        <v>22991231</v>
      </c>
      <c r="E239" s="25">
        <v>0</v>
      </c>
    </row>
    <row r="240" spans="1:5" ht="26" x14ac:dyDescent="0.3">
      <c r="A240" s="17" t="str">
        <f>"11310"</f>
        <v>11310</v>
      </c>
      <c r="B240" s="5" t="s">
        <v>397</v>
      </c>
      <c r="C240" s="17">
        <v>19900101</v>
      </c>
      <c r="D240" s="17">
        <v>22991231</v>
      </c>
      <c r="E240" s="25">
        <v>81.010000000000005</v>
      </c>
    </row>
    <row r="241" spans="1:5" ht="26" x14ac:dyDescent="0.3">
      <c r="A241" s="17" t="str">
        <f>"11311"</f>
        <v>11311</v>
      </c>
      <c r="B241" s="5" t="s">
        <v>398</v>
      </c>
      <c r="C241" s="17">
        <v>19900101</v>
      </c>
      <c r="D241" s="17">
        <v>22991231</v>
      </c>
      <c r="E241" s="25">
        <v>90.39</v>
      </c>
    </row>
    <row r="242" spans="1:5" ht="26" x14ac:dyDescent="0.3">
      <c r="A242" s="17" t="str">
        <f>"11312"</f>
        <v>11312</v>
      </c>
      <c r="B242" s="5" t="s">
        <v>399</v>
      </c>
      <c r="C242" s="17">
        <v>19900101</v>
      </c>
      <c r="D242" s="17">
        <v>22991231</v>
      </c>
      <c r="E242" s="25">
        <v>101.02</v>
      </c>
    </row>
    <row r="243" spans="1:5" ht="26" x14ac:dyDescent="0.3">
      <c r="A243" s="17" t="str">
        <f>"11313"</f>
        <v>11313</v>
      </c>
      <c r="B243" s="5" t="s">
        <v>400</v>
      </c>
      <c r="C243" s="17">
        <v>19900101</v>
      </c>
      <c r="D243" s="17">
        <v>22991231</v>
      </c>
      <c r="E243" s="25">
        <v>111.66</v>
      </c>
    </row>
    <row r="244" spans="1:5" ht="26" x14ac:dyDescent="0.3">
      <c r="A244" s="17" t="str">
        <f>"11400"</f>
        <v>11400</v>
      </c>
      <c r="B244" s="5" t="s">
        <v>401</v>
      </c>
      <c r="C244" s="17">
        <v>19900101</v>
      </c>
      <c r="D244" s="17">
        <v>22991231</v>
      </c>
      <c r="E244" s="25">
        <v>89.13</v>
      </c>
    </row>
    <row r="245" spans="1:5" ht="26" x14ac:dyDescent="0.3">
      <c r="A245" s="17" t="str">
        <f>"11401"</f>
        <v>11401</v>
      </c>
      <c r="B245" s="5" t="s">
        <v>402</v>
      </c>
      <c r="C245" s="17">
        <v>19900101</v>
      </c>
      <c r="D245" s="17">
        <v>22991231</v>
      </c>
      <c r="E245" s="25">
        <v>102.27</v>
      </c>
    </row>
    <row r="246" spans="1:5" ht="26" x14ac:dyDescent="0.3">
      <c r="A246" s="17" t="str">
        <f>"11402"</f>
        <v>11402</v>
      </c>
      <c r="B246" s="5" t="s">
        <v>403</v>
      </c>
      <c r="C246" s="17">
        <v>19900101</v>
      </c>
      <c r="D246" s="17">
        <v>22991231</v>
      </c>
      <c r="E246" s="25">
        <v>111.03</v>
      </c>
    </row>
    <row r="247" spans="1:5" ht="26" x14ac:dyDescent="0.3">
      <c r="A247" s="17" t="str">
        <f>"11403"</f>
        <v>11403</v>
      </c>
      <c r="B247" s="5" t="s">
        <v>404</v>
      </c>
      <c r="C247" s="17">
        <v>19900101</v>
      </c>
      <c r="D247" s="17">
        <v>22991231</v>
      </c>
      <c r="E247" s="25">
        <v>121.04</v>
      </c>
    </row>
    <row r="248" spans="1:5" ht="26" x14ac:dyDescent="0.3">
      <c r="A248" s="17" t="str">
        <f>"11404"</f>
        <v>11404</v>
      </c>
      <c r="B248" s="5" t="s">
        <v>405</v>
      </c>
      <c r="C248" s="17">
        <v>19900101</v>
      </c>
      <c r="D248" s="17">
        <v>22991231</v>
      </c>
      <c r="E248" s="25">
        <v>652.27</v>
      </c>
    </row>
    <row r="249" spans="1:5" ht="26" x14ac:dyDescent="0.3">
      <c r="A249" s="17" t="str">
        <f>"11406"</f>
        <v>11406</v>
      </c>
      <c r="B249" s="5" t="s">
        <v>406</v>
      </c>
      <c r="C249" s="17">
        <v>19900101</v>
      </c>
      <c r="D249" s="17">
        <v>22991231</v>
      </c>
      <c r="E249" s="25">
        <v>652.27</v>
      </c>
    </row>
    <row r="250" spans="1:5" ht="26" x14ac:dyDescent="0.3">
      <c r="A250" s="17" t="str">
        <f>"11420"</f>
        <v>11420</v>
      </c>
      <c r="B250" s="5" t="s">
        <v>407</v>
      </c>
      <c r="C250" s="17">
        <v>19900101</v>
      </c>
      <c r="D250" s="17">
        <v>22991231</v>
      </c>
      <c r="E250" s="25">
        <v>84.13</v>
      </c>
    </row>
    <row r="251" spans="1:5" ht="26" x14ac:dyDescent="0.3">
      <c r="A251" s="17" t="str">
        <f>"11421"</f>
        <v>11421</v>
      </c>
      <c r="B251" s="5" t="s">
        <v>408</v>
      </c>
      <c r="C251" s="17">
        <v>19900101</v>
      </c>
      <c r="D251" s="17">
        <v>22991231</v>
      </c>
      <c r="E251" s="25">
        <v>99.46</v>
      </c>
    </row>
    <row r="252" spans="1:5" ht="26" x14ac:dyDescent="0.3">
      <c r="A252" s="17" t="str">
        <f>"11422"</f>
        <v>11422</v>
      </c>
      <c r="B252" s="5" t="s">
        <v>409</v>
      </c>
      <c r="C252" s="17">
        <v>19900101</v>
      </c>
      <c r="D252" s="17">
        <v>22991231</v>
      </c>
      <c r="E252" s="25">
        <v>110.09</v>
      </c>
    </row>
    <row r="253" spans="1:5" ht="26" x14ac:dyDescent="0.3">
      <c r="A253" s="17" t="str">
        <f>"11423"</f>
        <v>11423</v>
      </c>
      <c r="B253" s="5" t="s">
        <v>410</v>
      </c>
      <c r="C253" s="17">
        <v>19900101</v>
      </c>
      <c r="D253" s="17">
        <v>22991231</v>
      </c>
      <c r="E253" s="25">
        <v>121.04</v>
      </c>
    </row>
    <row r="254" spans="1:5" ht="26" x14ac:dyDescent="0.3">
      <c r="A254" s="17" t="str">
        <f>"11424"</f>
        <v>11424</v>
      </c>
      <c r="B254" s="5" t="s">
        <v>411</v>
      </c>
      <c r="C254" s="17">
        <v>19900101</v>
      </c>
      <c r="D254" s="17">
        <v>22991231</v>
      </c>
      <c r="E254" s="25">
        <v>652.27</v>
      </c>
    </row>
    <row r="255" spans="1:5" ht="26" x14ac:dyDescent="0.3">
      <c r="A255" s="17" t="str">
        <f>"11426"</f>
        <v>11426</v>
      </c>
      <c r="B255" s="5" t="s">
        <v>412</v>
      </c>
      <c r="C255" s="17">
        <v>19900101</v>
      </c>
      <c r="D255" s="17">
        <v>22991231</v>
      </c>
      <c r="E255" s="25">
        <v>1105.24</v>
      </c>
    </row>
    <row r="256" spans="1:5" ht="26" x14ac:dyDescent="0.3">
      <c r="A256" s="17" t="str">
        <f>"11440"</f>
        <v>11440</v>
      </c>
      <c r="B256" s="5" t="s">
        <v>413</v>
      </c>
      <c r="C256" s="17">
        <v>19900101</v>
      </c>
      <c r="D256" s="17">
        <v>22991231</v>
      </c>
      <c r="E256" s="25">
        <v>99.14</v>
      </c>
    </row>
    <row r="257" spans="1:5" ht="26" x14ac:dyDescent="0.3">
      <c r="A257" s="17" t="str">
        <f>"11441"</f>
        <v>11441</v>
      </c>
      <c r="B257" s="5" t="s">
        <v>414</v>
      </c>
      <c r="C257" s="17">
        <v>19900101</v>
      </c>
      <c r="D257" s="17">
        <v>22991231</v>
      </c>
      <c r="E257" s="25">
        <v>110.41</v>
      </c>
    </row>
    <row r="258" spans="1:5" ht="26" x14ac:dyDescent="0.3">
      <c r="A258" s="17" t="str">
        <f>"11442"</f>
        <v>11442</v>
      </c>
      <c r="B258" s="5" t="s">
        <v>415</v>
      </c>
      <c r="C258" s="17">
        <v>19900101</v>
      </c>
      <c r="D258" s="17">
        <v>22991231</v>
      </c>
      <c r="E258" s="25">
        <v>119.79</v>
      </c>
    </row>
    <row r="259" spans="1:5" ht="26" x14ac:dyDescent="0.3">
      <c r="A259" s="17" t="str">
        <f>"11443"</f>
        <v>11443</v>
      </c>
      <c r="B259" s="5" t="s">
        <v>416</v>
      </c>
      <c r="C259" s="17">
        <v>19900101</v>
      </c>
      <c r="D259" s="17">
        <v>22991231</v>
      </c>
      <c r="E259" s="25">
        <v>131.97999999999999</v>
      </c>
    </row>
    <row r="260" spans="1:5" ht="26" x14ac:dyDescent="0.3">
      <c r="A260" s="17" t="str">
        <f>"11444"</f>
        <v>11444</v>
      </c>
      <c r="B260" s="5" t="s">
        <v>417</v>
      </c>
      <c r="C260" s="17">
        <v>19900101</v>
      </c>
      <c r="D260" s="17">
        <v>22991231</v>
      </c>
      <c r="E260" s="25">
        <v>652.27</v>
      </c>
    </row>
    <row r="261" spans="1:5" ht="26" x14ac:dyDescent="0.3">
      <c r="A261" s="17" t="str">
        <f>"11446"</f>
        <v>11446</v>
      </c>
      <c r="B261" s="5" t="s">
        <v>418</v>
      </c>
      <c r="C261" s="17">
        <v>19900101</v>
      </c>
      <c r="D261" s="17">
        <v>22991231</v>
      </c>
      <c r="E261" s="25">
        <v>1105.24</v>
      </c>
    </row>
    <row r="262" spans="1:5" ht="39" x14ac:dyDescent="0.3">
      <c r="A262" s="17" t="str">
        <f>"11450"</f>
        <v>11450</v>
      </c>
      <c r="B262" s="5" t="s">
        <v>419</v>
      </c>
      <c r="C262" s="17">
        <v>19900101</v>
      </c>
      <c r="D262" s="17">
        <v>22991231</v>
      </c>
      <c r="E262" s="25">
        <v>1105.24</v>
      </c>
    </row>
    <row r="263" spans="1:5" ht="26" x14ac:dyDescent="0.3">
      <c r="A263" s="17" t="str">
        <f>"11451"</f>
        <v>11451</v>
      </c>
      <c r="B263" s="5" t="s">
        <v>420</v>
      </c>
      <c r="C263" s="17">
        <v>19900101</v>
      </c>
      <c r="D263" s="17">
        <v>22991231</v>
      </c>
      <c r="E263" s="25">
        <v>1105.24</v>
      </c>
    </row>
    <row r="264" spans="1:5" ht="26" x14ac:dyDescent="0.3">
      <c r="A264" s="17" t="str">
        <f>"11462"</f>
        <v>11462</v>
      </c>
      <c r="B264" s="5" t="s">
        <v>421</v>
      </c>
      <c r="C264" s="17">
        <v>19900101</v>
      </c>
      <c r="D264" s="17">
        <v>22991231</v>
      </c>
      <c r="E264" s="25">
        <v>1105.24</v>
      </c>
    </row>
    <row r="265" spans="1:5" ht="26" x14ac:dyDescent="0.3">
      <c r="A265" s="17" t="str">
        <f>"11463"</f>
        <v>11463</v>
      </c>
      <c r="B265" s="5" t="s">
        <v>422</v>
      </c>
      <c r="C265" s="17">
        <v>19900101</v>
      </c>
      <c r="D265" s="17">
        <v>22991231</v>
      </c>
      <c r="E265" s="25">
        <v>1105.24</v>
      </c>
    </row>
    <row r="266" spans="1:5" ht="39" x14ac:dyDescent="0.3">
      <c r="A266" s="17" t="str">
        <f>"11470"</f>
        <v>11470</v>
      </c>
      <c r="B266" s="5" t="s">
        <v>423</v>
      </c>
      <c r="C266" s="17">
        <v>19900101</v>
      </c>
      <c r="D266" s="17">
        <v>22991231</v>
      </c>
      <c r="E266" s="25">
        <v>1105.24</v>
      </c>
    </row>
    <row r="267" spans="1:5" ht="26" x14ac:dyDescent="0.3">
      <c r="A267" s="17" t="str">
        <f>"11471"</f>
        <v>11471</v>
      </c>
      <c r="B267" s="5" t="s">
        <v>424</v>
      </c>
      <c r="C267" s="17">
        <v>19900101</v>
      </c>
      <c r="D267" s="17">
        <v>22991231</v>
      </c>
      <c r="E267" s="25">
        <v>1105.24</v>
      </c>
    </row>
    <row r="268" spans="1:5" ht="26" x14ac:dyDescent="0.3">
      <c r="A268" s="17" t="str">
        <f>"11600"</f>
        <v>11600</v>
      </c>
      <c r="B268" s="5" t="s">
        <v>425</v>
      </c>
      <c r="C268" s="17">
        <v>19900101</v>
      </c>
      <c r="D268" s="17">
        <v>22991231</v>
      </c>
      <c r="E268" s="25">
        <v>128.22999999999999</v>
      </c>
    </row>
    <row r="269" spans="1:5" ht="26" x14ac:dyDescent="0.3">
      <c r="A269" s="17" t="str">
        <f>"11601"</f>
        <v>11601</v>
      </c>
      <c r="B269" s="5" t="s">
        <v>426</v>
      </c>
      <c r="C269" s="17">
        <v>19900101</v>
      </c>
      <c r="D269" s="17">
        <v>22991231</v>
      </c>
      <c r="E269" s="25">
        <v>142.93</v>
      </c>
    </row>
    <row r="270" spans="1:5" ht="26" x14ac:dyDescent="0.3">
      <c r="A270" s="17" t="str">
        <f>"11602"</f>
        <v>11602</v>
      </c>
      <c r="B270" s="5" t="s">
        <v>427</v>
      </c>
      <c r="C270" s="17">
        <v>19900101</v>
      </c>
      <c r="D270" s="17">
        <v>22991231</v>
      </c>
      <c r="E270" s="25">
        <v>151.69</v>
      </c>
    </row>
    <row r="271" spans="1:5" ht="26" x14ac:dyDescent="0.3">
      <c r="A271" s="17" t="str">
        <f>"11603"</f>
        <v>11603</v>
      </c>
      <c r="B271" s="5" t="s">
        <v>428</v>
      </c>
      <c r="C271" s="17">
        <v>19900101</v>
      </c>
      <c r="D271" s="17">
        <v>22991231</v>
      </c>
      <c r="E271" s="25">
        <v>163.57</v>
      </c>
    </row>
    <row r="272" spans="1:5" ht="26" x14ac:dyDescent="0.3">
      <c r="A272" s="17" t="str">
        <f>"11604"</f>
        <v>11604</v>
      </c>
      <c r="B272" s="5" t="s">
        <v>429</v>
      </c>
      <c r="C272" s="17">
        <v>19900101</v>
      </c>
      <c r="D272" s="17">
        <v>22991231</v>
      </c>
      <c r="E272" s="25">
        <v>348.6</v>
      </c>
    </row>
    <row r="273" spans="1:5" ht="26" x14ac:dyDescent="0.3">
      <c r="A273" s="17" t="str">
        <f>"11606"</f>
        <v>11606</v>
      </c>
      <c r="B273" s="5" t="s">
        <v>430</v>
      </c>
      <c r="C273" s="17">
        <v>19900101</v>
      </c>
      <c r="D273" s="17">
        <v>22991231</v>
      </c>
      <c r="E273" s="25">
        <v>652.27</v>
      </c>
    </row>
    <row r="274" spans="1:5" ht="26" x14ac:dyDescent="0.3">
      <c r="A274" s="17" t="str">
        <f>"11620"</f>
        <v>11620</v>
      </c>
      <c r="B274" s="5" t="s">
        <v>431</v>
      </c>
      <c r="C274" s="17">
        <v>19900101</v>
      </c>
      <c r="D274" s="17">
        <v>22991231</v>
      </c>
      <c r="E274" s="25">
        <v>128.54</v>
      </c>
    </row>
    <row r="275" spans="1:5" ht="26" x14ac:dyDescent="0.3">
      <c r="A275" s="17" t="str">
        <f>"11621"</f>
        <v>11621</v>
      </c>
      <c r="B275" s="5" t="s">
        <v>432</v>
      </c>
      <c r="C275" s="17">
        <v>19900101</v>
      </c>
      <c r="D275" s="17">
        <v>22991231</v>
      </c>
      <c r="E275" s="25">
        <v>142.93</v>
      </c>
    </row>
    <row r="276" spans="1:5" ht="26" x14ac:dyDescent="0.3">
      <c r="A276" s="17" t="str">
        <f>"11622"</f>
        <v>11622</v>
      </c>
      <c r="B276" s="5" t="s">
        <v>433</v>
      </c>
      <c r="C276" s="17">
        <v>19900101</v>
      </c>
      <c r="D276" s="17">
        <v>22991231</v>
      </c>
      <c r="E276" s="25">
        <v>154.19</v>
      </c>
    </row>
    <row r="277" spans="1:5" ht="26" x14ac:dyDescent="0.3">
      <c r="A277" s="17" t="str">
        <f>"11623"</f>
        <v>11623</v>
      </c>
      <c r="B277" s="5" t="s">
        <v>434</v>
      </c>
      <c r="C277" s="17">
        <v>19900101</v>
      </c>
      <c r="D277" s="17">
        <v>22991231</v>
      </c>
      <c r="E277" s="25">
        <v>168.89</v>
      </c>
    </row>
    <row r="278" spans="1:5" ht="26" x14ac:dyDescent="0.3">
      <c r="A278" s="17" t="str">
        <f>"11624"</f>
        <v>11624</v>
      </c>
      <c r="B278" s="5" t="s">
        <v>435</v>
      </c>
      <c r="C278" s="17">
        <v>19900101</v>
      </c>
      <c r="D278" s="17">
        <v>22991231</v>
      </c>
      <c r="E278" s="25">
        <v>652.27</v>
      </c>
    </row>
    <row r="279" spans="1:5" ht="26" x14ac:dyDescent="0.3">
      <c r="A279" s="17" t="str">
        <f>"11626"</f>
        <v>11626</v>
      </c>
      <c r="B279" s="5" t="s">
        <v>436</v>
      </c>
      <c r="C279" s="17">
        <v>19900101</v>
      </c>
      <c r="D279" s="17">
        <v>22991231</v>
      </c>
      <c r="E279" s="25">
        <v>1105.24</v>
      </c>
    </row>
    <row r="280" spans="1:5" ht="26" x14ac:dyDescent="0.3">
      <c r="A280" s="17" t="str">
        <f>"11640"</f>
        <v>11640</v>
      </c>
      <c r="B280" s="5" t="s">
        <v>437</v>
      </c>
      <c r="C280" s="17">
        <v>19900101</v>
      </c>
      <c r="D280" s="17">
        <v>22991231</v>
      </c>
      <c r="E280" s="25">
        <v>132.91999999999999</v>
      </c>
    </row>
    <row r="281" spans="1:5" ht="26" x14ac:dyDescent="0.3">
      <c r="A281" s="17" t="str">
        <f>"11641"</f>
        <v>11641</v>
      </c>
      <c r="B281" s="5" t="s">
        <v>438</v>
      </c>
      <c r="C281" s="17">
        <v>19900101</v>
      </c>
      <c r="D281" s="17">
        <v>22991231</v>
      </c>
      <c r="E281" s="25">
        <v>147</v>
      </c>
    </row>
    <row r="282" spans="1:5" ht="26" x14ac:dyDescent="0.3">
      <c r="A282" s="17" t="str">
        <f>"11642"</f>
        <v>11642</v>
      </c>
      <c r="B282" s="5" t="s">
        <v>439</v>
      </c>
      <c r="C282" s="17">
        <v>19900101</v>
      </c>
      <c r="D282" s="17">
        <v>22991231</v>
      </c>
      <c r="E282" s="25">
        <v>160.13</v>
      </c>
    </row>
    <row r="283" spans="1:5" ht="26" x14ac:dyDescent="0.3">
      <c r="A283" s="17" t="str">
        <f>"11643"</f>
        <v>11643</v>
      </c>
      <c r="B283" s="5" t="s">
        <v>440</v>
      </c>
      <c r="C283" s="17">
        <v>19900101</v>
      </c>
      <c r="D283" s="17">
        <v>22991231</v>
      </c>
      <c r="E283" s="25">
        <v>175.15</v>
      </c>
    </row>
    <row r="284" spans="1:5" ht="26" x14ac:dyDescent="0.3">
      <c r="A284" s="17" t="str">
        <f>"11644"</f>
        <v>11644</v>
      </c>
      <c r="B284" s="5" t="s">
        <v>441</v>
      </c>
      <c r="C284" s="17">
        <v>19900101</v>
      </c>
      <c r="D284" s="17">
        <v>22991231</v>
      </c>
      <c r="E284" s="25">
        <v>652.27</v>
      </c>
    </row>
    <row r="285" spans="1:5" ht="26" x14ac:dyDescent="0.3">
      <c r="A285" s="17" t="str">
        <f>"11646"</f>
        <v>11646</v>
      </c>
      <c r="B285" s="5" t="s">
        <v>442</v>
      </c>
      <c r="C285" s="17">
        <v>19900101</v>
      </c>
      <c r="D285" s="17">
        <v>22991231</v>
      </c>
      <c r="E285" s="25">
        <v>1105.24</v>
      </c>
    </row>
    <row r="286" spans="1:5" x14ac:dyDescent="0.3">
      <c r="A286" s="17" t="str">
        <f>"11719"</f>
        <v>11719</v>
      </c>
      <c r="B286" s="5" t="s">
        <v>443</v>
      </c>
      <c r="C286" s="17">
        <v>19980101</v>
      </c>
      <c r="D286" s="17">
        <v>22991231</v>
      </c>
      <c r="E286" s="25">
        <v>0</v>
      </c>
    </row>
    <row r="287" spans="1:5" x14ac:dyDescent="0.3">
      <c r="A287" s="17" t="str">
        <f>"11720"</f>
        <v>11720</v>
      </c>
      <c r="B287" s="5" t="s">
        <v>444</v>
      </c>
      <c r="C287" s="17">
        <v>19970101</v>
      </c>
      <c r="D287" s="17">
        <v>22991231</v>
      </c>
      <c r="E287" s="25">
        <v>0</v>
      </c>
    </row>
    <row r="288" spans="1:5" ht="26" x14ac:dyDescent="0.3">
      <c r="A288" s="17" t="str">
        <f>"11721"</f>
        <v>11721</v>
      </c>
      <c r="B288" s="5" t="s">
        <v>445</v>
      </c>
      <c r="C288" s="17">
        <v>19970101</v>
      </c>
      <c r="D288" s="17">
        <v>22991231</v>
      </c>
      <c r="E288" s="25">
        <v>0</v>
      </c>
    </row>
    <row r="289" spans="1:5" ht="26" x14ac:dyDescent="0.3">
      <c r="A289" s="17" t="str">
        <f>"11730"</f>
        <v>11730</v>
      </c>
      <c r="B289" s="5" t="s">
        <v>446</v>
      </c>
      <c r="C289" s="17">
        <v>19900101</v>
      </c>
      <c r="D289" s="17">
        <v>22991231</v>
      </c>
      <c r="E289" s="25">
        <v>0</v>
      </c>
    </row>
    <row r="290" spans="1:5" ht="26" x14ac:dyDescent="0.3">
      <c r="A290" s="17" t="str">
        <f>"11732"</f>
        <v>11732</v>
      </c>
      <c r="B290" s="5" t="s">
        <v>447</v>
      </c>
      <c r="C290" s="17">
        <v>19900101</v>
      </c>
      <c r="D290" s="17">
        <v>22991231</v>
      </c>
      <c r="E290" s="25">
        <v>0</v>
      </c>
    </row>
    <row r="291" spans="1:5" ht="26" x14ac:dyDescent="0.3">
      <c r="A291" s="17" t="str">
        <f>"11740"</f>
        <v>11740</v>
      </c>
      <c r="B291" s="5" t="s">
        <v>448</v>
      </c>
      <c r="C291" s="17">
        <v>19900101</v>
      </c>
      <c r="D291" s="17">
        <v>22991231</v>
      </c>
      <c r="E291" s="25">
        <v>0</v>
      </c>
    </row>
    <row r="292" spans="1:5" x14ac:dyDescent="0.3">
      <c r="A292" s="17" t="str">
        <f>"11750"</f>
        <v>11750</v>
      </c>
      <c r="B292" s="5" t="s">
        <v>449</v>
      </c>
      <c r="C292" s="17">
        <v>19900101</v>
      </c>
      <c r="D292" s="17">
        <v>22991231</v>
      </c>
      <c r="E292" s="25">
        <v>97.89</v>
      </c>
    </row>
    <row r="293" spans="1:5" x14ac:dyDescent="0.3">
      <c r="A293" s="17" t="str">
        <f>"11755"</f>
        <v>11755</v>
      </c>
      <c r="B293" s="5" t="s">
        <v>450</v>
      </c>
      <c r="C293" s="17">
        <v>19940101</v>
      </c>
      <c r="D293" s="17">
        <v>22991231</v>
      </c>
      <c r="E293" s="25">
        <v>72.56</v>
      </c>
    </row>
    <row r="294" spans="1:5" x14ac:dyDescent="0.3">
      <c r="A294" s="17" t="str">
        <f>"11760"</f>
        <v>11760</v>
      </c>
      <c r="B294" s="5" t="s">
        <v>451</v>
      </c>
      <c r="C294" s="17">
        <v>19900101</v>
      </c>
      <c r="D294" s="17">
        <v>22991231</v>
      </c>
      <c r="E294" s="25">
        <v>116.97</v>
      </c>
    </row>
    <row r="295" spans="1:5" x14ac:dyDescent="0.3">
      <c r="A295" s="17" t="str">
        <f>"11762"</f>
        <v>11762</v>
      </c>
      <c r="B295" s="5" t="s">
        <v>452</v>
      </c>
      <c r="C295" s="17">
        <v>19900101</v>
      </c>
      <c r="D295" s="17">
        <v>22991231</v>
      </c>
      <c r="E295" s="25">
        <v>168.57</v>
      </c>
    </row>
    <row r="296" spans="1:5" x14ac:dyDescent="0.3">
      <c r="A296" s="17" t="str">
        <f>"11765"</f>
        <v>11765</v>
      </c>
      <c r="B296" s="5" t="s">
        <v>453</v>
      </c>
      <c r="C296" s="17">
        <v>19900101</v>
      </c>
      <c r="D296" s="17">
        <v>22991231</v>
      </c>
      <c r="E296" s="25">
        <v>0</v>
      </c>
    </row>
    <row r="297" spans="1:5" x14ac:dyDescent="0.3">
      <c r="A297" s="17" t="str">
        <f>"11770"</f>
        <v>11770</v>
      </c>
      <c r="B297" s="5" t="s">
        <v>454</v>
      </c>
      <c r="C297" s="17">
        <v>19900101</v>
      </c>
      <c r="D297" s="17">
        <v>22991231</v>
      </c>
      <c r="E297" s="25">
        <v>1105.24</v>
      </c>
    </row>
    <row r="298" spans="1:5" x14ac:dyDescent="0.3">
      <c r="A298" s="17" t="str">
        <f>"11771"</f>
        <v>11771</v>
      </c>
      <c r="B298" s="5" t="s">
        <v>455</v>
      </c>
      <c r="C298" s="17">
        <v>19900101</v>
      </c>
      <c r="D298" s="17">
        <v>22991231</v>
      </c>
      <c r="E298" s="25">
        <v>1105.24</v>
      </c>
    </row>
    <row r="299" spans="1:5" x14ac:dyDescent="0.3">
      <c r="A299" s="17" t="str">
        <f>"11772"</f>
        <v>11772</v>
      </c>
      <c r="B299" s="5" t="s">
        <v>456</v>
      </c>
      <c r="C299" s="17">
        <v>19900101</v>
      </c>
      <c r="D299" s="17">
        <v>22991231</v>
      </c>
      <c r="E299" s="25">
        <v>1105.24</v>
      </c>
    </row>
    <row r="300" spans="1:5" x14ac:dyDescent="0.3">
      <c r="A300" s="17" t="str">
        <f>"11900"</f>
        <v>11900</v>
      </c>
      <c r="B300" s="5" t="s">
        <v>457</v>
      </c>
      <c r="C300" s="17">
        <v>20230101</v>
      </c>
      <c r="D300" s="17">
        <v>22991231</v>
      </c>
      <c r="E300" s="25">
        <v>0</v>
      </c>
    </row>
    <row r="301" spans="1:5" x14ac:dyDescent="0.3">
      <c r="A301" s="17" t="str">
        <f>"11901"</f>
        <v>11901</v>
      </c>
      <c r="B301" s="5" t="s">
        <v>458</v>
      </c>
      <c r="C301" s="17">
        <v>20230101</v>
      </c>
      <c r="D301" s="17">
        <v>22991231</v>
      </c>
      <c r="E301" s="25">
        <v>0</v>
      </c>
    </row>
    <row r="302" spans="1:5" ht="26" x14ac:dyDescent="0.3">
      <c r="A302" s="17" t="str">
        <f>"11920"</f>
        <v>11920</v>
      </c>
      <c r="B302" s="5" t="s">
        <v>459</v>
      </c>
      <c r="C302" s="17">
        <v>20100101</v>
      </c>
      <c r="D302" s="17">
        <v>22991231</v>
      </c>
      <c r="E302" s="25">
        <v>129.16</v>
      </c>
    </row>
    <row r="303" spans="1:5" ht="26" x14ac:dyDescent="0.3">
      <c r="A303" s="17" t="str">
        <f>"11921"</f>
        <v>11921</v>
      </c>
      <c r="B303" s="5" t="s">
        <v>460</v>
      </c>
      <c r="C303" s="17">
        <v>20230101</v>
      </c>
      <c r="D303" s="17">
        <v>22991231</v>
      </c>
      <c r="E303" s="25">
        <v>137.30000000000001</v>
      </c>
    </row>
    <row r="304" spans="1:5" ht="26" x14ac:dyDescent="0.3">
      <c r="A304" s="17" t="str">
        <f>"11922"</f>
        <v>11922</v>
      </c>
      <c r="B304" s="5" t="s">
        <v>461</v>
      </c>
      <c r="C304" s="17">
        <v>20230101</v>
      </c>
      <c r="D304" s="17">
        <v>22991231</v>
      </c>
      <c r="E304" s="25">
        <v>0</v>
      </c>
    </row>
    <row r="305" spans="1:5" ht="26" x14ac:dyDescent="0.3">
      <c r="A305" s="17" t="str">
        <f>"11950"</f>
        <v>11950</v>
      </c>
      <c r="B305" s="5" t="s">
        <v>462</v>
      </c>
      <c r="C305" s="17">
        <v>20230101</v>
      </c>
      <c r="D305" s="17">
        <v>22991231</v>
      </c>
      <c r="E305" s="25">
        <v>45.67</v>
      </c>
    </row>
    <row r="306" spans="1:5" ht="26" x14ac:dyDescent="0.3">
      <c r="A306" s="17" t="str">
        <f>"11951"</f>
        <v>11951</v>
      </c>
      <c r="B306" s="5" t="s">
        <v>463</v>
      </c>
      <c r="C306" s="17">
        <v>20230101</v>
      </c>
      <c r="D306" s="17">
        <v>22991231</v>
      </c>
      <c r="E306" s="25">
        <v>58.17</v>
      </c>
    </row>
    <row r="307" spans="1:5" ht="26" x14ac:dyDescent="0.3">
      <c r="A307" s="17" t="str">
        <f>"11952"</f>
        <v>11952</v>
      </c>
      <c r="B307" s="5" t="s">
        <v>464</v>
      </c>
      <c r="C307" s="17">
        <v>20230101</v>
      </c>
      <c r="D307" s="17">
        <v>22991231</v>
      </c>
      <c r="E307" s="25">
        <v>74.12</v>
      </c>
    </row>
    <row r="308" spans="1:5" ht="26" x14ac:dyDescent="0.3">
      <c r="A308" s="17" t="str">
        <f>"11954"</f>
        <v>11954</v>
      </c>
      <c r="B308" s="5" t="s">
        <v>465</v>
      </c>
      <c r="C308" s="17">
        <v>19970801</v>
      </c>
      <c r="D308" s="17">
        <v>22991231</v>
      </c>
      <c r="E308" s="25">
        <v>81.94</v>
      </c>
    </row>
    <row r="309" spans="1:5" x14ac:dyDescent="0.3">
      <c r="A309" s="17" t="str">
        <f>"11960"</f>
        <v>11960</v>
      </c>
      <c r="B309" s="5" t="s">
        <v>466</v>
      </c>
      <c r="C309" s="17">
        <v>19900101</v>
      </c>
      <c r="D309" s="17">
        <v>22991231</v>
      </c>
      <c r="E309" s="25">
        <v>1777.55</v>
      </c>
    </row>
    <row r="310" spans="1:5" ht="26" x14ac:dyDescent="0.3">
      <c r="A310" s="17" t="str">
        <f>"11970"</f>
        <v>11970</v>
      </c>
      <c r="B310" s="5" t="s">
        <v>467</v>
      </c>
      <c r="C310" s="17">
        <v>19900101</v>
      </c>
      <c r="D310" s="17">
        <v>22991231</v>
      </c>
      <c r="E310" s="25">
        <v>3240.75</v>
      </c>
    </row>
    <row r="311" spans="1:5" x14ac:dyDescent="0.3">
      <c r="A311" s="17" t="str">
        <f>"11971"</f>
        <v>11971</v>
      </c>
      <c r="B311" s="5" t="s">
        <v>468</v>
      </c>
      <c r="C311" s="17">
        <v>19900101</v>
      </c>
      <c r="D311" s="17">
        <v>22991231</v>
      </c>
      <c r="E311" s="25">
        <v>1105.24</v>
      </c>
    </row>
    <row r="312" spans="1:5" x14ac:dyDescent="0.3">
      <c r="A312" s="17" t="str">
        <f>"11976"</f>
        <v>11976</v>
      </c>
      <c r="B312" s="5" t="s">
        <v>469</v>
      </c>
      <c r="C312" s="17">
        <v>19910701</v>
      </c>
      <c r="D312" s="17">
        <v>22991231</v>
      </c>
      <c r="E312" s="25">
        <v>71.62</v>
      </c>
    </row>
    <row r="313" spans="1:5" x14ac:dyDescent="0.3">
      <c r="A313" s="17" t="str">
        <f>"11980"</f>
        <v>11980</v>
      </c>
      <c r="B313" s="5" t="s">
        <v>470</v>
      </c>
      <c r="C313" s="17">
        <v>20000101</v>
      </c>
      <c r="D313" s="17">
        <v>22991231</v>
      </c>
      <c r="E313" s="25">
        <v>0</v>
      </c>
    </row>
    <row r="314" spans="1:5" x14ac:dyDescent="0.3">
      <c r="A314" s="17" t="str">
        <f>"11981"</f>
        <v>11981</v>
      </c>
      <c r="B314" s="5" t="s">
        <v>471</v>
      </c>
      <c r="C314" s="17">
        <v>20230101</v>
      </c>
      <c r="D314" s="17">
        <v>22991231</v>
      </c>
      <c r="E314" s="25">
        <v>0</v>
      </c>
    </row>
    <row r="315" spans="1:5" x14ac:dyDescent="0.3">
      <c r="A315" s="17" t="str">
        <f>"11982"</f>
        <v>11982</v>
      </c>
      <c r="B315" s="5" t="s">
        <v>472</v>
      </c>
      <c r="C315" s="17">
        <v>20230101</v>
      </c>
      <c r="D315" s="17">
        <v>22991231</v>
      </c>
      <c r="E315" s="25">
        <v>0</v>
      </c>
    </row>
    <row r="316" spans="1:5" ht="26" x14ac:dyDescent="0.3">
      <c r="A316" s="17" t="str">
        <f>"11983"</f>
        <v>11983</v>
      </c>
      <c r="B316" s="5" t="s">
        <v>473</v>
      </c>
      <c r="C316" s="17">
        <v>20230101</v>
      </c>
      <c r="D316" s="17">
        <v>22991231</v>
      </c>
      <c r="E316" s="25">
        <v>0</v>
      </c>
    </row>
    <row r="317" spans="1:5" ht="26" x14ac:dyDescent="0.3">
      <c r="A317" s="17" t="str">
        <f>"12001"</f>
        <v>12001</v>
      </c>
      <c r="B317" s="5" t="s">
        <v>474</v>
      </c>
      <c r="C317" s="17">
        <v>19900101</v>
      </c>
      <c r="D317" s="17">
        <v>22991231</v>
      </c>
      <c r="E317" s="25">
        <v>0</v>
      </c>
    </row>
    <row r="318" spans="1:5" ht="26" x14ac:dyDescent="0.3">
      <c r="A318" s="17" t="str">
        <f>"12002"</f>
        <v>12002</v>
      </c>
      <c r="B318" s="5" t="s">
        <v>475</v>
      </c>
      <c r="C318" s="17">
        <v>19900101</v>
      </c>
      <c r="D318" s="17">
        <v>22991231</v>
      </c>
      <c r="E318" s="25">
        <v>0</v>
      </c>
    </row>
    <row r="319" spans="1:5" ht="26" x14ac:dyDescent="0.3">
      <c r="A319" s="17" t="str">
        <f>"12004"</f>
        <v>12004</v>
      </c>
      <c r="B319" s="5" t="s">
        <v>476</v>
      </c>
      <c r="C319" s="17">
        <v>19900101</v>
      </c>
      <c r="D319" s="17">
        <v>22991231</v>
      </c>
      <c r="E319" s="25">
        <v>0</v>
      </c>
    </row>
    <row r="320" spans="1:5" ht="26" x14ac:dyDescent="0.3">
      <c r="A320" s="17" t="str">
        <f>"12005"</f>
        <v>12005</v>
      </c>
      <c r="B320" s="5" t="s">
        <v>477</v>
      </c>
      <c r="C320" s="17">
        <v>19900101</v>
      </c>
      <c r="D320" s="17">
        <v>22991231</v>
      </c>
      <c r="E320" s="25">
        <v>197.56</v>
      </c>
    </row>
    <row r="321" spans="1:5" ht="26" x14ac:dyDescent="0.3">
      <c r="A321" s="17" t="str">
        <f>"12006"</f>
        <v>12006</v>
      </c>
      <c r="B321" s="5" t="s">
        <v>478</v>
      </c>
      <c r="C321" s="17">
        <v>19900101</v>
      </c>
      <c r="D321" s="17">
        <v>22991231</v>
      </c>
      <c r="E321" s="25">
        <v>197.56</v>
      </c>
    </row>
    <row r="322" spans="1:5" ht="39" x14ac:dyDescent="0.3">
      <c r="A322" s="17" t="str">
        <f>"12007"</f>
        <v>12007</v>
      </c>
      <c r="B322" s="5" t="s">
        <v>479</v>
      </c>
      <c r="C322" s="17">
        <v>19900101</v>
      </c>
      <c r="D322" s="17">
        <v>22991231</v>
      </c>
      <c r="E322" s="25">
        <v>99.19</v>
      </c>
    </row>
    <row r="323" spans="1:5" ht="26" x14ac:dyDescent="0.3">
      <c r="A323" s="17" t="str">
        <f>"12011"</f>
        <v>12011</v>
      </c>
      <c r="B323" s="5" t="s">
        <v>480</v>
      </c>
      <c r="C323" s="17">
        <v>19900101</v>
      </c>
      <c r="D323" s="17">
        <v>22991231</v>
      </c>
      <c r="E323" s="25">
        <v>0</v>
      </c>
    </row>
    <row r="324" spans="1:5" ht="26" x14ac:dyDescent="0.3">
      <c r="A324" s="17" t="str">
        <f>"12013"</f>
        <v>12013</v>
      </c>
      <c r="B324" s="5" t="s">
        <v>481</v>
      </c>
      <c r="C324" s="17">
        <v>19900101</v>
      </c>
      <c r="D324" s="17">
        <v>22991231</v>
      </c>
      <c r="E324" s="25">
        <v>0</v>
      </c>
    </row>
    <row r="325" spans="1:5" ht="26" x14ac:dyDescent="0.3">
      <c r="A325" s="17" t="str">
        <f>"12014"</f>
        <v>12014</v>
      </c>
      <c r="B325" s="5" t="s">
        <v>482</v>
      </c>
      <c r="C325" s="17">
        <v>19900101</v>
      </c>
      <c r="D325" s="17">
        <v>22991231</v>
      </c>
      <c r="E325" s="25">
        <v>0</v>
      </c>
    </row>
    <row r="326" spans="1:5" ht="26" x14ac:dyDescent="0.3">
      <c r="A326" s="17" t="str">
        <f>"12015"</f>
        <v>12015</v>
      </c>
      <c r="B326" s="5" t="s">
        <v>483</v>
      </c>
      <c r="C326" s="17">
        <v>19900101</v>
      </c>
      <c r="D326" s="17">
        <v>22991231</v>
      </c>
      <c r="E326" s="25">
        <v>99.19</v>
      </c>
    </row>
    <row r="327" spans="1:5" ht="26" x14ac:dyDescent="0.3">
      <c r="A327" s="17" t="str">
        <f>"12016"</f>
        <v>12016</v>
      </c>
      <c r="B327" s="5" t="s">
        <v>484</v>
      </c>
      <c r="C327" s="17">
        <v>19900101</v>
      </c>
      <c r="D327" s="17">
        <v>22991231</v>
      </c>
      <c r="E327" s="25">
        <v>197.56</v>
      </c>
    </row>
    <row r="328" spans="1:5" ht="26" x14ac:dyDescent="0.3">
      <c r="A328" s="17" t="str">
        <f>"12017"</f>
        <v>12017</v>
      </c>
      <c r="B328" s="5" t="s">
        <v>485</v>
      </c>
      <c r="C328" s="17">
        <v>19900101</v>
      </c>
      <c r="D328" s="17">
        <v>22991231</v>
      </c>
      <c r="E328" s="25">
        <v>197.56</v>
      </c>
    </row>
    <row r="329" spans="1:5" ht="26" x14ac:dyDescent="0.3">
      <c r="A329" s="17" t="str">
        <f>"12018"</f>
        <v>12018</v>
      </c>
      <c r="B329" s="5" t="s">
        <v>486</v>
      </c>
      <c r="C329" s="17">
        <v>19900101</v>
      </c>
      <c r="D329" s="17">
        <v>22991231</v>
      </c>
      <c r="E329" s="25">
        <v>99.19</v>
      </c>
    </row>
    <row r="330" spans="1:5" x14ac:dyDescent="0.3">
      <c r="A330" s="17" t="str">
        <f>"12020"</f>
        <v>12020</v>
      </c>
      <c r="B330" s="5" t="s">
        <v>487</v>
      </c>
      <c r="C330" s="17">
        <v>19900101</v>
      </c>
      <c r="D330" s="17">
        <v>22991231</v>
      </c>
      <c r="E330" s="25">
        <v>311.18</v>
      </c>
    </row>
    <row r="331" spans="1:5" ht="26" x14ac:dyDescent="0.3">
      <c r="A331" s="17" t="str">
        <f>"12021"</f>
        <v>12021</v>
      </c>
      <c r="B331" s="5" t="s">
        <v>488</v>
      </c>
      <c r="C331" s="17">
        <v>19900101</v>
      </c>
      <c r="D331" s="17">
        <v>22991231</v>
      </c>
      <c r="E331" s="25">
        <v>197.56</v>
      </c>
    </row>
    <row r="332" spans="1:5" ht="26" x14ac:dyDescent="0.3">
      <c r="A332" s="17" t="str">
        <f>"12031"</f>
        <v>12031</v>
      </c>
      <c r="B332" s="5" t="s">
        <v>489</v>
      </c>
      <c r="C332" s="17">
        <v>19900101</v>
      </c>
      <c r="D332" s="17">
        <v>22991231</v>
      </c>
      <c r="E332" s="25">
        <v>177.02</v>
      </c>
    </row>
    <row r="333" spans="1:5" ht="26" x14ac:dyDescent="0.3">
      <c r="A333" s="17" t="str">
        <f>"12032"</f>
        <v>12032</v>
      </c>
      <c r="B333" s="5" t="s">
        <v>490</v>
      </c>
      <c r="C333" s="17">
        <v>19900101</v>
      </c>
      <c r="D333" s="17">
        <v>22991231</v>
      </c>
      <c r="E333" s="25">
        <v>197.56</v>
      </c>
    </row>
    <row r="334" spans="1:5" ht="26" x14ac:dyDescent="0.3">
      <c r="A334" s="17" t="str">
        <f>"12034"</f>
        <v>12034</v>
      </c>
      <c r="B334" s="5" t="s">
        <v>491</v>
      </c>
      <c r="C334" s="17">
        <v>19900101</v>
      </c>
      <c r="D334" s="17">
        <v>22991231</v>
      </c>
      <c r="E334" s="25">
        <v>197.56</v>
      </c>
    </row>
    <row r="335" spans="1:5" ht="26" x14ac:dyDescent="0.3">
      <c r="A335" s="17" t="str">
        <f>"12035"</f>
        <v>12035</v>
      </c>
      <c r="B335" s="5" t="s">
        <v>492</v>
      </c>
      <c r="C335" s="17">
        <v>19900101</v>
      </c>
      <c r="D335" s="17">
        <v>22991231</v>
      </c>
      <c r="E335" s="25">
        <v>197.56</v>
      </c>
    </row>
    <row r="336" spans="1:5" ht="26" x14ac:dyDescent="0.3">
      <c r="A336" s="17" t="str">
        <f>"12036"</f>
        <v>12036</v>
      </c>
      <c r="B336" s="5" t="s">
        <v>493</v>
      </c>
      <c r="C336" s="17">
        <v>19900101</v>
      </c>
      <c r="D336" s="17">
        <v>22991231</v>
      </c>
      <c r="E336" s="25">
        <v>311.18</v>
      </c>
    </row>
    <row r="337" spans="1:5" ht="39" x14ac:dyDescent="0.3">
      <c r="A337" s="17" t="str">
        <f>"12037"</f>
        <v>12037</v>
      </c>
      <c r="B337" s="5" t="s">
        <v>494</v>
      </c>
      <c r="C337" s="17">
        <v>19900101</v>
      </c>
      <c r="D337" s="17">
        <v>22991231</v>
      </c>
      <c r="E337" s="25">
        <v>903.54</v>
      </c>
    </row>
    <row r="338" spans="1:5" ht="26" x14ac:dyDescent="0.3">
      <c r="A338" s="17" t="str">
        <f>"12041"</f>
        <v>12041</v>
      </c>
      <c r="B338" s="5" t="s">
        <v>495</v>
      </c>
      <c r="C338" s="17">
        <v>19900101</v>
      </c>
      <c r="D338" s="17">
        <v>22991231</v>
      </c>
      <c r="E338" s="25">
        <v>174.21</v>
      </c>
    </row>
    <row r="339" spans="1:5" ht="26" x14ac:dyDescent="0.3">
      <c r="A339" s="17" t="str">
        <f>"12042"</f>
        <v>12042</v>
      </c>
      <c r="B339" s="5" t="s">
        <v>496</v>
      </c>
      <c r="C339" s="17">
        <v>19900101</v>
      </c>
      <c r="D339" s="17">
        <v>22991231</v>
      </c>
      <c r="E339" s="25">
        <v>194.22</v>
      </c>
    </row>
    <row r="340" spans="1:5" ht="26" x14ac:dyDescent="0.3">
      <c r="A340" s="17" t="str">
        <f>"12044"</f>
        <v>12044</v>
      </c>
      <c r="B340" s="5" t="s">
        <v>497</v>
      </c>
      <c r="C340" s="17">
        <v>19900101</v>
      </c>
      <c r="D340" s="17">
        <v>22991231</v>
      </c>
      <c r="E340" s="25">
        <v>311.18</v>
      </c>
    </row>
    <row r="341" spans="1:5" ht="26" x14ac:dyDescent="0.3">
      <c r="A341" s="17" t="str">
        <f>"12045"</f>
        <v>12045</v>
      </c>
      <c r="B341" s="5" t="s">
        <v>498</v>
      </c>
      <c r="C341" s="17">
        <v>19900101</v>
      </c>
      <c r="D341" s="17">
        <v>22991231</v>
      </c>
      <c r="E341" s="25">
        <v>311.18</v>
      </c>
    </row>
    <row r="342" spans="1:5" ht="26" x14ac:dyDescent="0.3">
      <c r="A342" s="17" t="str">
        <f>"12046"</f>
        <v>12046</v>
      </c>
      <c r="B342" s="5" t="s">
        <v>499</v>
      </c>
      <c r="C342" s="17">
        <v>19900101</v>
      </c>
      <c r="D342" s="17">
        <v>22991231</v>
      </c>
      <c r="E342" s="25">
        <v>311.18</v>
      </c>
    </row>
    <row r="343" spans="1:5" ht="26" x14ac:dyDescent="0.3">
      <c r="A343" s="17" t="str">
        <f>"12047"</f>
        <v>12047</v>
      </c>
      <c r="B343" s="5" t="s">
        <v>500</v>
      </c>
      <c r="C343" s="17">
        <v>19900701</v>
      </c>
      <c r="D343" s="17">
        <v>22991231</v>
      </c>
      <c r="E343" s="25">
        <v>903.54</v>
      </c>
    </row>
    <row r="344" spans="1:5" ht="26" x14ac:dyDescent="0.3">
      <c r="A344" s="17" t="str">
        <f>"12051"</f>
        <v>12051</v>
      </c>
      <c r="B344" s="5" t="s">
        <v>501</v>
      </c>
      <c r="C344" s="17">
        <v>19900101</v>
      </c>
      <c r="D344" s="17">
        <v>22991231</v>
      </c>
      <c r="E344" s="25">
        <v>184.21</v>
      </c>
    </row>
    <row r="345" spans="1:5" ht="26" x14ac:dyDescent="0.3">
      <c r="A345" s="17" t="str">
        <f>"12052"</f>
        <v>12052</v>
      </c>
      <c r="B345" s="5" t="s">
        <v>502</v>
      </c>
      <c r="C345" s="17">
        <v>19900101</v>
      </c>
      <c r="D345" s="17">
        <v>22991231</v>
      </c>
      <c r="E345" s="25">
        <v>196.1</v>
      </c>
    </row>
    <row r="346" spans="1:5" ht="26" x14ac:dyDescent="0.3">
      <c r="A346" s="17" t="str">
        <f>"12053"</f>
        <v>12053</v>
      </c>
      <c r="B346" s="5" t="s">
        <v>503</v>
      </c>
      <c r="C346" s="17">
        <v>19900101</v>
      </c>
      <c r="D346" s="17">
        <v>22991231</v>
      </c>
      <c r="E346" s="25">
        <v>197.56</v>
      </c>
    </row>
    <row r="347" spans="1:5" ht="26" x14ac:dyDescent="0.3">
      <c r="A347" s="17" t="str">
        <f>"12054"</f>
        <v>12054</v>
      </c>
      <c r="B347" s="5" t="s">
        <v>504</v>
      </c>
      <c r="C347" s="17">
        <v>19900101</v>
      </c>
      <c r="D347" s="17">
        <v>22991231</v>
      </c>
      <c r="E347" s="25">
        <v>197.56</v>
      </c>
    </row>
    <row r="348" spans="1:5" ht="26" x14ac:dyDescent="0.3">
      <c r="A348" s="17" t="str">
        <f>"12055"</f>
        <v>12055</v>
      </c>
      <c r="B348" s="5" t="s">
        <v>505</v>
      </c>
      <c r="C348" s="17">
        <v>19900101</v>
      </c>
      <c r="D348" s="17">
        <v>22991231</v>
      </c>
      <c r="E348" s="25">
        <v>197.56</v>
      </c>
    </row>
    <row r="349" spans="1:5" ht="26" x14ac:dyDescent="0.3">
      <c r="A349" s="17" t="str">
        <f>"12056"</f>
        <v>12056</v>
      </c>
      <c r="B349" s="5" t="s">
        <v>506</v>
      </c>
      <c r="C349" s="17">
        <v>19900101</v>
      </c>
      <c r="D349" s="17">
        <v>22991231</v>
      </c>
      <c r="E349" s="25">
        <v>197.56</v>
      </c>
    </row>
    <row r="350" spans="1:5" ht="26" x14ac:dyDescent="0.3">
      <c r="A350" s="17" t="str">
        <f>"12057"</f>
        <v>12057</v>
      </c>
      <c r="B350" s="5" t="s">
        <v>507</v>
      </c>
      <c r="C350" s="17">
        <v>19900101</v>
      </c>
      <c r="D350" s="17">
        <v>22991231</v>
      </c>
      <c r="E350" s="25">
        <v>197.56</v>
      </c>
    </row>
    <row r="351" spans="1:5" ht="26" x14ac:dyDescent="0.3">
      <c r="A351" s="17" t="str">
        <f>"13100"</f>
        <v>13100</v>
      </c>
      <c r="B351" s="5" t="s">
        <v>508</v>
      </c>
      <c r="C351" s="17">
        <v>19900101</v>
      </c>
      <c r="D351" s="17">
        <v>22991231</v>
      </c>
      <c r="E351" s="25">
        <v>311.18</v>
      </c>
    </row>
    <row r="352" spans="1:5" ht="26" x14ac:dyDescent="0.3">
      <c r="A352" s="17" t="str">
        <f>"13101"</f>
        <v>13101</v>
      </c>
      <c r="B352" s="5" t="s">
        <v>509</v>
      </c>
      <c r="C352" s="17">
        <v>19900101</v>
      </c>
      <c r="D352" s="17">
        <v>22991231</v>
      </c>
      <c r="E352" s="25">
        <v>311.18</v>
      </c>
    </row>
    <row r="353" spans="1:5" ht="26" x14ac:dyDescent="0.3">
      <c r="A353" s="17" t="str">
        <f>"13102"</f>
        <v>13102</v>
      </c>
      <c r="B353" s="5" t="s">
        <v>510</v>
      </c>
      <c r="C353" s="17">
        <v>20000101</v>
      </c>
      <c r="D353" s="17">
        <v>22991231</v>
      </c>
      <c r="E353" s="25">
        <v>0</v>
      </c>
    </row>
    <row r="354" spans="1:5" ht="26" x14ac:dyDescent="0.3">
      <c r="A354" s="17" t="str">
        <f>"13120"</f>
        <v>13120</v>
      </c>
      <c r="B354" s="5" t="s">
        <v>511</v>
      </c>
      <c r="C354" s="17">
        <v>19900101</v>
      </c>
      <c r="D354" s="17">
        <v>22991231</v>
      </c>
      <c r="E354" s="25">
        <v>311.18</v>
      </c>
    </row>
    <row r="355" spans="1:5" ht="26" x14ac:dyDescent="0.3">
      <c r="A355" s="17" t="str">
        <f>"13121"</f>
        <v>13121</v>
      </c>
      <c r="B355" s="5" t="s">
        <v>512</v>
      </c>
      <c r="C355" s="17">
        <v>19900101</v>
      </c>
      <c r="D355" s="17">
        <v>22991231</v>
      </c>
      <c r="E355" s="25">
        <v>311.18</v>
      </c>
    </row>
    <row r="356" spans="1:5" ht="26" x14ac:dyDescent="0.3">
      <c r="A356" s="17" t="str">
        <f>"13122"</f>
        <v>13122</v>
      </c>
      <c r="B356" s="5" t="s">
        <v>513</v>
      </c>
      <c r="C356" s="17">
        <v>20000101</v>
      </c>
      <c r="D356" s="17">
        <v>22991231</v>
      </c>
      <c r="E356" s="25">
        <v>0</v>
      </c>
    </row>
    <row r="357" spans="1:5" ht="39" x14ac:dyDescent="0.3">
      <c r="A357" s="17" t="str">
        <f>"13131"</f>
        <v>13131</v>
      </c>
      <c r="B357" s="5" t="s">
        <v>514</v>
      </c>
      <c r="C357" s="17">
        <v>19900101</v>
      </c>
      <c r="D357" s="17">
        <v>22991231</v>
      </c>
      <c r="E357" s="25">
        <v>197.56</v>
      </c>
    </row>
    <row r="358" spans="1:5" ht="39" x14ac:dyDescent="0.3">
      <c r="A358" s="17" t="str">
        <f>"13132"</f>
        <v>13132</v>
      </c>
      <c r="B358" s="5" t="s">
        <v>515</v>
      </c>
      <c r="C358" s="17">
        <v>19900101</v>
      </c>
      <c r="D358" s="17">
        <v>22991231</v>
      </c>
      <c r="E358" s="25">
        <v>311.18</v>
      </c>
    </row>
    <row r="359" spans="1:5" ht="39" x14ac:dyDescent="0.3">
      <c r="A359" s="17" t="str">
        <f>"13133"</f>
        <v>13133</v>
      </c>
      <c r="B359" s="5" t="s">
        <v>516</v>
      </c>
      <c r="C359" s="17">
        <v>20000101</v>
      </c>
      <c r="D359" s="17">
        <v>22991231</v>
      </c>
      <c r="E359" s="25">
        <v>0</v>
      </c>
    </row>
    <row r="360" spans="1:5" ht="26" x14ac:dyDescent="0.3">
      <c r="A360" s="17" t="str">
        <f>"13151"</f>
        <v>13151</v>
      </c>
      <c r="B360" s="5" t="s">
        <v>517</v>
      </c>
      <c r="C360" s="17">
        <v>19900101</v>
      </c>
      <c r="D360" s="17">
        <v>22991231</v>
      </c>
      <c r="E360" s="25">
        <v>311.18</v>
      </c>
    </row>
    <row r="361" spans="1:5" ht="26" x14ac:dyDescent="0.3">
      <c r="A361" s="17" t="str">
        <f>"13152"</f>
        <v>13152</v>
      </c>
      <c r="B361" s="5" t="s">
        <v>518</v>
      </c>
      <c r="C361" s="17">
        <v>19900101</v>
      </c>
      <c r="D361" s="17">
        <v>22991231</v>
      </c>
      <c r="E361" s="25">
        <v>311.18</v>
      </c>
    </row>
    <row r="362" spans="1:5" ht="26" x14ac:dyDescent="0.3">
      <c r="A362" s="17" t="str">
        <f>"13153"</f>
        <v>13153</v>
      </c>
      <c r="B362" s="5" t="s">
        <v>519</v>
      </c>
      <c r="C362" s="17">
        <v>20000101</v>
      </c>
      <c r="D362" s="17">
        <v>22991231</v>
      </c>
      <c r="E362" s="25">
        <v>0</v>
      </c>
    </row>
    <row r="363" spans="1:5" ht="26" x14ac:dyDescent="0.3">
      <c r="A363" s="17" t="str">
        <f>"13160"</f>
        <v>13160</v>
      </c>
      <c r="B363" s="5" t="s">
        <v>520</v>
      </c>
      <c r="C363" s="17">
        <v>19900101</v>
      </c>
      <c r="D363" s="17">
        <v>22991231</v>
      </c>
      <c r="E363" s="25">
        <v>903.54</v>
      </c>
    </row>
    <row r="364" spans="1:5" ht="26" x14ac:dyDescent="0.3">
      <c r="A364" s="17" t="str">
        <f>"14000"</f>
        <v>14000</v>
      </c>
      <c r="B364" s="5" t="s">
        <v>521</v>
      </c>
      <c r="C364" s="17">
        <v>19900101</v>
      </c>
      <c r="D364" s="17">
        <v>22991231</v>
      </c>
      <c r="E364" s="25">
        <v>903.54</v>
      </c>
    </row>
    <row r="365" spans="1:5" ht="26" x14ac:dyDescent="0.3">
      <c r="A365" s="17" t="str">
        <f>"14001"</f>
        <v>14001</v>
      </c>
      <c r="B365" s="5" t="s">
        <v>522</v>
      </c>
      <c r="C365" s="17">
        <v>19900101</v>
      </c>
      <c r="D365" s="17">
        <v>22991231</v>
      </c>
      <c r="E365" s="25">
        <v>903.54</v>
      </c>
    </row>
    <row r="366" spans="1:5" ht="26" x14ac:dyDescent="0.3">
      <c r="A366" s="17" t="str">
        <f>"14020"</f>
        <v>14020</v>
      </c>
      <c r="B366" s="5" t="s">
        <v>523</v>
      </c>
      <c r="C366" s="17">
        <v>19900101</v>
      </c>
      <c r="D366" s="17">
        <v>22991231</v>
      </c>
      <c r="E366" s="25">
        <v>903.54</v>
      </c>
    </row>
    <row r="367" spans="1:5" ht="26" x14ac:dyDescent="0.3">
      <c r="A367" s="17" t="str">
        <f>"14021"</f>
        <v>14021</v>
      </c>
      <c r="B367" s="5" t="s">
        <v>524</v>
      </c>
      <c r="C367" s="17">
        <v>19900101</v>
      </c>
      <c r="D367" s="17">
        <v>22991231</v>
      </c>
      <c r="E367" s="25">
        <v>903.54</v>
      </c>
    </row>
    <row r="368" spans="1:5" ht="39" x14ac:dyDescent="0.3">
      <c r="A368" s="17" t="str">
        <f>"14040"</f>
        <v>14040</v>
      </c>
      <c r="B368" s="5" t="s">
        <v>525</v>
      </c>
      <c r="C368" s="17">
        <v>19900101</v>
      </c>
      <c r="D368" s="17">
        <v>22991231</v>
      </c>
      <c r="E368" s="25">
        <v>903.54</v>
      </c>
    </row>
    <row r="369" spans="1:5" ht="39" x14ac:dyDescent="0.3">
      <c r="A369" s="17" t="str">
        <f>"14041"</f>
        <v>14041</v>
      </c>
      <c r="B369" s="5" t="s">
        <v>526</v>
      </c>
      <c r="C369" s="17">
        <v>19900101</v>
      </c>
      <c r="D369" s="17">
        <v>22991231</v>
      </c>
      <c r="E369" s="25">
        <v>903.54</v>
      </c>
    </row>
    <row r="370" spans="1:5" ht="26" x14ac:dyDescent="0.3">
      <c r="A370" s="17" t="str">
        <f>"14060"</f>
        <v>14060</v>
      </c>
      <c r="B370" s="5" t="s">
        <v>527</v>
      </c>
      <c r="C370" s="17">
        <v>19900101</v>
      </c>
      <c r="D370" s="17">
        <v>22991231</v>
      </c>
      <c r="E370" s="25">
        <v>903.54</v>
      </c>
    </row>
    <row r="371" spans="1:5" ht="26" x14ac:dyDescent="0.3">
      <c r="A371" s="17" t="str">
        <f>"14061"</f>
        <v>14061</v>
      </c>
      <c r="B371" s="5" t="s">
        <v>528</v>
      </c>
      <c r="C371" s="17">
        <v>19900101</v>
      </c>
      <c r="D371" s="17">
        <v>22991231</v>
      </c>
      <c r="E371" s="25">
        <v>903.54</v>
      </c>
    </row>
    <row r="372" spans="1:5" ht="26" x14ac:dyDescent="0.3">
      <c r="A372" s="17" t="str">
        <f>"14301"</f>
        <v>14301</v>
      </c>
      <c r="B372" s="5" t="s">
        <v>529</v>
      </c>
      <c r="C372" s="17">
        <v>20100101</v>
      </c>
      <c r="D372" s="17">
        <v>22991231</v>
      </c>
      <c r="E372" s="25">
        <v>1777.55</v>
      </c>
    </row>
    <row r="373" spans="1:5" ht="26" x14ac:dyDescent="0.3">
      <c r="A373" s="17" t="str">
        <f>"14302"</f>
        <v>14302</v>
      </c>
      <c r="B373" s="5" t="s">
        <v>530</v>
      </c>
      <c r="C373" s="17">
        <v>20100101</v>
      </c>
      <c r="D373" s="17">
        <v>22991231</v>
      </c>
      <c r="E373" s="25">
        <v>0</v>
      </c>
    </row>
    <row r="374" spans="1:5" x14ac:dyDescent="0.3">
      <c r="A374" s="17" t="str">
        <f>"14350"</f>
        <v>14350</v>
      </c>
      <c r="B374" s="5" t="s">
        <v>531</v>
      </c>
      <c r="C374" s="17">
        <v>19900101</v>
      </c>
      <c r="D374" s="17">
        <v>22991231</v>
      </c>
      <c r="E374" s="25">
        <v>903.54</v>
      </c>
    </row>
    <row r="375" spans="1:5" ht="39" x14ac:dyDescent="0.3">
      <c r="A375" s="17" t="str">
        <f>"15002"</f>
        <v>15002</v>
      </c>
      <c r="B375" s="5" t="s">
        <v>532</v>
      </c>
      <c r="C375" s="17">
        <v>20070101</v>
      </c>
      <c r="D375" s="17">
        <v>22991231</v>
      </c>
      <c r="E375" s="25">
        <v>903.54</v>
      </c>
    </row>
    <row r="376" spans="1:5" ht="39" x14ac:dyDescent="0.3">
      <c r="A376" s="17" t="str">
        <f>"15003"</f>
        <v>15003</v>
      </c>
      <c r="B376" s="5" t="s">
        <v>533</v>
      </c>
      <c r="C376" s="17">
        <v>20230101</v>
      </c>
      <c r="D376" s="17">
        <v>22991231</v>
      </c>
      <c r="E376" s="25">
        <v>0</v>
      </c>
    </row>
    <row r="377" spans="1:5" ht="52" x14ac:dyDescent="0.3">
      <c r="A377" s="17" t="str">
        <f>"15004"</f>
        <v>15004</v>
      </c>
      <c r="B377" s="5" t="s">
        <v>534</v>
      </c>
      <c r="C377" s="17">
        <v>20070101</v>
      </c>
      <c r="D377" s="17">
        <v>22991231</v>
      </c>
      <c r="E377" s="25">
        <v>311.18</v>
      </c>
    </row>
    <row r="378" spans="1:5" ht="65" x14ac:dyDescent="0.3">
      <c r="A378" s="17" t="str">
        <f>"15005"</f>
        <v>15005</v>
      </c>
      <c r="B378" s="5" t="s">
        <v>535</v>
      </c>
      <c r="C378" s="17">
        <v>20230101</v>
      </c>
      <c r="D378" s="17">
        <v>22991231</v>
      </c>
      <c r="E378" s="25">
        <v>0</v>
      </c>
    </row>
    <row r="379" spans="1:5" ht="26" x14ac:dyDescent="0.3">
      <c r="A379" s="17" t="str">
        <f>"15040"</f>
        <v>15040</v>
      </c>
      <c r="B379" s="5" t="s">
        <v>536</v>
      </c>
      <c r="C379" s="17">
        <v>20230101</v>
      </c>
      <c r="D379" s="17">
        <v>22991231</v>
      </c>
      <c r="E379" s="25">
        <v>903.54</v>
      </c>
    </row>
    <row r="380" spans="1:5" x14ac:dyDescent="0.3">
      <c r="A380" s="17" t="str">
        <f>"15050"</f>
        <v>15050</v>
      </c>
      <c r="B380" s="5" t="s">
        <v>537</v>
      </c>
      <c r="C380" s="17">
        <v>19900101</v>
      </c>
      <c r="D380" s="17">
        <v>22991231</v>
      </c>
      <c r="E380" s="25">
        <v>311.18</v>
      </c>
    </row>
    <row r="381" spans="1:5" ht="39" x14ac:dyDescent="0.3">
      <c r="A381" s="17" t="str">
        <f>"15100"</f>
        <v>15100</v>
      </c>
      <c r="B381" s="5" t="s">
        <v>538</v>
      </c>
      <c r="C381" s="17">
        <v>19900101</v>
      </c>
      <c r="D381" s="17">
        <v>22991231</v>
      </c>
      <c r="E381" s="25">
        <v>903.54</v>
      </c>
    </row>
    <row r="382" spans="1:5" ht="39" x14ac:dyDescent="0.3">
      <c r="A382" s="17" t="str">
        <f>"15101"</f>
        <v>15101</v>
      </c>
      <c r="B382" s="5" t="s">
        <v>539</v>
      </c>
      <c r="C382" s="17">
        <v>19900101</v>
      </c>
      <c r="D382" s="17">
        <v>22991231</v>
      </c>
      <c r="E382" s="25">
        <v>0</v>
      </c>
    </row>
    <row r="383" spans="1:5" ht="39" x14ac:dyDescent="0.3">
      <c r="A383" s="17" t="str">
        <f>"15110"</f>
        <v>15110</v>
      </c>
      <c r="B383" s="5" t="s">
        <v>540</v>
      </c>
      <c r="C383" s="17">
        <v>20051001</v>
      </c>
      <c r="D383" s="17">
        <v>22991231</v>
      </c>
      <c r="E383" s="25">
        <v>903.54</v>
      </c>
    </row>
    <row r="384" spans="1:5" ht="39" x14ac:dyDescent="0.3">
      <c r="A384" s="17" t="str">
        <f>"15111"</f>
        <v>15111</v>
      </c>
      <c r="B384" s="5" t="s">
        <v>541</v>
      </c>
      <c r="C384" s="17">
        <v>20051001</v>
      </c>
      <c r="D384" s="17">
        <v>22991231</v>
      </c>
      <c r="E384" s="25">
        <v>0</v>
      </c>
    </row>
    <row r="385" spans="1:5" ht="52" x14ac:dyDescent="0.3">
      <c r="A385" s="17" t="str">
        <f>"15115"</f>
        <v>15115</v>
      </c>
      <c r="B385" s="5" t="s">
        <v>542</v>
      </c>
      <c r="C385" s="17">
        <v>20051001</v>
      </c>
      <c r="D385" s="17">
        <v>22991231</v>
      </c>
      <c r="E385" s="25">
        <v>903.54</v>
      </c>
    </row>
    <row r="386" spans="1:5" ht="52" x14ac:dyDescent="0.3">
      <c r="A386" s="17" t="str">
        <f>"15116"</f>
        <v>15116</v>
      </c>
      <c r="B386" s="5" t="s">
        <v>543</v>
      </c>
      <c r="C386" s="17">
        <v>20051001</v>
      </c>
      <c r="D386" s="17">
        <v>22991231</v>
      </c>
      <c r="E386" s="25">
        <v>0</v>
      </c>
    </row>
    <row r="387" spans="1:5" ht="52" x14ac:dyDescent="0.3">
      <c r="A387" s="17" t="str">
        <f>"15120"</f>
        <v>15120</v>
      </c>
      <c r="B387" s="5" t="s">
        <v>544</v>
      </c>
      <c r="C387" s="17">
        <v>19900101</v>
      </c>
      <c r="D387" s="17">
        <v>22991231</v>
      </c>
      <c r="E387" s="25">
        <v>1777.55</v>
      </c>
    </row>
    <row r="388" spans="1:5" ht="65" x14ac:dyDescent="0.3">
      <c r="A388" s="17" t="str">
        <f>"15121"</f>
        <v>15121</v>
      </c>
      <c r="B388" s="5" t="s">
        <v>545</v>
      </c>
      <c r="C388" s="17">
        <v>19900101</v>
      </c>
      <c r="D388" s="17">
        <v>22991231</v>
      </c>
      <c r="E388" s="25">
        <v>0</v>
      </c>
    </row>
    <row r="389" spans="1:5" ht="39" x14ac:dyDescent="0.3">
      <c r="A389" s="17" t="str">
        <f>"15130"</f>
        <v>15130</v>
      </c>
      <c r="B389" s="5" t="s">
        <v>546</v>
      </c>
      <c r="C389" s="17">
        <v>20051001</v>
      </c>
      <c r="D389" s="17">
        <v>22991231</v>
      </c>
      <c r="E389" s="25">
        <v>903.54</v>
      </c>
    </row>
    <row r="390" spans="1:5" ht="39" x14ac:dyDescent="0.3">
      <c r="A390" s="17" t="str">
        <f>"15131"</f>
        <v>15131</v>
      </c>
      <c r="B390" s="5" t="s">
        <v>547</v>
      </c>
      <c r="C390" s="17">
        <v>20051001</v>
      </c>
      <c r="D390" s="17">
        <v>22991231</v>
      </c>
      <c r="E390" s="25">
        <v>0</v>
      </c>
    </row>
    <row r="391" spans="1:5" ht="52" x14ac:dyDescent="0.3">
      <c r="A391" s="17" t="str">
        <f>"15135"</f>
        <v>15135</v>
      </c>
      <c r="B391" s="5" t="s">
        <v>548</v>
      </c>
      <c r="C391" s="17">
        <v>20051001</v>
      </c>
      <c r="D391" s="17">
        <v>22991231</v>
      </c>
      <c r="E391" s="25">
        <v>1777.55</v>
      </c>
    </row>
    <row r="392" spans="1:5" ht="52" x14ac:dyDescent="0.3">
      <c r="A392" s="17" t="str">
        <f>"15136"</f>
        <v>15136</v>
      </c>
      <c r="B392" s="5" t="s">
        <v>549</v>
      </c>
      <c r="C392" s="17">
        <v>20230101</v>
      </c>
      <c r="D392" s="17">
        <v>22991231</v>
      </c>
      <c r="E392" s="25">
        <v>0</v>
      </c>
    </row>
    <row r="393" spans="1:5" ht="26" x14ac:dyDescent="0.3">
      <c r="A393" s="17" t="str">
        <f>"15150"</f>
        <v>15150</v>
      </c>
      <c r="B393" s="5" t="s">
        <v>550</v>
      </c>
      <c r="C393" s="17">
        <v>20051001</v>
      </c>
      <c r="D393" s="17">
        <v>22991231</v>
      </c>
      <c r="E393" s="25">
        <v>903.54</v>
      </c>
    </row>
    <row r="394" spans="1:5" ht="26" x14ac:dyDescent="0.3">
      <c r="A394" s="17" t="str">
        <f>"15151"</f>
        <v>15151</v>
      </c>
      <c r="B394" s="5" t="s">
        <v>551</v>
      </c>
      <c r="C394" s="17">
        <v>20051001</v>
      </c>
      <c r="D394" s="17">
        <v>22991231</v>
      </c>
      <c r="E394" s="25">
        <v>0</v>
      </c>
    </row>
    <row r="395" spans="1:5" ht="39" x14ac:dyDescent="0.3">
      <c r="A395" s="17" t="str">
        <f>"15152"</f>
        <v>15152</v>
      </c>
      <c r="B395" s="5" t="s">
        <v>552</v>
      </c>
      <c r="C395" s="17">
        <v>20051001</v>
      </c>
      <c r="D395" s="17">
        <v>22991231</v>
      </c>
      <c r="E395" s="25">
        <v>0</v>
      </c>
    </row>
    <row r="396" spans="1:5" ht="39" x14ac:dyDescent="0.3">
      <c r="A396" s="17" t="str">
        <f>"15155"</f>
        <v>15155</v>
      </c>
      <c r="B396" s="5" t="s">
        <v>553</v>
      </c>
      <c r="C396" s="17">
        <v>20051001</v>
      </c>
      <c r="D396" s="17">
        <v>22991231</v>
      </c>
      <c r="E396" s="25">
        <v>1777.55</v>
      </c>
    </row>
    <row r="397" spans="1:5" ht="52" x14ac:dyDescent="0.3">
      <c r="A397" s="17" t="str">
        <f>"15156"</f>
        <v>15156</v>
      </c>
      <c r="B397" s="5" t="s">
        <v>554</v>
      </c>
      <c r="C397" s="17">
        <v>20051001</v>
      </c>
      <c r="D397" s="17">
        <v>22991231</v>
      </c>
      <c r="E397" s="25">
        <v>0</v>
      </c>
    </row>
    <row r="398" spans="1:5" ht="65" x14ac:dyDescent="0.3">
      <c r="A398" s="17" t="str">
        <f>"15157"</f>
        <v>15157</v>
      </c>
      <c r="B398" s="5" t="s">
        <v>555</v>
      </c>
      <c r="C398" s="17">
        <v>20051001</v>
      </c>
      <c r="D398" s="17">
        <v>22991231</v>
      </c>
      <c r="E398" s="25">
        <v>0</v>
      </c>
    </row>
    <row r="399" spans="1:5" ht="26" x14ac:dyDescent="0.3">
      <c r="A399" s="17" t="str">
        <f>"15200"</f>
        <v>15200</v>
      </c>
      <c r="B399" s="5" t="s">
        <v>556</v>
      </c>
      <c r="C399" s="17">
        <v>19900101</v>
      </c>
      <c r="D399" s="17">
        <v>22991231</v>
      </c>
      <c r="E399" s="25">
        <v>903.54</v>
      </c>
    </row>
    <row r="400" spans="1:5" ht="26" x14ac:dyDescent="0.3">
      <c r="A400" s="17" t="str">
        <f>"15201"</f>
        <v>15201</v>
      </c>
      <c r="B400" s="5" t="s">
        <v>557</v>
      </c>
      <c r="C400" s="17">
        <v>19900101</v>
      </c>
      <c r="D400" s="17">
        <v>22991231</v>
      </c>
      <c r="E400" s="25">
        <v>0</v>
      </c>
    </row>
    <row r="401" spans="1:5" ht="26" x14ac:dyDescent="0.3">
      <c r="A401" s="17" t="str">
        <f>"15220"</f>
        <v>15220</v>
      </c>
      <c r="B401" s="5" t="s">
        <v>558</v>
      </c>
      <c r="C401" s="17">
        <v>19900101</v>
      </c>
      <c r="D401" s="17">
        <v>22991231</v>
      </c>
      <c r="E401" s="25">
        <v>903.54</v>
      </c>
    </row>
    <row r="402" spans="1:5" ht="26" x14ac:dyDescent="0.3">
      <c r="A402" s="17" t="str">
        <f>"15221"</f>
        <v>15221</v>
      </c>
      <c r="B402" s="5" t="s">
        <v>559</v>
      </c>
      <c r="C402" s="17">
        <v>19900101</v>
      </c>
      <c r="D402" s="17">
        <v>22991231</v>
      </c>
      <c r="E402" s="25">
        <v>0</v>
      </c>
    </row>
    <row r="403" spans="1:5" ht="39" x14ac:dyDescent="0.3">
      <c r="A403" s="17" t="str">
        <f>"15240"</f>
        <v>15240</v>
      </c>
      <c r="B403" s="5" t="s">
        <v>560</v>
      </c>
      <c r="C403" s="17">
        <v>19900101</v>
      </c>
      <c r="D403" s="17">
        <v>22991231</v>
      </c>
      <c r="E403" s="25">
        <v>903.54</v>
      </c>
    </row>
    <row r="404" spans="1:5" ht="39" x14ac:dyDescent="0.3">
      <c r="A404" s="17" t="str">
        <f>"15241"</f>
        <v>15241</v>
      </c>
      <c r="B404" s="5" t="s">
        <v>561</v>
      </c>
      <c r="C404" s="17">
        <v>19900101</v>
      </c>
      <c r="D404" s="17">
        <v>22991231</v>
      </c>
      <c r="E404" s="25">
        <v>0</v>
      </c>
    </row>
    <row r="405" spans="1:5" ht="26" x14ac:dyDescent="0.3">
      <c r="A405" s="17" t="str">
        <f>"15260"</f>
        <v>15260</v>
      </c>
      <c r="B405" s="5" t="s">
        <v>562</v>
      </c>
      <c r="C405" s="17">
        <v>19900101</v>
      </c>
      <c r="D405" s="17">
        <v>22991231</v>
      </c>
      <c r="E405" s="25">
        <v>903.54</v>
      </c>
    </row>
    <row r="406" spans="1:5" ht="26" x14ac:dyDescent="0.3">
      <c r="A406" s="17" t="str">
        <f>"15261"</f>
        <v>15261</v>
      </c>
      <c r="B406" s="5" t="s">
        <v>563</v>
      </c>
      <c r="C406" s="17">
        <v>19900101</v>
      </c>
      <c r="D406" s="17">
        <v>22991231</v>
      </c>
      <c r="E406" s="25">
        <v>0</v>
      </c>
    </row>
    <row r="407" spans="1:5" ht="39" x14ac:dyDescent="0.3">
      <c r="A407" s="17" t="str">
        <f>"15271"</f>
        <v>15271</v>
      </c>
      <c r="B407" s="5" t="s">
        <v>564</v>
      </c>
      <c r="C407" s="17">
        <v>20120101</v>
      </c>
      <c r="D407" s="17">
        <v>22991231</v>
      </c>
      <c r="E407" s="25">
        <v>903.54</v>
      </c>
    </row>
    <row r="408" spans="1:5" ht="39" x14ac:dyDescent="0.3">
      <c r="A408" s="17" t="str">
        <f>"15272"</f>
        <v>15272</v>
      </c>
      <c r="B408" s="5" t="s">
        <v>565</v>
      </c>
      <c r="C408" s="17">
        <v>20120101</v>
      </c>
      <c r="D408" s="17">
        <v>22991231</v>
      </c>
      <c r="E408" s="25">
        <v>0</v>
      </c>
    </row>
    <row r="409" spans="1:5" ht="39" x14ac:dyDescent="0.3">
      <c r="A409" s="17" t="str">
        <f>"15273"</f>
        <v>15273</v>
      </c>
      <c r="B409" s="5" t="s">
        <v>566</v>
      </c>
      <c r="C409" s="17">
        <v>20120101</v>
      </c>
      <c r="D409" s="17">
        <v>22991231</v>
      </c>
      <c r="E409" s="25">
        <v>1777.55</v>
      </c>
    </row>
    <row r="410" spans="1:5" ht="52" x14ac:dyDescent="0.3">
      <c r="A410" s="17" t="str">
        <f>"15274"</f>
        <v>15274</v>
      </c>
      <c r="B410" s="5" t="s">
        <v>567</v>
      </c>
      <c r="C410" s="17">
        <v>20120101</v>
      </c>
      <c r="D410" s="17">
        <v>22991231</v>
      </c>
      <c r="E410" s="25">
        <v>0</v>
      </c>
    </row>
    <row r="411" spans="1:5" ht="52" x14ac:dyDescent="0.3">
      <c r="A411" s="17" t="str">
        <f>"15275"</f>
        <v>15275</v>
      </c>
      <c r="B411" s="5" t="s">
        <v>568</v>
      </c>
      <c r="C411" s="17">
        <v>20120101</v>
      </c>
      <c r="D411" s="17">
        <v>22991231</v>
      </c>
      <c r="E411" s="25">
        <v>86.01</v>
      </c>
    </row>
    <row r="412" spans="1:5" ht="65" x14ac:dyDescent="0.3">
      <c r="A412" s="17" t="str">
        <f>"15276"</f>
        <v>15276</v>
      </c>
      <c r="B412" s="5" t="s">
        <v>569</v>
      </c>
      <c r="C412" s="17">
        <v>20120101</v>
      </c>
      <c r="D412" s="17">
        <v>22991231</v>
      </c>
      <c r="E412" s="25">
        <v>0</v>
      </c>
    </row>
    <row r="413" spans="1:5" ht="65" x14ac:dyDescent="0.3">
      <c r="A413" s="17" t="str">
        <f>"15277"</f>
        <v>15277</v>
      </c>
      <c r="B413" s="5" t="s">
        <v>570</v>
      </c>
      <c r="C413" s="17">
        <v>20120101</v>
      </c>
      <c r="D413" s="17">
        <v>22991231</v>
      </c>
      <c r="E413" s="25">
        <v>903.54</v>
      </c>
    </row>
    <row r="414" spans="1:5" ht="65" x14ac:dyDescent="0.3">
      <c r="A414" s="17" t="str">
        <f>"15278"</f>
        <v>15278</v>
      </c>
      <c r="B414" s="5" t="s">
        <v>571</v>
      </c>
      <c r="C414" s="17">
        <v>20120101</v>
      </c>
      <c r="D414" s="17">
        <v>22991231</v>
      </c>
      <c r="E414" s="25">
        <v>0</v>
      </c>
    </row>
    <row r="415" spans="1:5" x14ac:dyDescent="0.3">
      <c r="A415" s="17" t="str">
        <f>"15570"</f>
        <v>15570</v>
      </c>
      <c r="B415" s="5" t="s">
        <v>572</v>
      </c>
      <c r="C415" s="17">
        <v>19920115</v>
      </c>
      <c r="D415" s="17">
        <v>22991231</v>
      </c>
      <c r="E415" s="25">
        <v>903.54</v>
      </c>
    </row>
    <row r="416" spans="1:5" x14ac:dyDescent="0.3">
      <c r="A416" s="17" t="str">
        <f>"15572"</f>
        <v>15572</v>
      </c>
      <c r="B416" s="5" t="s">
        <v>573</v>
      </c>
      <c r="C416" s="17">
        <v>19920115</v>
      </c>
      <c r="D416" s="17">
        <v>22991231</v>
      </c>
      <c r="E416" s="25">
        <v>1777.55</v>
      </c>
    </row>
    <row r="417" spans="1:5" ht="26" x14ac:dyDescent="0.3">
      <c r="A417" s="17" t="str">
        <f>"15574"</f>
        <v>15574</v>
      </c>
      <c r="B417" s="5" t="s">
        <v>574</v>
      </c>
      <c r="C417" s="17">
        <v>19920115</v>
      </c>
      <c r="D417" s="17">
        <v>22991231</v>
      </c>
      <c r="E417" s="25">
        <v>903.54</v>
      </c>
    </row>
    <row r="418" spans="1:5" ht="26" x14ac:dyDescent="0.3">
      <c r="A418" s="17" t="str">
        <f>"15576"</f>
        <v>15576</v>
      </c>
      <c r="B418" s="5" t="s">
        <v>575</v>
      </c>
      <c r="C418" s="17">
        <v>19920115</v>
      </c>
      <c r="D418" s="17">
        <v>22991231</v>
      </c>
      <c r="E418" s="25">
        <v>903.54</v>
      </c>
    </row>
    <row r="419" spans="1:5" x14ac:dyDescent="0.3">
      <c r="A419" s="17" t="str">
        <f>"15600"</f>
        <v>15600</v>
      </c>
      <c r="B419" s="5" t="s">
        <v>576</v>
      </c>
      <c r="C419" s="17">
        <v>19900101</v>
      </c>
      <c r="D419" s="17">
        <v>22991231</v>
      </c>
      <c r="E419" s="25">
        <v>1777.55</v>
      </c>
    </row>
    <row r="420" spans="1:5" x14ac:dyDescent="0.3">
      <c r="A420" s="17" t="str">
        <f>"15610"</f>
        <v>15610</v>
      </c>
      <c r="B420" s="5" t="s">
        <v>577</v>
      </c>
      <c r="C420" s="17">
        <v>19900101</v>
      </c>
      <c r="D420" s="17">
        <v>22991231</v>
      </c>
      <c r="E420" s="25">
        <v>903.54</v>
      </c>
    </row>
    <row r="421" spans="1:5" ht="26" x14ac:dyDescent="0.3">
      <c r="A421" s="17" t="str">
        <f>"15620"</f>
        <v>15620</v>
      </c>
      <c r="B421" s="5" t="s">
        <v>578</v>
      </c>
      <c r="C421" s="17">
        <v>19900101</v>
      </c>
      <c r="D421" s="17">
        <v>22991231</v>
      </c>
      <c r="E421" s="25">
        <v>903.54</v>
      </c>
    </row>
    <row r="422" spans="1:5" ht="26" x14ac:dyDescent="0.3">
      <c r="A422" s="17" t="str">
        <f>"15630"</f>
        <v>15630</v>
      </c>
      <c r="B422" s="5" t="s">
        <v>579</v>
      </c>
      <c r="C422" s="17">
        <v>19900101</v>
      </c>
      <c r="D422" s="17">
        <v>22991231</v>
      </c>
      <c r="E422" s="25">
        <v>903.54</v>
      </c>
    </row>
    <row r="423" spans="1:5" x14ac:dyDescent="0.3">
      <c r="A423" s="17" t="str">
        <f>"15650"</f>
        <v>15650</v>
      </c>
      <c r="B423" s="5" t="s">
        <v>580</v>
      </c>
      <c r="C423" s="17">
        <v>19900101</v>
      </c>
      <c r="D423" s="17">
        <v>22991231</v>
      </c>
      <c r="E423" s="25">
        <v>903.54</v>
      </c>
    </row>
    <row r="424" spans="1:5" x14ac:dyDescent="0.3">
      <c r="A424" s="17" t="str">
        <f>"15730"</f>
        <v>15730</v>
      </c>
      <c r="B424" s="5" t="s">
        <v>581</v>
      </c>
      <c r="C424" s="17">
        <v>20180101</v>
      </c>
      <c r="D424" s="17">
        <v>22991231</v>
      </c>
      <c r="E424" s="25">
        <v>1777.55</v>
      </c>
    </row>
    <row r="425" spans="1:5" ht="26" x14ac:dyDescent="0.3">
      <c r="A425" s="17" t="str">
        <f>"15731"</f>
        <v>15731</v>
      </c>
      <c r="B425" s="5" t="s">
        <v>582</v>
      </c>
      <c r="C425" s="17">
        <v>20070101</v>
      </c>
      <c r="D425" s="17">
        <v>22991231</v>
      </c>
      <c r="E425" s="25">
        <v>1777.55</v>
      </c>
    </row>
    <row r="426" spans="1:5" x14ac:dyDescent="0.3">
      <c r="A426" s="17" t="str">
        <f>"15733"</f>
        <v>15733</v>
      </c>
      <c r="B426" s="5" t="s">
        <v>583</v>
      </c>
      <c r="C426" s="17">
        <v>20180101</v>
      </c>
      <c r="D426" s="17">
        <v>22991231</v>
      </c>
      <c r="E426" s="25">
        <v>1777.55</v>
      </c>
    </row>
    <row r="427" spans="1:5" x14ac:dyDescent="0.3">
      <c r="A427" s="17" t="str">
        <f>"15734"</f>
        <v>15734</v>
      </c>
      <c r="B427" s="5" t="s">
        <v>584</v>
      </c>
      <c r="C427" s="17">
        <v>19900401</v>
      </c>
      <c r="D427" s="17">
        <v>22991231</v>
      </c>
      <c r="E427" s="25">
        <v>1777.55</v>
      </c>
    </row>
    <row r="428" spans="1:5" x14ac:dyDescent="0.3">
      <c r="A428" s="17" t="str">
        <f>"15736"</f>
        <v>15736</v>
      </c>
      <c r="B428" s="5" t="s">
        <v>585</v>
      </c>
      <c r="C428" s="17">
        <v>19900401</v>
      </c>
      <c r="D428" s="17">
        <v>22991231</v>
      </c>
      <c r="E428" s="25">
        <v>903.54</v>
      </c>
    </row>
    <row r="429" spans="1:5" x14ac:dyDescent="0.3">
      <c r="A429" s="17" t="str">
        <f>"15738"</f>
        <v>15738</v>
      </c>
      <c r="B429" s="5" t="s">
        <v>586</v>
      </c>
      <c r="C429" s="17">
        <v>19900401</v>
      </c>
      <c r="D429" s="17">
        <v>22991231</v>
      </c>
      <c r="E429" s="25">
        <v>1777.55</v>
      </c>
    </row>
    <row r="430" spans="1:5" x14ac:dyDescent="0.3">
      <c r="A430" s="17" t="str">
        <f>"15740"</f>
        <v>15740</v>
      </c>
      <c r="B430" s="5" t="s">
        <v>587</v>
      </c>
      <c r="C430" s="17">
        <v>19900101</v>
      </c>
      <c r="D430" s="17">
        <v>22991231</v>
      </c>
      <c r="E430" s="25">
        <v>903.54</v>
      </c>
    </row>
    <row r="431" spans="1:5" x14ac:dyDescent="0.3">
      <c r="A431" s="17" t="str">
        <f>"15750"</f>
        <v>15750</v>
      </c>
      <c r="B431" s="5" t="s">
        <v>588</v>
      </c>
      <c r="C431" s="17">
        <v>19900101</v>
      </c>
      <c r="D431" s="17">
        <v>22991231</v>
      </c>
      <c r="E431" s="25">
        <v>1777.55</v>
      </c>
    </row>
    <row r="432" spans="1:5" x14ac:dyDescent="0.3">
      <c r="A432" s="17" t="str">
        <f>"15760"</f>
        <v>15760</v>
      </c>
      <c r="B432" s="5" t="s">
        <v>589</v>
      </c>
      <c r="C432" s="17">
        <v>19900101</v>
      </c>
      <c r="D432" s="17">
        <v>22991231</v>
      </c>
      <c r="E432" s="25">
        <v>903.54</v>
      </c>
    </row>
    <row r="433" spans="1:5" x14ac:dyDescent="0.3">
      <c r="A433" s="17" t="str">
        <f>"15769"</f>
        <v>15769</v>
      </c>
      <c r="B433" s="5" t="s">
        <v>590</v>
      </c>
      <c r="C433" s="17">
        <v>20200101</v>
      </c>
      <c r="D433" s="17">
        <v>22991231</v>
      </c>
      <c r="E433" s="25">
        <v>1777.55</v>
      </c>
    </row>
    <row r="434" spans="1:5" x14ac:dyDescent="0.3">
      <c r="A434" s="17" t="str">
        <f>"15770"</f>
        <v>15770</v>
      </c>
      <c r="B434" s="5" t="s">
        <v>591</v>
      </c>
      <c r="C434" s="17">
        <v>19900101</v>
      </c>
      <c r="D434" s="17">
        <v>22991231</v>
      </c>
      <c r="E434" s="25">
        <v>1777.55</v>
      </c>
    </row>
    <row r="435" spans="1:5" ht="39" x14ac:dyDescent="0.3">
      <c r="A435" s="17" t="str">
        <f>"15771"</f>
        <v>15771</v>
      </c>
      <c r="B435" s="5" t="s">
        <v>592</v>
      </c>
      <c r="C435" s="17">
        <v>20200101</v>
      </c>
      <c r="D435" s="17">
        <v>22991231</v>
      </c>
      <c r="E435" s="25">
        <v>1777.55</v>
      </c>
    </row>
    <row r="436" spans="1:5" ht="39" x14ac:dyDescent="0.3">
      <c r="A436" s="17" t="str">
        <f>"15772"</f>
        <v>15772</v>
      </c>
      <c r="B436" s="5" t="s">
        <v>593</v>
      </c>
      <c r="C436" s="17">
        <v>20200101</v>
      </c>
      <c r="D436" s="17">
        <v>22991231</v>
      </c>
      <c r="E436" s="24" t="s">
        <v>7128</v>
      </c>
    </row>
    <row r="437" spans="1:5" ht="52" x14ac:dyDescent="0.3">
      <c r="A437" s="17" t="str">
        <f>"15773"</f>
        <v>15773</v>
      </c>
      <c r="B437" s="5" t="s">
        <v>594</v>
      </c>
      <c r="C437" s="17">
        <v>20200101</v>
      </c>
      <c r="D437" s="17">
        <v>22991231</v>
      </c>
      <c r="E437" s="25">
        <v>903.54</v>
      </c>
    </row>
    <row r="438" spans="1:5" ht="52" x14ac:dyDescent="0.3">
      <c r="A438" s="17" t="str">
        <f>"15774"</f>
        <v>15774</v>
      </c>
      <c r="B438" s="5" t="s">
        <v>595</v>
      </c>
      <c r="C438" s="17">
        <v>20200101</v>
      </c>
      <c r="D438" s="17">
        <v>22991231</v>
      </c>
      <c r="E438" s="24" t="s">
        <v>7128</v>
      </c>
    </row>
    <row r="439" spans="1:5" x14ac:dyDescent="0.3">
      <c r="A439" s="17" t="str">
        <f>"15775"</f>
        <v>15775</v>
      </c>
      <c r="B439" s="5" t="s">
        <v>596</v>
      </c>
      <c r="C439" s="17">
        <v>20240101</v>
      </c>
      <c r="D439" s="17">
        <v>22991231</v>
      </c>
      <c r="E439" s="25">
        <v>197.56</v>
      </c>
    </row>
    <row r="440" spans="1:5" x14ac:dyDescent="0.3">
      <c r="A440" s="17" t="str">
        <f>"15776"</f>
        <v>15776</v>
      </c>
      <c r="B440" s="5" t="s">
        <v>597</v>
      </c>
      <c r="C440" s="17">
        <v>20230101</v>
      </c>
      <c r="D440" s="17">
        <v>22991231</v>
      </c>
      <c r="E440" s="25">
        <v>197.56</v>
      </c>
    </row>
    <row r="441" spans="1:5" x14ac:dyDescent="0.3">
      <c r="A441" s="17" t="str">
        <f>"15777"</f>
        <v>15777</v>
      </c>
      <c r="B441" s="5" t="s">
        <v>598</v>
      </c>
      <c r="C441" s="17">
        <v>20120101</v>
      </c>
      <c r="D441" s="17">
        <v>22991231</v>
      </c>
      <c r="E441" s="25">
        <v>0</v>
      </c>
    </row>
    <row r="442" spans="1:5" x14ac:dyDescent="0.3">
      <c r="A442" s="17" t="str">
        <f>"15780"</f>
        <v>15780</v>
      </c>
      <c r="B442" s="5" t="s">
        <v>599</v>
      </c>
      <c r="C442" s="17">
        <v>19900101</v>
      </c>
      <c r="D442" s="17">
        <v>22991231</v>
      </c>
      <c r="E442" s="25">
        <v>495.72</v>
      </c>
    </row>
    <row r="443" spans="1:5" x14ac:dyDescent="0.3">
      <c r="A443" s="17" t="str">
        <f>"15781"</f>
        <v>15781</v>
      </c>
      <c r="B443" s="5" t="s">
        <v>600</v>
      </c>
      <c r="C443" s="17">
        <v>19900701</v>
      </c>
      <c r="D443" s="17">
        <v>22991231</v>
      </c>
      <c r="E443" s="25">
        <v>323.39</v>
      </c>
    </row>
    <row r="444" spans="1:5" x14ac:dyDescent="0.3">
      <c r="A444" s="17">
        <v>15782</v>
      </c>
      <c r="B444" s="5" t="s">
        <v>601</v>
      </c>
      <c r="C444" s="17">
        <v>20171231</v>
      </c>
      <c r="D444" s="17">
        <v>22991231</v>
      </c>
      <c r="E444" s="25">
        <v>304.63</v>
      </c>
    </row>
    <row r="445" spans="1:5" ht="26" x14ac:dyDescent="0.3">
      <c r="A445" s="17" t="str">
        <f>"15783"</f>
        <v>15783</v>
      </c>
      <c r="B445" s="5" t="s">
        <v>602</v>
      </c>
      <c r="C445" s="17">
        <v>19900101</v>
      </c>
      <c r="D445" s="17">
        <v>22991231</v>
      </c>
      <c r="E445" s="25">
        <v>197.56</v>
      </c>
    </row>
    <row r="446" spans="1:5" x14ac:dyDescent="0.3">
      <c r="A446" s="17" t="str">
        <f>"15786"</f>
        <v>15786</v>
      </c>
      <c r="B446" s="5" t="s">
        <v>603</v>
      </c>
      <c r="C446" s="17">
        <v>19900101</v>
      </c>
      <c r="D446" s="17">
        <v>22991231</v>
      </c>
      <c r="E446" s="25">
        <v>0</v>
      </c>
    </row>
    <row r="447" spans="1:5" ht="26" x14ac:dyDescent="0.3">
      <c r="A447" s="17" t="str">
        <f>"15787"</f>
        <v>15787</v>
      </c>
      <c r="B447" s="5" t="s">
        <v>604</v>
      </c>
      <c r="C447" s="17">
        <v>19900101</v>
      </c>
      <c r="D447" s="17">
        <v>22991231</v>
      </c>
      <c r="E447" s="25">
        <v>0</v>
      </c>
    </row>
    <row r="448" spans="1:5" x14ac:dyDescent="0.3">
      <c r="A448" s="17" t="str">
        <f>"15788"</f>
        <v>15788</v>
      </c>
      <c r="B448" s="5" t="s">
        <v>605</v>
      </c>
      <c r="C448" s="17">
        <v>19940101</v>
      </c>
      <c r="D448" s="17">
        <v>22991231</v>
      </c>
      <c r="E448" s="25">
        <v>0</v>
      </c>
    </row>
    <row r="449" spans="1:5" x14ac:dyDescent="0.3">
      <c r="A449" s="17" t="str">
        <f>"15789"</f>
        <v>15789</v>
      </c>
      <c r="B449" s="5" t="s">
        <v>606</v>
      </c>
      <c r="C449" s="17">
        <v>19940101</v>
      </c>
      <c r="D449" s="17">
        <v>22991231</v>
      </c>
      <c r="E449" s="25">
        <v>311.18</v>
      </c>
    </row>
    <row r="450" spans="1:5" x14ac:dyDescent="0.3">
      <c r="A450" s="17" t="str">
        <f>"15792"</f>
        <v>15792</v>
      </c>
      <c r="B450" s="5" t="s">
        <v>607</v>
      </c>
      <c r="C450" s="17">
        <v>19940101</v>
      </c>
      <c r="D450" s="17">
        <v>22991231</v>
      </c>
      <c r="E450" s="25">
        <v>0</v>
      </c>
    </row>
    <row r="451" spans="1:5" x14ac:dyDescent="0.3">
      <c r="A451" s="17" t="str">
        <f>"15793"</f>
        <v>15793</v>
      </c>
      <c r="B451" s="5" t="s">
        <v>608</v>
      </c>
      <c r="C451" s="17">
        <v>19940101</v>
      </c>
      <c r="D451" s="17">
        <v>22991231</v>
      </c>
      <c r="E451" s="25">
        <v>0</v>
      </c>
    </row>
    <row r="452" spans="1:5" x14ac:dyDescent="0.3">
      <c r="A452" s="17" t="str">
        <f>"15819"</f>
        <v>15819</v>
      </c>
      <c r="B452" s="5" t="s">
        <v>609</v>
      </c>
      <c r="C452" s="17">
        <v>19900101</v>
      </c>
      <c r="D452" s="17">
        <v>22991231</v>
      </c>
      <c r="E452" s="25">
        <v>903.54</v>
      </c>
    </row>
    <row r="453" spans="1:5" x14ac:dyDescent="0.3">
      <c r="A453" s="17" t="str">
        <f>"15820"</f>
        <v>15820</v>
      </c>
      <c r="B453" s="5" t="s">
        <v>610</v>
      </c>
      <c r="C453" s="17">
        <v>19900101</v>
      </c>
      <c r="D453" s="17">
        <v>22991231</v>
      </c>
      <c r="E453" s="25">
        <v>903.54</v>
      </c>
    </row>
    <row r="454" spans="1:5" ht="26" x14ac:dyDescent="0.3">
      <c r="A454" s="17" t="str">
        <f>"15821"</f>
        <v>15821</v>
      </c>
      <c r="B454" s="5" t="s">
        <v>611</v>
      </c>
      <c r="C454" s="17">
        <v>19900101</v>
      </c>
      <c r="D454" s="17">
        <v>22991231</v>
      </c>
      <c r="E454" s="25">
        <v>903.54</v>
      </c>
    </row>
    <row r="455" spans="1:5" x14ac:dyDescent="0.3">
      <c r="A455" s="17" t="str">
        <f>"15822"</f>
        <v>15822</v>
      </c>
      <c r="B455" s="5" t="s">
        <v>612</v>
      </c>
      <c r="C455" s="17">
        <v>19900101</v>
      </c>
      <c r="D455" s="17">
        <v>22991231</v>
      </c>
      <c r="E455" s="25">
        <v>903.54</v>
      </c>
    </row>
    <row r="456" spans="1:5" ht="26" x14ac:dyDescent="0.3">
      <c r="A456" s="17" t="str">
        <f>"15823"</f>
        <v>15823</v>
      </c>
      <c r="B456" s="5" t="s">
        <v>613</v>
      </c>
      <c r="C456" s="17">
        <v>19900101</v>
      </c>
      <c r="D456" s="17">
        <v>22991231</v>
      </c>
      <c r="E456" s="25">
        <v>903.54</v>
      </c>
    </row>
    <row r="457" spans="1:5" x14ac:dyDescent="0.3">
      <c r="A457" s="17" t="str">
        <f>"15824"</f>
        <v>15824</v>
      </c>
      <c r="B457" s="5" t="s">
        <v>614</v>
      </c>
      <c r="C457" s="17">
        <v>19900101</v>
      </c>
      <c r="D457" s="17">
        <v>22991231</v>
      </c>
      <c r="E457" s="25">
        <v>903.54</v>
      </c>
    </row>
    <row r="458" spans="1:5" x14ac:dyDescent="0.3">
      <c r="A458" s="17" t="str">
        <f>"15825"</f>
        <v>15825</v>
      </c>
      <c r="B458" s="5" t="s">
        <v>615</v>
      </c>
      <c r="C458" s="17">
        <v>19900101</v>
      </c>
      <c r="D458" s="17">
        <v>22991231</v>
      </c>
      <c r="E458" s="25">
        <v>1777.55</v>
      </c>
    </row>
    <row r="459" spans="1:5" ht="26" x14ac:dyDescent="0.3">
      <c r="A459" s="17" t="str">
        <f>"15826"</f>
        <v>15826</v>
      </c>
      <c r="B459" s="5" t="s">
        <v>616</v>
      </c>
      <c r="C459" s="17">
        <v>19900101</v>
      </c>
      <c r="D459" s="17">
        <v>22991231</v>
      </c>
      <c r="E459" s="25">
        <v>1777.55</v>
      </c>
    </row>
    <row r="460" spans="1:5" ht="26" x14ac:dyDescent="0.3">
      <c r="A460" s="17" t="str">
        <f>"15828"</f>
        <v>15828</v>
      </c>
      <c r="B460" s="5" t="s">
        <v>617</v>
      </c>
      <c r="C460" s="17">
        <v>19900101</v>
      </c>
      <c r="D460" s="17">
        <v>22991231</v>
      </c>
      <c r="E460" s="25">
        <v>1777.55</v>
      </c>
    </row>
    <row r="461" spans="1:5" ht="26" x14ac:dyDescent="0.3">
      <c r="A461" s="17" t="str">
        <f>"15829"</f>
        <v>15829</v>
      </c>
      <c r="B461" s="5" t="s">
        <v>618</v>
      </c>
      <c r="C461" s="17">
        <v>19900101</v>
      </c>
      <c r="D461" s="17">
        <v>22991231</v>
      </c>
      <c r="E461" s="25">
        <v>1777.55</v>
      </c>
    </row>
    <row r="462" spans="1:5" x14ac:dyDescent="0.3">
      <c r="A462" s="17" t="str">
        <f>"15830"</f>
        <v>15830</v>
      </c>
      <c r="B462" s="5" t="s">
        <v>619</v>
      </c>
      <c r="C462" s="17">
        <v>20070101</v>
      </c>
      <c r="D462" s="17">
        <v>22991231</v>
      </c>
      <c r="E462" s="25">
        <v>2422.23</v>
      </c>
    </row>
    <row r="463" spans="1:5" x14ac:dyDescent="0.3">
      <c r="A463" s="17" t="str">
        <f>"15832"</f>
        <v>15832</v>
      </c>
      <c r="B463" s="5" t="s">
        <v>620</v>
      </c>
      <c r="C463" s="17">
        <v>19900101</v>
      </c>
      <c r="D463" s="17">
        <v>22991231</v>
      </c>
      <c r="E463" s="25">
        <v>1105.24</v>
      </c>
    </row>
    <row r="464" spans="1:5" x14ac:dyDescent="0.3">
      <c r="A464" s="17" t="str">
        <f>"15833"</f>
        <v>15833</v>
      </c>
      <c r="B464" s="5" t="s">
        <v>621</v>
      </c>
      <c r="C464" s="17">
        <v>19900101</v>
      </c>
      <c r="D464" s="17">
        <v>22991231</v>
      </c>
      <c r="E464" s="25">
        <v>1105.24</v>
      </c>
    </row>
    <row r="465" spans="1:5" x14ac:dyDescent="0.3">
      <c r="A465" s="17" t="str">
        <f>"15834"</f>
        <v>15834</v>
      </c>
      <c r="B465" s="5" t="s">
        <v>622</v>
      </c>
      <c r="C465" s="17">
        <v>19900101</v>
      </c>
      <c r="D465" s="17">
        <v>22991231</v>
      </c>
      <c r="E465" s="25">
        <v>1105.24</v>
      </c>
    </row>
    <row r="466" spans="1:5" x14ac:dyDescent="0.3">
      <c r="A466" s="17" t="str">
        <f>"15835"</f>
        <v>15835</v>
      </c>
      <c r="B466" s="5" t="s">
        <v>623</v>
      </c>
      <c r="C466" s="17">
        <v>19900101</v>
      </c>
      <c r="D466" s="17">
        <v>22991231</v>
      </c>
      <c r="E466" s="25">
        <v>1105.24</v>
      </c>
    </row>
    <row r="467" spans="1:5" x14ac:dyDescent="0.3">
      <c r="A467" s="17" t="str">
        <f>"15836"</f>
        <v>15836</v>
      </c>
      <c r="B467" s="5" t="s">
        <v>624</v>
      </c>
      <c r="C467" s="17">
        <v>19900101</v>
      </c>
      <c r="D467" s="17">
        <v>22991231</v>
      </c>
      <c r="E467" s="25">
        <v>1105.24</v>
      </c>
    </row>
    <row r="468" spans="1:5" ht="26" x14ac:dyDescent="0.3">
      <c r="A468" s="17" t="str">
        <f>"15837"</f>
        <v>15837</v>
      </c>
      <c r="B468" s="5" t="s">
        <v>625</v>
      </c>
      <c r="C468" s="17">
        <v>19900101</v>
      </c>
      <c r="D468" s="17">
        <v>22991231</v>
      </c>
      <c r="E468" s="25">
        <v>1105.24</v>
      </c>
    </row>
    <row r="469" spans="1:5" x14ac:dyDescent="0.3">
      <c r="A469" s="17" t="str">
        <f>"15838"</f>
        <v>15838</v>
      </c>
      <c r="B469" s="5" t="s">
        <v>626</v>
      </c>
      <c r="C469" s="17">
        <v>19900101</v>
      </c>
      <c r="D469" s="17">
        <v>22991231</v>
      </c>
      <c r="E469" s="25">
        <v>1105.24</v>
      </c>
    </row>
    <row r="470" spans="1:5" x14ac:dyDescent="0.3">
      <c r="A470" s="17" t="str">
        <f>"15839"</f>
        <v>15839</v>
      </c>
      <c r="B470" s="5" t="s">
        <v>627</v>
      </c>
      <c r="C470" s="17">
        <v>19900101</v>
      </c>
      <c r="D470" s="17">
        <v>22991231</v>
      </c>
      <c r="E470" s="25">
        <v>1105.24</v>
      </c>
    </row>
    <row r="471" spans="1:5" x14ac:dyDescent="0.3">
      <c r="A471" s="17" t="str">
        <f>"15840"</f>
        <v>15840</v>
      </c>
      <c r="B471" s="5" t="s">
        <v>628</v>
      </c>
      <c r="C471" s="17">
        <v>19900101</v>
      </c>
      <c r="D471" s="17">
        <v>22991231</v>
      </c>
      <c r="E471" s="25">
        <v>1777.55</v>
      </c>
    </row>
    <row r="472" spans="1:5" x14ac:dyDescent="0.3">
      <c r="A472" s="17" t="str">
        <f>"15841"</f>
        <v>15841</v>
      </c>
      <c r="B472" s="5" t="s">
        <v>629</v>
      </c>
      <c r="C472" s="17">
        <v>19900101</v>
      </c>
      <c r="D472" s="17">
        <v>22991231</v>
      </c>
      <c r="E472" s="25">
        <v>1777.55</v>
      </c>
    </row>
    <row r="473" spans="1:5" ht="26" x14ac:dyDescent="0.3">
      <c r="A473" s="17" t="str">
        <f>"15842"</f>
        <v>15842</v>
      </c>
      <c r="B473" s="5" t="s">
        <v>630</v>
      </c>
      <c r="C473" s="17">
        <v>19900101</v>
      </c>
      <c r="D473" s="17">
        <v>22991231</v>
      </c>
      <c r="E473" s="25">
        <v>903.54</v>
      </c>
    </row>
    <row r="474" spans="1:5" x14ac:dyDescent="0.3">
      <c r="A474" s="17" t="str">
        <f>"15845"</f>
        <v>15845</v>
      </c>
      <c r="B474" s="5" t="s">
        <v>631</v>
      </c>
      <c r="C474" s="17">
        <v>19900101</v>
      </c>
      <c r="D474" s="17">
        <v>22991231</v>
      </c>
      <c r="E474" s="25">
        <v>1777.55</v>
      </c>
    </row>
    <row r="475" spans="1:5" ht="26" x14ac:dyDescent="0.3">
      <c r="A475" s="17" t="str">
        <f>"15847"</f>
        <v>15847</v>
      </c>
      <c r="B475" s="5" t="s">
        <v>632</v>
      </c>
      <c r="C475" s="17">
        <v>20070101</v>
      </c>
      <c r="D475" s="17">
        <v>22991231</v>
      </c>
      <c r="E475" s="25">
        <v>0</v>
      </c>
    </row>
    <row r="476" spans="1:5" x14ac:dyDescent="0.3">
      <c r="A476" s="17" t="str">
        <f>"15851"</f>
        <v>15851</v>
      </c>
      <c r="B476" s="5" t="s">
        <v>633</v>
      </c>
      <c r="C476" s="17">
        <v>19900101</v>
      </c>
      <c r="D476" s="17">
        <v>22991231</v>
      </c>
      <c r="E476" s="25">
        <v>15.01</v>
      </c>
    </row>
    <row r="477" spans="1:5" x14ac:dyDescent="0.3">
      <c r="A477" s="17" t="str">
        <f>"15852"</f>
        <v>15852</v>
      </c>
      <c r="B477" s="5" t="s">
        <v>634</v>
      </c>
      <c r="C477" s="17">
        <v>19900101</v>
      </c>
      <c r="D477" s="17">
        <v>22991231</v>
      </c>
      <c r="E477" s="25">
        <v>0</v>
      </c>
    </row>
    <row r="478" spans="1:5" ht="26" x14ac:dyDescent="0.3">
      <c r="A478" s="17" t="str">
        <f>"15860"</f>
        <v>15860</v>
      </c>
      <c r="B478" s="5" t="s">
        <v>635</v>
      </c>
      <c r="C478" s="17">
        <v>19900101</v>
      </c>
      <c r="D478" s="17">
        <v>22991231</v>
      </c>
      <c r="E478" s="25">
        <v>0</v>
      </c>
    </row>
    <row r="479" spans="1:5" x14ac:dyDescent="0.3">
      <c r="A479" s="17" t="str">
        <f>"15876"</f>
        <v>15876</v>
      </c>
      <c r="B479" s="5" t="s">
        <v>636</v>
      </c>
      <c r="C479" s="17">
        <v>20030401</v>
      </c>
      <c r="D479" s="17">
        <v>22991231</v>
      </c>
      <c r="E479" s="25">
        <v>1777.55</v>
      </c>
    </row>
    <row r="480" spans="1:5" x14ac:dyDescent="0.3">
      <c r="A480" s="17" t="str">
        <f>"15877"</f>
        <v>15877</v>
      </c>
      <c r="B480" s="5" t="s">
        <v>637</v>
      </c>
      <c r="C480" s="17">
        <v>20030401</v>
      </c>
      <c r="D480" s="17">
        <v>22991231</v>
      </c>
      <c r="E480" s="25">
        <v>1777.55</v>
      </c>
    </row>
    <row r="481" spans="1:5" x14ac:dyDescent="0.3">
      <c r="A481" s="17" t="str">
        <f>"15878"</f>
        <v>15878</v>
      </c>
      <c r="B481" s="5" t="s">
        <v>638</v>
      </c>
      <c r="C481" s="17">
        <v>20030401</v>
      </c>
      <c r="D481" s="17">
        <v>22991231</v>
      </c>
      <c r="E481" s="25">
        <v>903.54</v>
      </c>
    </row>
    <row r="482" spans="1:5" x14ac:dyDescent="0.3">
      <c r="A482" s="17" t="str">
        <f>"15879"</f>
        <v>15879</v>
      </c>
      <c r="B482" s="5" t="s">
        <v>639</v>
      </c>
      <c r="C482" s="17">
        <v>20030401</v>
      </c>
      <c r="D482" s="17">
        <v>22991231</v>
      </c>
      <c r="E482" s="25">
        <v>1777.55</v>
      </c>
    </row>
    <row r="483" spans="1:5" ht="26" x14ac:dyDescent="0.3">
      <c r="A483" s="17" t="str">
        <f>"15920"</f>
        <v>15920</v>
      </c>
      <c r="B483" s="5" t="s">
        <v>640</v>
      </c>
      <c r="C483" s="17">
        <v>19900101</v>
      </c>
      <c r="D483" s="17">
        <v>22991231</v>
      </c>
      <c r="E483" s="25">
        <v>1105.24</v>
      </c>
    </row>
    <row r="484" spans="1:5" ht="26" x14ac:dyDescent="0.3">
      <c r="A484" s="17" t="str">
        <f>"15922"</f>
        <v>15922</v>
      </c>
      <c r="B484" s="5" t="s">
        <v>641</v>
      </c>
      <c r="C484" s="17">
        <v>19900101</v>
      </c>
      <c r="D484" s="17">
        <v>22991231</v>
      </c>
      <c r="E484" s="25">
        <v>1777.55</v>
      </c>
    </row>
    <row r="485" spans="1:5" ht="26" x14ac:dyDescent="0.3">
      <c r="A485" s="17" t="str">
        <f>"15931"</f>
        <v>15931</v>
      </c>
      <c r="B485" s="5" t="s">
        <v>642</v>
      </c>
      <c r="C485" s="17">
        <v>19900101</v>
      </c>
      <c r="D485" s="17">
        <v>22991231</v>
      </c>
      <c r="E485" s="25">
        <v>1105.24</v>
      </c>
    </row>
    <row r="486" spans="1:5" ht="26" x14ac:dyDescent="0.3">
      <c r="A486" s="17" t="str">
        <f>"15933"</f>
        <v>15933</v>
      </c>
      <c r="B486" s="5" t="s">
        <v>643</v>
      </c>
      <c r="C486" s="17">
        <v>19900101</v>
      </c>
      <c r="D486" s="17">
        <v>22991231</v>
      </c>
      <c r="E486" s="25">
        <v>1105.24</v>
      </c>
    </row>
    <row r="487" spans="1:5" ht="26" x14ac:dyDescent="0.3">
      <c r="A487" s="17" t="str">
        <f>"15934"</f>
        <v>15934</v>
      </c>
      <c r="B487" s="5" t="s">
        <v>644</v>
      </c>
      <c r="C487" s="17">
        <v>19900101</v>
      </c>
      <c r="D487" s="17">
        <v>22991231</v>
      </c>
      <c r="E487" s="25">
        <v>1777.55</v>
      </c>
    </row>
    <row r="488" spans="1:5" ht="26" x14ac:dyDescent="0.3">
      <c r="A488" s="17" t="str">
        <f>"15935"</f>
        <v>15935</v>
      </c>
      <c r="B488" s="5" t="s">
        <v>645</v>
      </c>
      <c r="C488" s="17">
        <v>19900101</v>
      </c>
      <c r="D488" s="17">
        <v>22991231</v>
      </c>
      <c r="E488" s="25">
        <v>1777.55</v>
      </c>
    </row>
    <row r="489" spans="1:5" ht="26" x14ac:dyDescent="0.3">
      <c r="A489" s="17" t="str">
        <f>"15936"</f>
        <v>15936</v>
      </c>
      <c r="B489" s="5" t="s">
        <v>646</v>
      </c>
      <c r="C489" s="17">
        <v>19900101</v>
      </c>
      <c r="D489" s="17">
        <v>22991231</v>
      </c>
      <c r="E489" s="25">
        <v>903.54</v>
      </c>
    </row>
    <row r="490" spans="1:5" ht="26" x14ac:dyDescent="0.3">
      <c r="A490" s="17" t="str">
        <f>"15937"</f>
        <v>15937</v>
      </c>
      <c r="B490" s="5" t="s">
        <v>647</v>
      </c>
      <c r="C490" s="17">
        <v>19900101</v>
      </c>
      <c r="D490" s="17">
        <v>22991231</v>
      </c>
      <c r="E490" s="25">
        <v>903.54</v>
      </c>
    </row>
    <row r="491" spans="1:5" ht="26" x14ac:dyDescent="0.3">
      <c r="A491" s="17" t="str">
        <f>"15940"</f>
        <v>15940</v>
      </c>
      <c r="B491" s="5" t="s">
        <v>648</v>
      </c>
      <c r="C491" s="17">
        <v>19900101</v>
      </c>
      <c r="D491" s="17">
        <v>22991231</v>
      </c>
      <c r="E491" s="25">
        <v>1105.24</v>
      </c>
    </row>
    <row r="492" spans="1:5" ht="26" x14ac:dyDescent="0.3">
      <c r="A492" s="17" t="str">
        <f>"15941"</f>
        <v>15941</v>
      </c>
      <c r="B492" s="5" t="s">
        <v>649</v>
      </c>
      <c r="C492" s="17">
        <v>19900101</v>
      </c>
      <c r="D492" s="17">
        <v>22991231</v>
      </c>
      <c r="E492" s="25">
        <v>1105.24</v>
      </c>
    </row>
    <row r="493" spans="1:5" ht="26" x14ac:dyDescent="0.3">
      <c r="A493" s="17" t="str">
        <f>"15944"</f>
        <v>15944</v>
      </c>
      <c r="B493" s="5" t="s">
        <v>650</v>
      </c>
      <c r="C493" s="17">
        <v>19900101</v>
      </c>
      <c r="D493" s="17">
        <v>22991231</v>
      </c>
      <c r="E493" s="25">
        <v>1777.55</v>
      </c>
    </row>
    <row r="494" spans="1:5" ht="26" x14ac:dyDescent="0.3">
      <c r="A494" s="17" t="str">
        <f>"15945"</f>
        <v>15945</v>
      </c>
      <c r="B494" s="5" t="s">
        <v>651</v>
      </c>
      <c r="C494" s="17">
        <v>19900101</v>
      </c>
      <c r="D494" s="17">
        <v>22991231</v>
      </c>
      <c r="E494" s="25">
        <v>903.54</v>
      </c>
    </row>
    <row r="495" spans="1:5" ht="26" x14ac:dyDescent="0.3">
      <c r="A495" s="17" t="str">
        <f>"15946"</f>
        <v>15946</v>
      </c>
      <c r="B495" s="5" t="s">
        <v>652</v>
      </c>
      <c r="C495" s="17">
        <v>19900101</v>
      </c>
      <c r="D495" s="17">
        <v>22991231</v>
      </c>
      <c r="E495" s="25">
        <v>903.54</v>
      </c>
    </row>
    <row r="496" spans="1:5" ht="26" x14ac:dyDescent="0.3">
      <c r="A496" s="17" t="str">
        <f>"15950"</f>
        <v>15950</v>
      </c>
      <c r="B496" s="5" t="s">
        <v>653</v>
      </c>
      <c r="C496" s="17">
        <v>19900101</v>
      </c>
      <c r="D496" s="17">
        <v>22991231</v>
      </c>
      <c r="E496" s="25">
        <v>652.27</v>
      </c>
    </row>
    <row r="497" spans="1:5" ht="26" x14ac:dyDescent="0.3">
      <c r="A497" s="17" t="str">
        <f>"15951"</f>
        <v>15951</v>
      </c>
      <c r="B497" s="5" t="s">
        <v>654</v>
      </c>
      <c r="C497" s="17">
        <v>19900101</v>
      </c>
      <c r="D497" s="17">
        <v>22991231</v>
      </c>
      <c r="E497" s="25">
        <v>1105.24</v>
      </c>
    </row>
    <row r="498" spans="1:5" ht="26" x14ac:dyDescent="0.3">
      <c r="A498" s="17" t="str">
        <f>"15952"</f>
        <v>15952</v>
      </c>
      <c r="B498" s="5" t="s">
        <v>655</v>
      </c>
      <c r="C498" s="17">
        <v>19900101</v>
      </c>
      <c r="D498" s="17">
        <v>22991231</v>
      </c>
      <c r="E498" s="25">
        <v>903.54</v>
      </c>
    </row>
    <row r="499" spans="1:5" ht="26" x14ac:dyDescent="0.3">
      <c r="A499" s="17" t="str">
        <f>"15953"</f>
        <v>15953</v>
      </c>
      <c r="B499" s="5" t="s">
        <v>656</v>
      </c>
      <c r="C499" s="17">
        <v>19900101</v>
      </c>
      <c r="D499" s="17">
        <v>22991231</v>
      </c>
      <c r="E499" s="25">
        <v>1777.55</v>
      </c>
    </row>
    <row r="500" spans="1:5" ht="26" x14ac:dyDescent="0.3">
      <c r="A500" s="17" t="str">
        <f>"15956"</f>
        <v>15956</v>
      </c>
      <c r="B500" s="5" t="s">
        <v>657</v>
      </c>
      <c r="C500" s="17">
        <v>19900101</v>
      </c>
      <c r="D500" s="17">
        <v>22991231</v>
      </c>
      <c r="E500" s="25">
        <v>903.54</v>
      </c>
    </row>
    <row r="501" spans="1:5" ht="26" x14ac:dyDescent="0.3">
      <c r="A501" s="17" t="str">
        <f>"15958"</f>
        <v>15958</v>
      </c>
      <c r="B501" s="5" t="s">
        <v>658</v>
      </c>
      <c r="C501" s="17">
        <v>19900101</v>
      </c>
      <c r="D501" s="17">
        <v>22991231</v>
      </c>
      <c r="E501" s="25">
        <v>1777.55</v>
      </c>
    </row>
    <row r="502" spans="1:5" x14ac:dyDescent="0.3">
      <c r="A502" s="17" t="str">
        <f>"16000"</f>
        <v>16000</v>
      </c>
      <c r="B502" s="5" t="s">
        <v>659</v>
      </c>
      <c r="C502" s="17">
        <v>19900101</v>
      </c>
      <c r="D502" s="17">
        <v>22991231</v>
      </c>
      <c r="E502" s="25">
        <v>0</v>
      </c>
    </row>
    <row r="503" spans="1:5" ht="26" x14ac:dyDescent="0.3">
      <c r="A503" s="17" t="str">
        <f>"16020"</f>
        <v>16020</v>
      </c>
      <c r="B503" s="5" t="s">
        <v>660</v>
      </c>
      <c r="C503" s="17">
        <v>19900101</v>
      </c>
      <c r="D503" s="17">
        <v>22991231</v>
      </c>
      <c r="E503" s="25">
        <v>0</v>
      </c>
    </row>
    <row r="504" spans="1:5" ht="26" x14ac:dyDescent="0.3">
      <c r="A504" s="17" t="str">
        <f>"16025"</f>
        <v>16025</v>
      </c>
      <c r="B504" s="5" t="s">
        <v>661</v>
      </c>
      <c r="C504" s="17">
        <v>19900101</v>
      </c>
      <c r="D504" s="17">
        <v>22991231</v>
      </c>
      <c r="E504" s="25">
        <v>99.19</v>
      </c>
    </row>
    <row r="505" spans="1:5" ht="26" x14ac:dyDescent="0.3">
      <c r="A505" s="17" t="str">
        <f>"16030"</f>
        <v>16030</v>
      </c>
      <c r="B505" s="5" t="s">
        <v>662</v>
      </c>
      <c r="C505" s="17">
        <v>19900101</v>
      </c>
      <c r="D505" s="17">
        <v>22991231</v>
      </c>
      <c r="E505" s="25">
        <v>197.56</v>
      </c>
    </row>
    <row r="506" spans="1:5" x14ac:dyDescent="0.3">
      <c r="A506" s="17" t="str">
        <f>"16035"</f>
        <v>16035</v>
      </c>
      <c r="B506" s="5" t="s">
        <v>663</v>
      </c>
      <c r="C506" s="17">
        <v>19900101</v>
      </c>
      <c r="D506" s="17">
        <v>22991231</v>
      </c>
      <c r="E506" s="25">
        <v>197.56</v>
      </c>
    </row>
    <row r="507" spans="1:5" x14ac:dyDescent="0.3">
      <c r="A507" s="17" t="str">
        <f>"17000"</f>
        <v>17000</v>
      </c>
      <c r="B507" s="5" t="s">
        <v>664</v>
      </c>
      <c r="C507" s="17">
        <v>19900101</v>
      </c>
      <c r="D507" s="17">
        <v>22991231</v>
      </c>
      <c r="E507" s="25">
        <v>0</v>
      </c>
    </row>
    <row r="508" spans="1:5" ht="26" x14ac:dyDescent="0.3">
      <c r="A508" s="17" t="str">
        <f>"17003"</f>
        <v>17003</v>
      </c>
      <c r="B508" s="5" t="s">
        <v>665</v>
      </c>
      <c r="C508" s="17">
        <v>19980101</v>
      </c>
      <c r="D508" s="17">
        <v>22991231</v>
      </c>
      <c r="E508" s="25">
        <v>0</v>
      </c>
    </row>
    <row r="509" spans="1:5" ht="26" x14ac:dyDescent="0.3">
      <c r="A509" s="17" t="str">
        <f>"17004"</f>
        <v>17004</v>
      </c>
      <c r="B509" s="5" t="s">
        <v>666</v>
      </c>
      <c r="C509" s="17">
        <v>19980101</v>
      </c>
      <c r="D509" s="17">
        <v>22991231</v>
      </c>
      <c r="E509" s="25">
        <v>110.09</v>
      </c>
    </row>
    <row r="510" spans="1:5" x14ac:dyDescent="0.3">
      <c r="A510" s="17" t="str">
        <f>"17106"</f>
        <v>17106</v>
      </c>
      <c r="B510" s="5" t="s">
        <v>667</v>
      </c>
      <c r="C510" s="17">
        <v>19920115</v>
      </c>
      <c r="D510" s="17">
        <v>22991231</v>
      </c>
      <c r="E510" s="25">
        <v>196.41</v>
      </c>
    </row>
    <row r="511" spans="1:5" x14ac:dyDescent="0.3">
      <c r="A511" s="17" t="str">
        <f>"17107"</f>
        <v>17107</v>
      </c>
      <c r="B511" s="5" t="s">
        <v>668</v>
      </c>
      <c r="C511" s="17">
        <v>19920115</v>
      </c>
      <c r="D511" s="17">
        <v>22991231</v>
      </c>
      <c r="E511" s="25">
        <v>255.52</v>
      </c>
    </row>
    <row r="512" spans="1:5" x14ac:dyDescent="0.3">
      <c r="A512" s="17" t="str">
        <f>"17108"</f>
        <v>17108</v>
      </c>
      <c r="B512" s="5" t="s">
        <v>669</v>
      </c>
      <c r="C512" s="17">
        <v>19920115</v>
      </c>
      <c r="D512" s="17">
        <v>22991231</v>
      </c>
      <c r="E512" s="25">
        <v>333.09</v>
      </c>
    </row>
    <row r="513" spans="1:5" x14ac:dyDescent="0.3">
      <c r="A513" s="17" t="str">
        <f>"17110"</f>
        <v>17110</v>
      </c>
      <c r="B513" s="5" t="s">
        <v>670</v>
      </c>
      <c r="C513" s="17">
        <v>19900101</v>
      </c>
      <c r="D513" s="17">
        <v>22991231</v>
      </c>
      <c r="E513" s="25">
        <v>0</v>
      </c>
    </row>
    <row r="514" spans="1:5" x14ac:dyDescent="0.3">
      <c r="A514" s="17" t="str">
        <f>"17111"</f>
        <v>17111</v>
      </c>
      <c r="B514" s="5" t="s">
        <v>671</v>
      </c>
      <c r="C514" s="17">
        <v>19900101</v>
      </c>
      <c r="D514" s="17">
        <v>22991231</v>
      </c>
      <c r="E514" s="25">
        <v>0</v>
      </c>
    </row>
    <row r="515" spans="1:5" ht="26" x14ac:dyDescent="0.3">
      <c r="A515" s="17" t="str">
        <f>"17250"</f>
        <v>17250</v>
      </c>
      <c r="B515" s="5" t="s">
        <v>672</v>
      </c>
      <c r="C515" s="17">
        <v>19900101</v>
      </c>
      <c r="D515" s="17">
        <v>22991231</v>
      </c>
      <c r="E515" s="25">
        <v>0</v>
      </c>
    </row>
    <row r="516" spans="1:5" ht="26" x14ac:dyDescent="0.3">
      <c r="A516" s="17" t="str">
        <f>"17260"</f>
        <v>17260</v>
      </c>
      <c r="B516" s="5" t="s">
        <v>673</v>
      </c>
      <c r="C516" s="17">
        <v>19920115</v>
      </c>
      <c r="D516" s="17">
        <v>22991231</v>
      </c>
      <c r="E516" s="25">
        <v>0</v>
      </c>
    </row>
    <row r="517" spans="1:5" ht="26" x14ac:dyDescent="0.3">
      <c r="A517" s="17" t="str">
        <f>"17261"</f>
        <v>17261</v>
      </c>
      <c r="B517" s="5" t="s">
        <v>674</v>
      </c>
      <c r="C517" s="17">
        <v>19920115</v>
      </c>
      <c r="D517" s="17">
        <v>22991231</v>
      </c>
      <c r="E517" s="25">
        <v>0</v>
      </c>
    </row>
    <row r="518" spans="1:5" ht="26" x14ac:dyDescent="0.3">
      <c r="A518" s="17" t="str">
        <f>"17262"</f>
        <v>17262</v>
      </c>
      <c r="B518" s="5" t="s">
        <v>675</v>
      </c>
      <c r="C518" s="17">
        <v>19920115</v>
      </c>
      <c r="D518" s="17">
        <v>22991231</v>
      </c>
      <c r="E518" s="25">
        <v>0</v>
      </c>
    </row>
    <row r="519" spans="1:5" ht="26" x14ac:dyDescent="0.3">
      <c r="A519" s="17" t="str">
        <f>"17263"</f>
        <v>17263</v>
      </c>
      <c r="B519" s="5" t="s">
        <v>676</v>
      </c>
      <c r="C519" s="17">
        <v>19920115</v>
      </c>
      <c r="D519" s="17">
        <v>22991231</v>
      </c>
      <c r="E519" s="25">
        <v>0</v>
      </c>
    </row>
    <row r="520" spans="1:5" ht="26" x14ac:dyDescent="0.3">
      <c r="A520" s="17" t="str">
        <f>"17264"</f>
        <v>17264</v>
      </c>
      <c r="B520" s="5" t="s">
        <v>677</v>
      </c>
      <c r="C520" s="17">
        <v>19920115</v>
      </c>
      <c r="D520" s="17">
        <v>22991231</v>
      </c>
      <c r="E520" s="25">
        <v>126.36</v>
      </c>
    </row>
    <row r="521" spans="1:5" ht="26" x14ac:dyDescent="0.3">
      <c r="A521" s="17" t="str">
        <f>"17266"</f>
        <v>17266</v>
      </c>
      <c r="B521" s="5" t="s">
        <v>678</v>
      </c>
      <c r="C521" s="17">
        <v>19920115</v>
      </c>
      <c r="D521" s="17">
        <v>22991231</v>
      </c>
      <c r="E521" s="25">
        <v>139.16999999999999</v>
      </c>
    </row>
    <row r="522" spans="1:5" ht="26" x14ac:dyDescent="0.3">
      <c r="A522" s="17" t="str">
        <f>"17270"</f>
        <v>17270</v>
      </c>
      <c r="B522" s="5" t="s">
        <v>679</v>
      </c>
      <c r="C522" s="17">
        <v>19920115</v>
      </c>
      <c r="D522" s="17">
        <v>22991231</v>
      </c>
      <c r="E522" s="25">
        <v>93.82</v>
      </c>
    </row>
    <row r="523" spans="1:5" ht="26" x14ac:dyDescent="0.3">
      <c r="A523" s="17" t="str">
        <f>"17271"</f>
        <v>17271</v>
      </c>
      <c r="B523" s="5" t="s">
        <v>680</v>
      </c>
      <c r="C523" s="17">
        <v>19920115</v>
      </c>
      <c r="D523" s="17">
        <v>22991231</v>
      </c>
      <c r="E523" s="25">
        <v>99.19</v>
      </c>
    </row>
    <row r="524" spans="1:5" ht="26" x14ac:dyDescent="0.3">
      <c r="A524" s="17" t="str">
        <f>"17272"</f>
        <v>17272</v>
      </c>
      <c r="B524" s="5" t="s">
        <v>681</v>
      </c>
      <c r="C524" s="17">
        <v>19920115</v>
      </c>
      <c r="D524" s="17">
        <v>22991231</v>
      </c>
      <c r="E524" s="25">
        <v>0</v>
      </c>
    </row>
    <row r="525" spans="1:5" ht="26" x14ac:dyDescent="0.3">
      <c r="A525" s="17" t="str">
        <f>"17273"</f>
        <v>17273</v>
      </c>
      <c r="B525" s="5" t="s">
        <v>682</v>
      </c>
      <c r="C525" s="17">
        <v>19920115</v>
      </c>
      <c r="D525" s="17">
        <v>22991231</v>
      </c>
      <c r="E525" s="25">
        <v>124.79</v>
      </c>
    </row>
    <row r="526" spans="1:5" ht="26" x14ac:dyDescent="0.3">
      <c r="A526" s="17" t="str">
        <f>"17274"</f>
        <v>17274</v>
      </c>
      <c r="B526" s="5" t="s">
        <v>683</v>
      </c>
      <c r="C526" s="17">
        <v>19920115</v>
      </c>
      <c r="D526" s="17">
        <v>22991231</v>
      </c>
      <c r="E526" s="25">
        <v>139.49</v>
      </c>
    </row>
    <row r="527" spans="1:5" ht="26" x14ac:dyDescent="0.3">
      <c r="A527" s="17" t="str">
        <f>"17276"</f>
        <v>17276</v>
      </c>
      <c r="B527" s="5" t="s">
        <v>684</v>
      </c>
      <c r="C527" s="17">
        <v>19920115</v>
      </c>
      <c r="D527" s="17">
        <v>22991231</v>
      </c>
      <c r="E527" s="25">
        <v>154.81</v>
      </c>
    </row>
    <row r="528" spans="1:5" ht="26" x14ac:dyDescent="0.3">
      <c r="A528" s="17" t="str">
        <f>"17280"</f>
        <v>17280</v>
      </c>
      <c r="B528" s="5" t="s">
        <v>685</v>
      </c>
      <c r="C528" s="17">
        <v>19920115</v>
      </c>
      <c r="D528" s="17">
        <v>22991231</v>
      </c>
      <c r="E528" s="25">
        <v>0</v>
      </c>
    </row>
    <row r="529" spans="1:5" ht="26" x14ac:dyDescent="0.3">
      <c r="A529" s="17" t="str">
        <f>"17281"</f>
        <v>17281</v>
      </c>
      <c r="B529" s="5" t="s">
        <v>686</v>
      </c>
      <c r="C529" s="17">
        <v>19920115</v>
      </c>
      <c r="D529" s="17">
        <v>22991231</v>
      </c>
      <c r="E529" s="25">
        <v>108.52</v>
      </c>
    </row>
    <row r="530" spans="1:5" ht="26" x14ac:dyDescent="0.3">
      <c r="A530" s="17" t="str">
        <f>"17282"</f>
        <v>17282</v>
      </c>
      <c r="B530" s="5" t="s">
        <v>687</v>
      </c>
      <c r="C530" s="17">
        <v>19920115</v>
      </c>
      <c r="D530" s="17">
        <v>22991231</v>
      </c>
      <c r="E530" s="25">
        <v>121.66</v>
      </c>
    </row>
    <row r="531" spans="1:5" ht="26" x14ac:dyDescent="0.3">
      <c r="A531" s="17" t="str">
        <f>"17283"</f>
        <v>17283</v>
      </c>
      <c r="B531" s="5" t="s">
        <v>688</v>
      </c>
      <c r="C531" s="17">
        <v>19920115</v>
      </c>
      <c r="D531" s="17">
        <v>22991231</v>
      </c>
      <c r="E531" s="25">
        <v>136.05000000000001</v>
      </c>
    </row>
    <row r="532" spans="1:5" ht="26" x14ac:dyDescent="0.3">
      <c r="A532" s="17" t="str">
        <f>"17284"</f>
        <v>17284</v>
      </c>
      <c r="B532" s="5" t="s">
        <v>689</v>
      </c>
      <c r="C532" s="17">
        <v>19920115</v>
      </c>
      <c r="D532" s="17">
        <v>22991231</v>
      </c>
      <c r="E532" s="25">
        <v>149.5</v>
      </c>
    </row>
    <row r="533" spans="1:5" ht="26" x14ac:dyDescent="0.3">
      <c r="A533" s="17" t="str">
        <f>"17286"</f>
        <v>17286</v>
      </c>
      <c r="B533" s="5" t="s">
        <v>690</v>
      </c>
      <c r="C533" s="17">
        <v>19920115</v>
      </c>
      <c r="D533" s="17">
        <v>22991231</v>
      </c>
      <c r="E533" s="25">
        <v>178.9</v>
      </c>
    </row>
    <row r="534" spans="1:5" ht="39" x14ac:dyDescent="0.3">
      <c r="A534" s="17" t="str">
        <f>"17311"</f>
        <v>17311</v>
      </c>
      <c r="B534" s="5" t="s">
        <v>691</v>
      </c>
      <c r="C534" s="17">
        <v>20230101</v>
      </c>
      <c r="D534" s="17">
        <v>22991231</v>
      </c>
      <c r="E534" s="25">
        <v>311.18</v>
      </c>
    </row>
    <row r="535" spans="1:5" ht="39" x14ac:dyDescent="0.3">
      <c r="A535" s="17" t="str">
        <f>"17312"</f>
        <v>17312</v>
      </c>
      <c r="B535" s="5" t="s">
        <v>692</v>
      </c>
      <c r="C535" s="17">
        <v>20230101</v>
      </c>
      <c r="D535" s="17">
        <v>22991231</v>
      </c>
      <c r="E535" s="25">
        <v>0</v>
      </c>
    </row>
    <row r="536" spans="1:5" ht="26" x14ac:dyDescent="0.3">
      <c r="A536" s="17" t="str">
        <f>"17313"</f>
        <v>17313</v>
      </c>
      <c r="B536" s="5" t="s">
        <v>693</v>
      </c>
      <c r="C536" s="17">
        <v>20230101</v>
      </c>
      <c r="D536" s="17">
        <v>22991231</v>
      </c>
      <c r="E536" s="25">
        <v>311.18</v>
      </c>
    </row>
    <row r="537" spans="1:5" ht="39" x14ac:dyDescent="0.3">
      <c r="A537" s="17" t="str">
        <f>"17314"</f>
        <v>17314</v>
      </c>
      <c r="B537" s="5" t="s">
        <v>694</v>
      </c>
      <c r="C537" s="17">
        <v>20230101</v>
      </c>
      <c r="D537" s="17">
        <v>22991231</v>
      </c>
      <c r="E537" s="25">
        <v>0</v>
      </c>
    </row>
    <row r="538" spans="1:5" ht="26" x14ac:dyDescent="0.3">
      <c r="A538" s="17" t="str">
        <f>"17315"</f>
        <v>17315</v>
      </c>
      <c r="B538" s="5" t="s">
        <v>695</v>
      </c>
      <c r="C538" s="17">
        <v>20230101</v>
      </c>
      <c r="D538" s="17">
        <v>22991231</v>
      </c>
      <c r="E538" s="25">
        <v>0</v>
      </c>
    </row>
    <row r="539" spans="1:5" x14ac:dyDescent="0.3">
      <c r="A539" s="17" t="str">
        <f>"17340"</f>
        <v>17340</v>
      </c>
      <c r="B539" s="5" t="s">
        <v>696</v>
      </c>
      <c r="C539" s="17">
        <v>19900101</v>
      </c>
      <c r="D539" s="17">
        <v>22991231</v>
      </c>
      <c r="E539" s="25">
        <v>0</v>
      </c>
    </row>
    <row r="540" spans="1:5" x14ac:dyDescent="0.3">
      <c r="A540" s="17" t="str">
        <f>"17360"</f>
        <v>17360</v>
      </c>
      <c r="B540" s="5" t="s">
        <v>697</v>
      </c>
      <c r="C540" s="17">
        <v>19900101</v>
      </c>
      <c r="D540" s="17">
        <v>22991231</v>
      </c>
      <c r="E540" s="25">
        <v>0</v>
      </c>
    </row>
    <row r="541" spans="1:5" x14ac:dyDescent="0.3">
      <c r="A541" s="17" t="str">
        <f>"17380"</f>
        <v>17380</v>
      </c>
      <c r="B541" s="5" t="s">
        <v>698</v>
      </c>
      <c r="C541" s="17">
        <v>20230101</v>
      </c>
      <c r="D541" s="17">
        <v>22991231</v>
      </c>
      <c r="E541" s="25">
        <v>311.18</v>
      </c>
    </row>
    <row r="542" spans="1:5" ht="26" x14ac:dyDescent="0.3">
      <c r="A542" s="17" t="str">
        <f>"17999"</f>
        <v>17999</v>
      </c>
      <c r="B542" s="5" t="s">
        <v>699</v>
      </c>
      <c r="C542" s="17">
        <v>19900101</v>
      </c>
      <c r="D542" s="17">
        <v>22991231</v>
      </c>
      <c r="E542" s="24" t="s">
        <v>7128</v>
      </c>
    </row>
    <row r="543" spans="1:5" x14ac:dyDescent="0.3">
      <c r="A543" s="17" t="str">
        <f>"19000"</f>
        <v>19000</v>
      </c>
      <c r="B543" s="5" t="s">
        <v>700</v>
      </c>
      <c r="C543" s="17">
        <v>19900101</v>
      </c>
      <c r="D543" s="17">
        <v>22991231</v>
      </c>
      <c r="E543" s="25">
        <v>64.42</v>
      </c>
    </row>
    <row r="544" spans="1:5" x14ac:dyDescent="0.3">
      <c r="A544" s="17" t="str">
        <f>"19001"</f>
        <v>19001</v>
      </c>
      <c r="B544" s="5" t="s">
        <v>701</v>
      </c>
      <c r="C544" s="17">
        <v>19900101</v>
      </c>
      <c r="D544" s="17">
        <v>22991231</v>
      </c>
      <c r="E544" s="25">
        <v>0</v>
      </c>
    </row>
    <row r="545" spans="1:5" x14ac:dyDescent="0.3">
      <c r="A545" s="17" t="str">
        <f>"19020"</f>
        <v>19020</v>
      </c>
      <c r="B545" s="5" t="s">
        <v>702</v>
      </c>
      <c r="C545" s="17">
        <v>19900101</v>
      </c>
      <c r="D545" s="17">
        <v>22991231</v>
      </c>
      <c r="E545" s="25">
        <v>652.27</v>
      </c>
    </row>
    <row r="546" spans="1:5" x14ac:dyDescent="0.3">
      <c r="A546" s="17" t="str">
        <f>"19030"</f>
        <v>19030</v>
      </c>
      <c r="B546" s="5" t="s">
        <v>703</v>
      </c>
      <c r="C546" s="17">
        <v>19900101</v>
      </c>
      <c r="D546" s="17">
        <v>22991231</v>
      </c>
      <c r="E546" s="25">
        <v>0</v>
      </c>
    </row>
    <row r="547" spans="1:5" ht="26" x14ac:dyDescent="0.3">
      <c r="A547" s="17" t="str">
        <f>"19081"</f>
        <v>19081</v>
      </c>
      <c r="B547" s="5" t="s">
        <v>704</v>
      </c>
      <c r="C547" s="17">
        <v>20230101</v>
      </c>
      <c r="D547" s="17">
        <v>22991231</v>
      </c>
      <c r="E547" s="25">
        <v>652.27</v>
      </c>
    </row>
    <row r="548" spans="1:5" ht="39" x14ac:dyDescent="0.3">
      <c r="A548" s="17" t="str">
        <f>"19082"</f>
        <v>19082</v>
      </c>
      <c r="B548" s="5" t="s">
        <v>705</v>
      </c>
      <c r="C548" s="17">
        <v>20230101</v>
      </c>
      <c r="D548" s="17">
        <v>22991231</v>
      </c>
      <c r="E548" s="25">
        <v>0</v>
      </c>
    </row>
    <row r="549" spans="1:5" ht="26" x14ac:dyDescent="0.3">
      <c r="A549" s="17" t="str">
        <f>"19083"</f>
        <v>19083</v>
      </c>
      <c r="B549" s="5" t="s">
        <v>706</v>
      </c>
      <c r="C549" s="17">
        <v>20230101</v>
      </c>
      <c r="D549" s="17">
        <v>22991231</v>
      </c>
      <c r="E549" s="25">
        <v>652.27</v>
      </c>
    </row>
    <row r="550" spans="1:5" ht="26" x14ac:dyDescent="0.3">
      <c r="A550" s="17" t="str">
        <f>"19084"</f>
        <v>19084</v>
      </c>
      <c r="B550" s="5" t="s">
        <v>707</v>
      </c>
      <c r="C550" s="17">
        <v>20230101</v>
      </c>
      <c r="D550" s="17">
        <v>22991231</v>
      </c>
      <c r="E550" s="25">
        <v>0</v>
      </c>
    </row>
    <row r="551" spans="1:5" ht="26" x14ac:dyDescent="0.3">
      <c r="A551" s="17" t="str">
        <f>"19085"</f>
        <v>19085</v>
      </c>
      <c r="B551" s="5" t="s">
        <v>708</v>
      </c>
      <c r="C551" s="17">
        <v>20230101</v>
      </c>
      <c r="D551" s="17">
        <v>22991231</v>
      </c>
      <c r="E551" s="25">
        <v>652.27</v>
      </c>
    </row>
    <row r="552" spans="1:5" ht="26" x14ac:dyDescent="0.3">
      <c r="A552" s="17" t="str">
        <f>"19086"</f>
        <v>19086</v>
      </c>
      <c r="B552" s="5" t="s">
        <v>709</v>
      </c>
      <c r="C552" s="17">
        <v>20230101</v>
      </c>
      <c r="D552" s="17">
        <v>22991231</v>
      </c>
      <c r="E552" s="25">
        <v>0</v>
      </c>
    </row>
    <row r="553" spans="1:5" x14ac:dyDescent="0.3">
      <c r="A553" s="17" t="str">
        <f>"19100"</f>
        <v>19100</v>
      </c>
      <c r="B553" s="5" t="s">
        <v>710</v>
      </c>
      <c r="C553" s="17">
        <v>19900101</v>
      </c>
      <c r="D553" s="17">
        <v>22991231</v>
      </c>
      <c r="E553" s="25">
        <v>652.27</v>
      </c>
    </row>
    <row r="554" spans="1:5" x14ac:dyDescent="0.3">
      <c r="A554" s="17" t="str">
        <f>"19101"</f>
        <v>19101</v>
      </c>
      <c r="B554" s="5" t="s">
        <v>711</v>
      </c>
      <c r="C554" s="17">
        <v>19900101</v>
      </c>
      <c r="D554" s="17">
        <v>22991231</v>
      </c>
      <c r="E554" s="25">
        <v>1403.55</v>
      </c>
    </row>
    <row r="555" spans="1:5" ht="26" x14ac:dyDescent="0.3">
      <c r="A555" s="17" t="str">
        <f>"19105"</f>
        <v>19105</v>
      </c>
      <c r="B555" s="5" t="s">
        <v>712</v>
      </c>
      <c r="C555" s="17">
        <v>20230101</v>
      </c>
      <c r="D555" s="17">
        <v>22991231</v>
      </c>
      <c r="E555" s="25">
        <v>2003.35</v>
      </c>
    </row>
    <row r="556" spans="1:5" x14ac:dyDescent="0.3">
      <c r="A556" s="17" t="str">
        <f>"19110"</f>
        <v>19110</v>
      </c>
      <c r="B556" s="5" t="s">
        <v>713</v>
      </c>
      <c r="C556" s="17">
        <v>19900101</v>
      </c>
      <c r="D556" s="17">
        <v>22991231</v>
      </c>
      <c r="E556" s="25">
        <v>1403.55</v>
      </c>
    </row>
    <row r="557" spans="1:5" x14ac:dyDescent="0.3">
      <c r="A557" s="17" t="str">
        <f>"19112"</f>
        <v>19112</v>
      </c>
      <c r="B557" s="5" t="s">
        <v>714</v>
      </c>
      <c r="C557" s="17">
        <v>19900101</v>
      </c>
      <c r="D557" s="17">
        <v>22991231</v>
      </c>
      <c r="E557" s="25">
        <v>1403.55</v>
      </c>
    </row>
    <row r="558" spans="1:5" ht="26" x14ac:dyDescent="0.3">
      <c r="A558" s="17" t="str">
        <f>"19120"</f>
        <v>19120</v>
      </c>
      <c r="B558" s="5" t="s">
        <v>715</v>
      </c>
      <c r="C558" s="17">
        <v>19900101</v>
      </c>
      <c r="D558" s="17">
        <v>22991231</v>
      </c>
      <c r="E558" s="25">
        <v>1403.55</v>
      </c>
    </row>
    <row r="559" spans="1:5" ht="26" x14ac:dyDescent="0.3">
      <c r="A559" s="17" t="str">
        <f>"19125"</f>
        <v>19125</v>
      </c>
      <c r="B559" s="5" t="s">
        <v>716</v>
      </c>
      <c r="C559" s="17">
        <v>19940101</v>
      </c>
      <c r="D559" s="17">
        <v>22991231</v>
      </c>
      <c r="E559" s="25">
        <v>1403.55</v>
      </c>
    </row>
    <row r="560" spans="1:5" ht="26" x14ac:dyDescent="0.3">
      <c r="A560" s="17" t="str">
        <f>"19126"</f>
        <v>19126</v>
      </c>
      <c r="B560" s="5" t="s">
        <v>717</v>
      </c>
      <c r="C560" s="17">
        <v>19940101</v>
      </c>
      <c r="D560" s="17">
        <v>22991231</v>
      </c>
      <c r="E560" s="25">
        <v>0</v>
      </c>
    </row>
    <row r="561" spans="1:5" ht="26" x14ac:dyDescent="0.3">
      <c r="A561" s="17" t="str">
        <f>"19281"</f>
        <v>19281</v>
      </c>
      <c r="B561" s="5" t="s">
        <v>718</v>
      </c>
      <c r="C561" s="17">
        <v>20230101</v>
      </c>
      <c r="D561" s="17">
        <v>22991231</v>
      </c>
      <c r="E561" s="25">
        <v>0</v>
      </c>
    </row>
    <row r="562" spans="1:5" ht="26" x14ac:dyDescent="0.3">
      <c r="A562" s="17" t="str">
        <f>"19282"</f>
        <v>19282</v>
      </c>
      <c r="B562" s="5" t="s">
        <v>719</v>
      </c>
      <c r="C562" s="17">
        <v>20230101</v>
      </c>
      <c r="D562" s="17">
        <v>22991231</v>
      </c>
      <c r="E562" s="25">
        <v>0</v>
      </c>
    </row>
    <row r="563" spans="1:5" ht="26" x14ac:dyDescent="0.3">
      <c r="A563" s="17" t="str">
        <f>"19283"</f>
        <v>19283</v>
      </c>
      <c r="B563" s="5" t="s">
        <v>720</v>
      </c>
      <c r="C563" s="17">
        <v>20230101</v>
      </c>
      <c r="D563" s="17">
        <v>22991231</v>
      </c>
      <c r="E563" s="25">
        <v>0</v>
      </c>
    </row>
    <row r="564" spans="1:5" ht="26" x14ac:dyDescent="0.3">
      <c r="A564" s="17" t="str">
        <f>"19284"</f>
        <v>19284</v>
      </c>
      <c r="B564" s="5" t="s">
        <v>721</v>
      </c>
      <c r="C564" s="17">
        <v>20230101</v>
      </c>
      <c r="D564" s="17">
        <v>22991231</v>
      </c>
      <c r="E564" s="25">
        <v>0</v>
      </c>
    </row>
    <row r="565" spans="1:5" ht="26" x14ac:dyDescent="0.3">
      <c r="A565" s="17" t="str">
        <f>"19285"</f>
        <v>19285</v>
      </c>
      <c r="B565" s="5" t="s">
        <v>722</v>
      </c>
      <c r="C565" s="17">
        <v>20230101</v>
      </c>
      <c r="D565" s="17">
        <v>22991231</v>
      </c>
      <c r="E565" s="25">
        <v>0</v>
      </c>
    </row>
    <row r="566" spans="1:5" ht="26" x14ac:dyDescent="0.3">
      <c r="A566" s="17" t="str">
        <f>"19286"</f>
        <v>19286</v>
      </c>
      <c r="B566" s="5" t="s">
        <v>723</v>
      </c>
      <c r="C566" s="17">
        <v>20230101</v>
      </c>
      <c r="D566" s="17">
        <v>22991231</v>
      </c>
      <c r="E566" s="25">
        <v>0</v>
      </c>
    </row>
    <row r="567" spans="1:5" ht="26" x14ac:dyDescent="0.3">
      <c r="A567" s="17" t="str">
        <f>"19287"</f>
        <v>19287</v>
      </c>
      <c r="B567" s="5" t="s">
        <v>724</v>
      </c>
      <c r="C567" s="17">
        <v>20230101</v>
      </c>
      <c r="D567" s="17">
        <v>22991231</v>
      </c>
      <c r="E567" s="25">
        <v>0</v>
      </c>
    </row>
    <row r="568" spans="1:5" ht="26" x14ac:dyDescent="0.3">
      <c r="A568" s="17" t="str">
        <f>"19288"</f>
        <v>19288</v>
      </c>
      <c r="B568" s="5" t="s">
        <v>725</v>
      </c>
      <c r="C568" s="17">
        <v>20230101</v>
      </c>
      <c r="D568" s="17">
        <v>22991231</v>
      </c>
      <c r="E568" s="25">
        <v>0</v>
      </c>
    </row>
    <row r="569" spans="1:5" ht="39" x14ac:dyDescent="0.3">
      <c r="A569" s="17" t="str">
        <f>"19294"</f>
        <v>19294</v>
      </c>
      <c r="B569" s="5" t="s">
        <v>726</v>
      </c>
      <c r="C569" s="17">
        <v>20180101</v>
      </c>
      <c r="D569" s="17">
        <v>22991231</v>
      </c>
      <c r="E569" s="25">
        <v>0</v>
      </c>
    </row>
    <row r="570" spans="1:5" ht="26" x14ac:dyDescent="0.3">
      <c r="A570" s="17" t="str">
        <f>"19296"</f>
        <v>19296</v>
      </c>
      <c r="B570" s="5" t="s">
        <v>727</v>
      </c>
      <c r="C570" s="17">
        <v>20230101</v>
      </c>
      <c r="D570" s="17">
        <v>22991231</v>
      </c>
      <c r="E570" s="25">
        <v>4175.6000000000004</v>
      </c>
    </row>
    <row r="571" spans="1:5" ht="39" x14ac:dyDescent="0.3">
      <c r="A571" s="17" t="str">
        <f>"19297"</f>
        <v>19297</v>
      </c>
      <c r="B571" s="5" t="s">
        <v>728</v>
      </c>
      <c r="C571" s="17">
        <v>20230101</v>
      </c>
      <c r="D571" s="17">
        <v>22991231</v>
      </c>
      <c r="E571" s="25">
        <v>0</v>
      </c>
    </row>
    <row r="572" spans="1:5" ht="39" x14ac:dyDescent="0.3">
      <c r="A572" s="17" t="str">
        <f>"19298"</f>
        <v>19298</v>
      </c>
      <c r="B572" s="5" t="s">
        <v>729</v>
      </c>
      <c r="C572" s="17">
        <v>20230101</v>
      </c>
      <c r="D572" s="17">
        <v>22991231</v>
      </c>
      <c r="E572" s="25">
        <v>3967.69</v>
      </c>
    </row>
    <row r="573" spans="1:5" x14ac:dyDescent="0.3">
      <c r="A573" s="17" t="str">
        <f>"19300"</f>
        <v>19300</v>
      </c>
      <c r="B573" s="5" t="s">
        <v>730</v>
      </c>
      <c r="C573" s="17">
        <v>20070101</v>
      </c>
      <c r="D573" s="17">
        <v>22991231</v>
      </c>
      <c r="E573" s="25">
        <v>1403.55</v>
      </c>
    </row>
    <row r="574" spans="1:5" x14ac:dyDescent="0.3">
      <c r="A574" s="17" t="str">
        <f>"19301"</f>
        <v>19301</v>
      </c>
      <c r="B574" s="5" t="s">
        <v>731</v>
      </c>
      <c r="C574" s="17">
        <v>20070101</v>
      </c>
      <c r="D574" s="17">
        <v>22991231</v>
      </c>
      <c r="E574" s="25">
        <v>1403.55</v>
      </c>
    </row>
    <row r="575" spans="1:5" ht="26" x14ac:dyDescent="0.3">
      <c r="A575" s="17" t="str">
        <f>"19302"</f>
        <v>19302</v>
      </c>
      <c r="B575" s="5" t="s">
        <v>732</v>
      </c>
      <c r="C575" s="17">
        <v>20070101</v>
      </c>
      <c r="D575" s="17">
        <v>22991231</v>
      </c>
      <c r="E575" s="25">
        <v>2422.23</v>
      </c>
    </row>
    <row r="576" spans="1:5" x14ac:dyDescent="0.3">
      <c r="A576" s="17" t="str">
        <f>"19303"</f>
        <v>19303</v>
      </c>
      <c r="B576" s="5" t="s">
        <v>733</v>
      </c>
      <c r="C576" s="17">
        <v>20070101</v>
      </c>
      <c r="D576" s="17">
        <v>22991231</v>
      </c>
      <c r="E576" s="25">
        <v>2422.23</v>
      </c>
    </row>
    <row r="577" spans="1:5" x14ac:dyDescent="0.3">
      <c r="A577" s="17" t="str">
        <f>"19307"</f>
        <v>19307</v>
      </c>
      <c r="B577" s="5" t="s">
        <v>734</v>
      </c>
      <c r="C577" s="17">
        <v>20230101</v>
      </c>
      <c r="D577" s="17">
        <v>22991231</v>
      </c>
      <c r="E577" s="25">
        <v>2422.23</v>
      </c>
    </row>
    <row r="578" spans="1:5" x14ac:dyDescent="0.3">
      <c r="A578" s="17" t="str">
        <f>"19316"</f>
        <v>19316</v>
      </c>
      <c r="B578" s="5" t="s">
        <v>735</v>
      </c>
      <c r="C578" s="17">
        <v>19900101</v>
      </c>
      <c r="D578" s="17">
        <v>22991231</v>
      </c>
      <c r="E578" s="25">
        <v>2422.23</v>
      </c>
    </row>
    <row r="579" spans="1:5" x14ac:dyDescent="0.3">
      <c r="A579" s="17" t="str">
        <f>"19318"</f>
        <v>19318</v>
      </c>
      <c r="B579" s="5" t="s">
        <v>736</v>
      </c>
      <c r="C579" s="17">
        <v>19900101</v>
      </c>
      <c r="D579" s="17">
        <v>22991231</v>
      </c>
      <c r="E579" s="25">
        <v>2422.23</v>
      </c>
    </row>
    <row r="580" spans="1:5" x14ac:dyDescent="0.3">
      <c r="A580" s="17" t="str">
        <f>"19325"</f>
        <v>19325</v>
      </c>
      <c r="B580" s="5" t="s">
        <v>737</v>
      </c>
      <c r="C580" s="17">
        <v>19900101</v>
      </c>
      <c r="D580" s="17">
        <v>22991231</v>
      </c>
      <c r="E580" s="25">
        <v>2870.26</v>
      </c>
    </row>
    <row r="581" spans="1:5" x14ac:dyDescent="0.3">
      <c r="A581" s="17" t="str">
        <f>"19328"</f>
        <v>19328</v>
      </c>
      <c r="B581" s="5" t="s">
        <v>738</v>
      </c>
      <c r="C581" s="17">
        <v>19900101</v>
      </c>
      <c r="D581" s="17">
        <v>22991231</v>
      </c>
      <c r="E581" s="25">
        <v>1403.55</v>
      </c>
    </row>
    <row r="582" spans="1:5" ht="26" x14ac:dyDescent="0.3">
      <c r="A582" s="17" t="str">
        <f>"19330"</f>
        <v>19330</v>
      </c>
      <c r="B582" s="5" t="s">
        <v>739</v>
      </c>
      <c r="C582" s="17">
        <v>19900101</v>
      </c>
      <c r="D582" s="17">
        <v>22991231</v>
      </c>
      <c r="E582" s="25">
        <v>1403.55</v>
      </c>
    </row>
    <row r="583" spans="1:5" ht="26" x14ac:dyDescent="0.3">
      <c r="A583" s="17" t="str">
        <f>"19340"</f>
        <v>19340</v>
      </c>
      <c r="B583" s="5" t="s">
        <v>740</v>
      </c>
      <c r="C583" s="17">
        <v>19900101</v>
      </c>
      <c r="D583" s="17">
        <v>22991231</v>
      </c>
      <c r="E583" s="25">
        <v>3077.71</v>
      </c>
    </row>
    <row r="584" spans="1:5" ht="26" x14ac:dyDescent="0.3">
      <c r="A584" s="17" t="str">
        <f>"19342"</f>
        <v>19342</v>
      </c>
      <c r="B584" s="5" t="s">
        <v>741</v>
      </c>
      <c r="C584" s="17">
        <v>19900101</v>
      </c>
      <c r="D584" s="17">
        <v>22991231</v>
      </c>
      <c r="E584" s="25">
        <v>2870.26</v>
      </c>
    </row>
    <row r="585" spans="1:5" x14ac:dyDescent="0.3">
      <c r="A585" s="17" t="str">
        <f>"19350"</f>
        <v>19350</v>
      </c>
      <c r="B585" s="5" t="s">
        <v>742</v>
      </c>
      <c r="C585" s="17">
        <v>19900101</v>
      </c>
      <c r="D585" s="17">
        <v>22991231</v>
      </c>
      <c r="E585" s="25">
        <v>1403.55</v>
      </c>
    </row>
    <row r="586" spans="1:5" x14ac:dyDescent="0.3">
      <c r="A586" s="17" t="str">
        <f>"19355"</f>
        <v>19355</v>
      </c>
      <c r="B586" s="5" t="s">
        <v>743</v>
      </c>
      <c r="C586" s="17">
        <v>20030401</v>
      </c>
      <c r="D586" s="17">
        <v>22991231</v>
      </c>
      <c r="E586" s="25">
        <v>1403.55</v>
      </c>
    </row>
    <row r="587" spans="1:5" x14ac:dyDescent="0.3">
      <c r="A587" s="17" t="str">
        <f>"19357"</f>
        <v>19357</v>
      </c>
      <c r="B587" s="5" t="s">
        <v>744</v>
      </c>
      <c r="C587" s="17">
        <v>19920115</v>
      </c>
      <c r="D587" s="17">
        <v>22991231</v>
      </c>
      <c r="E587" s="25">
        <v>5164.57</v>
      </c>
    </row>
    <row r="588" spans="1:5" x14ac:dyDescent="0.3">
      <c r="A588" s="17" t="str">
        <f>"19370"</f>
        <v>19370</v>
      </c>
      <c r="B588" s="5" t="s">
        <v>745</v>
      </c>
      <c r="C588" s="17">
        <v>19900101</v>
      </c>
      <c r="D588" s="17">
        <v>22991231</v>
      </c>
      <c r="E588" s="25">
        <v>1403.55</v>
      </c>
    </row>
    <row r="589" spans="1:5" x14ac:dyDescent="0.3">
      <c r="A589" s="17" t="str">
        <f>"19371"</f>
        <v>19371</v>
      </c>
      <c r="B589" s="5" t="s">
        <v>746</v>
      </c>
      <c r="C589" s="17">
        <v>19970801</v>
      </c>
      <c r="D589" s="17">
        <v>22991231</v>
      </c>
      <c r="E589" s="25">
        <v>1403.55</v>
      </c>
    </row>
    <row r="590" spans="1:5" x14ac:dyDescent="0.3">
      <c r="A590" s="17" t="str">
        <f>"19380"</f>
        <v>19380</v>
      </c>
      <c r="B590" s="5" t="s">
        <v>747</v>
      </c>
      <c r="C590" s="17">
        <v>19900101</v>
      </c>
      <c r="D590" s="17">
        <v>22991231</v>
      </c>
      <c r="E590" s="25">
        <v>2422.23</v>
      </c>
    </row>
    <row r="591" spans="1:5" x14ac:dyDescent="0.3">
      <c r="A591" s="17" t="str">
        <f>"19396"</f>
        <v>19396</v>
      </c>
      <c r="B591" s="5" t="s">
        <v>748</v>
      </c>
      <c r="C591" s="17">
        <v>19900101</v>
      </c>
      <c r="D591" s="17">
        <v>22991231</v>
      </c>
      <c r="E591" s="25">
        <v>1403.55</v>
      </c>
    </row>
    <row r="592" spans="1:5" x14ac:dyDescent="0.3">
      <c r="A592" s="17" t="str">
        <f>"19499"</f>
        <v>19499</v>
      </c>
      <c r="B592" s="5" t="s">
        <v>749</v>
      </c>
      <c r="C592" s="17">
        <v>19900101</v>
      </c>
      <c r="D592" s="17">
        <v>22991231</v>
      </c>
      <c r="E592" s="24" t="s">
        <v>7128</v>
      </c>
    </row>
    <row r="593" spans="1:5" x14ac:dyDescent="0.3">
      <c r="A593" s="17" t="str">
        <f>"20100"</f>
        <v>20100</v>
      </c>
      <c r="B593" s="5" t="s">
        <v>750</v>
      </c>
      <c r="C593" s="17">
        <v>19960101</v>
      </c>
      <c r="D593" s="17">
        <v>22991231</v>
      </c>
      <c r="E593" s="24" t="s">
        <v>7128</v>
      </c>
    </row>
    <row r="594" spans="1:5" x14ac:dyDescent="0.3">
      <c r="A594" s="17" t="str">
        <f>"20101"</f>
        <v>20101</v>
      </c>
      <c r="B594" s="5" t="s">
        <v>751</v>
      </c>
      <c r="C594" s="17">
        <v>19960101</v>
      </c>
      <c r="D594" s="17">
        <v>22991231</v>
      </c>
      <c r="E594" s="24" t="s">
        <v>7128</v>
      </c>
    </row>
    <row r="595" spans="1:5" ht="26" x14ac:dyDescent="0.3">
      <c r="A595" s="17" t="str">
        <f>"20102"</f>
        <v>20102</v>
      </c>
      <c r="B595" s="5" t="s">
        <v>752</v>
      </c>
      <c r="C595" s="17">
        <v>19960101</v>
      </c>
      <c r="D595" s="17">
        <v>22991231</v>
      </c>
      <c r="E595" s="24" t="s">
        <v>7128</v>
      </c>
    </row>
    <row r="596" spans="1:5" x14ac:dyDescent="0.3">
      <c r="A596" s="17" t="str">
        <f>"20103"</f>
        <v>20103</v>
      </c>
      <c r="B596" s="5" t="s">
        <v>753</v>
      </c>
      <c r="C596" s="17">
        <v>19960101</v>
      </c>
      <c r="D596" s="17">
        <v>22991231</v>
      </c>
      <c r="E596" s="25">
        <v>652.27</v>
      </c>
    </row>
    <row r="597" spans="1:5" x14ac:dyDescent="0.3">
      <c r="A597" s="17" t="str">
        <f>"20150"</f>
        <v>20150</v>
      </c>
      <c r="B597" s="5" t="s">
        <v>754</v>
      </c>
      <c r="C597" s="17">
        <v>19970101</v>
      </c>
      <c r="D597" s="17">
        <v>22991231</v>
      </c>
      <c r="E597" s="25">
        <v>1450.8</v>
      </c>
    </row>
    <row r="598" spans="1:5" x14ac:dyDescent="0.3">
      <c r="A598" s="17" t="str">
        <f>"20200"</f>
        <v>20200</v>
      </c>
      <c r="B598" s="5" t="s">
        <v>755</v>
      </c>
      <c r="C598" s="17">
        <v>19900101</v>
      </c>
      <c r="D598" s="17">
        <v>22991231</v>
      </c>
      <c r="E598" s="25">
        <v>652.27</v>
      </c>
    </row>
    <row r="599" spans="1:5" x14ac:dyDescent="0.3">
      <c r="A599" s="17" t="str">
        <f>"20205"</f>
        <v>20205</v>
      </c>
      <c r="B599" s="5" t="s">
        <v>756</v>
      </c>
      <c r="C599" s="17">
        <v>19900101</v>
      </c>
      <c r="D599" s="17">
        <v>22991231</v>
      </c>
      <c r="E599" s="25">
        <v>1105.24</v>
      </c>
    </row>
    <row r="600" spans="1:5" x14ac:dyDescent="0.3">
      <c r="A600" s="17" t="str">
        <f>"20206"</f>
        <v>20206</v>
      </c>
      <c r="B600" s="5" t="s">
        <v>757</v>
      </c>
      <c r="C600" s="17">
        <v>20230101</v>
      </c>
      <c r="D600" s="17">
        <v>22991231</v>
      </c>
      <c r="E600" s="25">
        <v>652.27</v>
      </c>
    </row>
    <row r="601" spans="1:5" x14ac:dyDescent="0.3">
      <c r="A601" s="17" t="str">
        <f>"20220"</f>
        <v>20220</v>
      </c>
      <c r="B601" s="5" t="s">
        <v>758</v>
      </c>
      <c r="C601" s="17">
        <v>19900101</v>
      </c>
      <c r="D601" s="17">
        <v>22991231</v>
      </c>
      <c r="E601" s="25">
        <v>652.27</v>
      </c>
    </row>
    <row r="602" spans="1:5" x14ac:dyDescent="0.3">
      <c r="A602" s="17" t="str">
        <f>"20225"</f>
        <v>20225</v>
      </c>
      <c r="B602" s="5" t="s">
        <v>759</v>
      </c>
      <c r="C602" s="17">
        <v>19900101</v>
      </c>
      <c r="D602" s="17">
        <v>22991231</v>
      </c>
      <c r="E602" s="25">
        <v>652.27</v>
      </c>
    </row>
    <row r="603" spans="1:5" x14ac:dyDescent="0.3">
      <c r="A603" s="17" t="str">
        <f>"20240"</f>
        <v>20240</v>
      </c>
      <c r="B603" s="5" t="s">
        <v>760</v>
      </c>
      <c r="C603" s="17">
        <v>19900101</v>
      </c>
      <c r="D603" s="17">
        <v>22991231</v>
      </c>
      <c r="E603" s="25">
        <v>1105.24</v>
      </c>
    </row>
    <row r="604" spans="1:5" x14ac:dyDescent="0.3">
      <c r="A604" s="17" t="str">
        <f>"20245"</f>
        <v>20245</v>
      </c>
      <c r="B604" s="5" t="s">
        <v>761</v>
      </c>
      <c r="C604" s="17">
        <v>19900101</v>
      </c>
      <c r="D604" s="17">
        <v>22991231</v>
      </c>
      <c r="E604" s="25">
        <v>1105.24</v>
      </c>
    </row>
    <row r="605" spans="1:5" x14ac:dyDescent="0.3">
      <c r="A605" s="17" t="str">
        <f>"20250"</f>
        <v>20250</v>
      </c>
      <c r="B605" s="5" t="s">
        <v>762</v>
      </c>
      <c r="C605" s="17">
        <v>19900101</v>
      </c>
      <c r="D605" s="17">
        <v>22991231</v>
      </c>
      <c r="E605" s="25">
        <v>1450.8</v>
      </c>
    </row>
    <row r="606" spans="1:5" x14ac:dyDescent="0.3">
      <c r="A606" s="17" t="str">
        <f>"20251"</f>
        <v>20251</v>
      </c>
      <c r="B606" s="5" t="s">
        <v>763</v>
      </c>
      <c r="C606" s="17">
        <v>19900101</v>
      </c>
      <c r="D606" s="17">
        <v>22991231</v>
      </c>
      <c r="E606" s="25">
        <v>3240.75</v>
      </c>
    </row>
    <row r="607" spans="1:5" ht="26" x14ac:dyDescent="0.3">
      <c r="A607" s="17" t="str">
        <f>"20500"</f>
        <v>20500</v>
      </c>
      <c r="B607" s="5" t="s">
        <v>764</v>
      </c>
      <c r="C607" s="17">
        <v>20230101</v>
      </c>
      <c r="D607" s="17">
        <v>22991231</v>
      </c>
      <c r="E607" s="25">
        <v>71.930000000000007</v>
      </c>
    </row>
    <row r="608" spans="1:5" ht="26" x14ac:dyDescent="0.3">
      <c r="A608" s="17" t="str">
        <f>"20501"</f>
        <v>20501</v>
      </c>
      <c r="B608" s="5" t="s">
        <v>765</v>
      </c>
      <c r="C608" s="17">
        <v>19900101</v>
      </c>
      <c r="D608" s="17">
        <v>22991231</v>
      </c>
      <c r="E608" s="25">
        <v>0</v>
      </c>
    </row>
    <row r="609" spans="1:5" x14ac:dyDescent="0.3">
      <c r="A609" s="17" t="str">
        <f>"20520"</f>
        <v>20520</v>
      </c>
      <c r="B609" s="5" t="s">
        <v>766</v>
      </c>
      <c r="C609" s="17">
        <v>19900101</v>
      </c>
      <c r="D609" s="17">
        <v>22991231</v>
      </c>
      <c r="E609" s="25">
        <v>137.30000000000001</v>
      </c>
    </row>
    <row r="610" spans="1:5" ht="26" x14ac:dyDescent="0.3">
      <c r="A610" s="17" t="str">
        <f>"20525"</f>
        <v>20525</v>
      </c>
      <c r="B610" s="5" t="s">
        <v>767</v>
      </c>
      <c r="C610" s="17">
        <v>19900101</v>
      </c>
      <c r="D610" s="17">
        <v>22991231</v>
      </c>
      <c r="E610" s="25">
        <v>1105.24</v>
      </c>
    </row>
    <row r="611" spans="1:5" x14ac:dyDescent="0.3">
      <c r="A611" s="17" t="str">
        <f>"20526"</f>
        <v>20526</v>
      </c>
      <c r="B611" s="5" t="s">
        <v>768</v>
      </c>
      <c r="C611" s="17">
        <v>20030101</v>
      </c>
      <c r="D611" s="17">
        <v>22991231</v>
      </c>
      <c r="E611" s="25">
        <v>42.85</v>
      </c>
    </row>
    <row r="612" spans="1:5" x14ac:dyDescent="0.3">
      <c r="A612" s="17" t="str">
        <f>"20527"</f>
        <v>20527</v>
      </c>
      <c r="B612" s="5" t="s">
        <v>769</v>
      </c>
      <c r="C612" s="17">
        <v>20120101</v>
      </c>
      <c r="D612" s="17">
        <v>22991231</v>
      </c>
      <c r="E612" s="25">
        <v>45.35</v>
      </c>
    </row>
    <row r="613" spans="1:5" x14ac:dyDescent="0.3">
      <c r="A613" s="17" t="str">
        <f>"20550"</f>
        <v>20550</v>
      </c>
      <c r="B613" s="5" t="s">
        <v>770</v>
      </c>
      <c r="C613" s="17">
        <v>19900101</v>
      </c>
      <c r="D613" s="17">
        <v>22991231</v>
      </c>
      <c r="E613" s="25">
        <v>27.83</v>
      </c>
    </row>
    <row r="614" spans="1:5" ht="26" x14ac:dyDescent="0.3">
      <c r="A614" s="17" t="str">
        <f>"20551"</f>
        <v>20551</v>
      </c>
      <c r="B614" s="5" t="s">
        <v>771</v>
      </c>
      <c r="C614" s="17">
        <v>20230101</v>
      </c>
      <c r="D614" s="17">
        <v>22991231</v>
      </c>
      <c r="E614" s="25">
        <v>27.83</v>
      </c>
    </row>
    <row r="615" spans="1:5" x14ac:dyDescent="0.3">
      <c r="A615" s="17" t="str">
        <f>"20552"</f>
        <v>20552</v>
      </c>
      <c r="B615" s="5" t="s">
        <v>772</v>
      </c>
      <c r="C615" s="17">
        <v>20030401</v>
      </c>
      <c r="D615" s="17">
        <v>22991231</v>
      </c>
      <c r="E615" s="25">
        <v>26.28</v>
      </c>
    </row>
    <row r="616" spans="1:5" x14ac:dyDescent="0.3">
      <c r="A616" s="17" t="str">
        <f>"20553"</f>
        <v>20553</v>
      </c>
      <c r="B616" s="5" t="s">
        <v>773</v>
      </c>
      <c r="C616" s="17">
        <v>20230101</v>
      </c>
      <c r="D616" s="17">
        <v>22991231</v>
      </c>
      <c r="E616" s="25">
        <v>30.65</v>
      </c>
    </row>
    <row r="617" spans="1:5" ht="26" x14ac:dyDescent="0.3">
      <c r="A617" s="17" t="str">
        <f>"20555"</f>
        <v>20555</v>
      </c>
      <c r="B617" s="5" t="s">
        <v>774</v>
      </c>
      <c r="C617" s="17">
        <v>20080101</v>
      </c>
      <c r="D617" s="17">
        <v>22991231</v>
      </c>
      <c r="E617" s="25">
        <v>1450.8</v>
      </c>
    </row>
    <row r="618" spans="1:5" x14ac:dyDescent="0.3">
      <c r="A618" s="17" t="str">
        <f>"20560"</f>
        <v>20560</v>
      </c>
      <c r="B618" s="5" t="s">
        <v>775</v>
      </c>
      <c r="C618" s="17">
        <v>20200101</v>
      </c>
      <c r="D618" s="17">
        <v>22991231</v>
      </c>
      <c r="E618" s="24" t="s">
        <v>7128</v>
      </c>
    </row>
    <row r="619" spans="1:5" x14ac:dyDescent="0.3">
      <c r="A619" s="17" t="str">
        <f>"20561"</f>
        <v>20561</v>
      </c>
      <c r="B619" s="5" t="s">
        <v>776</v>
      </c>
      <c r="C619" s="17">
        <v>20200101</v>
      </c>
      <c r="D619" s="17">
        <v>22991231</v>
      </c>
      <c r="E619" s="24" t="s">
        <v>7128</v>
      </c>
    </row>
    <row r="620" spans="1:5" ht="26" x14ac:dyDescent="0.3">
      <c r="A620" s="17" t="str">
        <f>"20600"</f>
        <v>20600</v>
      </c>
      <c r="B620" s="5" t="s">
        <v>777</v>
      </c>
      <c r="C620" s="17">
        <v>19900101</v>
      </c>
      <c r="D620" s="17">
        <v>22991231</v>
      </c>
      <c r="E620" s="25">
        <v>27.21</v>
      </c>
    </row>
    <row r="621" spans="1:5" ht="26" x14ac:dyDescent="0.3">
      <c r="A621" s="17" t="str">
        <f>"20604"</f>
        <v>20604</v>
      </c>
      <c r="B621" s="5" t="s">
        <v>778</v>
      </c>
      <c r="C621" s="17">
        <v>20230101</v>
      </c>
      <c r="D621" s="17">
        <v>22991231</v>
      </c>
      <c r="E621" s="25">
        <v>46.92</v>
      </c>
    </row>
    <row r="622" spans="1:5" ht="26" x14ac:dyDescent="0.3">
      <c r="A622" s="17" t="str">
        <f>"20605"</f>
        <v>20605</v>
      </c>
      <c r="B622" s="5" t="s">
        <v>779</v>
      </c>
      <c r="C622" s="17">
        <v>19900101</v>
      </c>
      <c r="D622" s="17">
        <v>22991231</v>
      </c>
      <c r="E622" s="25">
        <v>27.83</v>
      </c>
    </row>
    <row r="623" spans="1:5" ht="26" x14ac:dyDescent="0.3">
      <c r="A623" s="17" t="str">
        <f>"20606"</f>
        <v>20606</v>
      </c>
      <c r="B623" s="5" t="s">
        <v>780</v>
      </c>
      <c r="C623" s="17">
        <v>20230101</v>
      </c>
      <c r="D623" s="17">
        <v>22991231</v>
      </c>
      <c r="E623" s="25">
        <v>49.42</v>
      </c>
    </row>
    <row r="624" spans="1:5" ht="26" x14ac:dyDescent="0.3">
      <c r="A624" s="17" t="str">
        <f>"20610"</f>
        <v>20610</v>
      </c>
      <c r="B624" s="5" t="s">
        <v>781</v>
      </c>
      <c r="C624" s="17">
        <v>19900101</v>
      </c>
      <c r="D624" s="17">
        <v>22991231</v>
      </c>
      <c r="E624" s="25">
        <v>32.520000000000003</v>
      </c>
    </row>
    <row r="625" spans="1:5" ht="26" x14ac:dyDescent="0.3">
      <c r="A625" s="17" t="str">
        <f>"20611"</f>
        <v>20611</v>
      </c>
      <c r="B625" s="5" t="s">
        <v>782</v>
      </c>
      <c r="C625" s="17">
        <v>20230101</v>
      </c>
      <c r="D625" s="17">
        <v>22991231</v>
      </c>
      <c r="E625" s="25">
        <v>54.41</v>
      </c>
    </row>
    <row r="626" spans="1:5" x14ac:dyDescent="0.3">
      <c r="A626" s="17" t="str">
        <f>"20612"</f>
        <v>20612</v>
      </c>
      <c r="B626" s="5" t="s">
        <v>783</v>
      </c>
      <c r="C626" s="17">
        <v>20230101</v>
      </c>
      <c r="D626" s="17">
        <v>22991231</v>
      </c>
      <c r="E626" s="25">
        <v>36.28</v>
      </c>
    </row>
    <row r="627" spans="1:5" x14ac:dyDescent="0.3">
      <c r="A627" s="17" t="str">
        <f>"20615"</f>
        <v>20615</v>
      </c>
      <c r="B627" s="5" t="s">
        <v>784</v>
      </c>
      <c r="C627" s="17">
        <v>19900101</v>
      </c>
      <c r="D627" s="17">
        <v>22991231</v>
      </c>
      <c r="E627" s="25">
        <v>157.01</v>
      </c>
    </row>
    <row r="628" spans="1:5" x14ac:dyDescent="0.3">
      <c r="A628" s="17" t="str">
        <f>"20650"</f>
        <v>20650</v>
      </c>
      <c r="B628" s="5" t="s">
        <v>785</v>
      </c>
      <c r="C628" s="17">
        <v>19900101</v>
      </c>
      <c r="D628" s="17">
        <v>22991231</v>
      </c>
      <c r="E628" s="25">
        <v>1450.8</v>
      </c>
    </row>
    <row r="629" spans="1:5" x14ac:dyDescent="0.3">
      <c r="A629" s="17" t="str">
        <f>"20660"</f>
        <v>20660</v>
      </c>
      <c r="B629" s="5" t="s">
        <v>786</v>
      </c>
      <c r="C629" s="17">
        <v>19900101</v>
      </c>
      <c r="D629" s="17">
        <v>22991231</v>
      </c>
      <c r="E629" s="24" t="s">
        <v>7128</v>
      </c>
    </row>
    <row r="630" spans="1:5" ht="26" x14ac:dyDescent="0.3">
      <c r="A630" s="17" t="str">
        <f>"20662"</f>
        <v>20662</v>
      </c>
      <c r="B630" s="5" t="s">
        <v>787</v>
      </c>
      <c r="C630" s="17">
        <v>19900101</v>
      </c>
      <c r="D630" s="17">
        <v>22991231</v>
      </c>
      <c r="E630" s="25">
        <v>782.3</v>
      </c>
    </row>
    <row r="631" spans="1:5" x14ac:dyDescent="0.3">
      <c r="A631" s="17" t="str">
        <f>"20663"</f>
        <v>20663</v>
      </c>
      <c r="B631" s="5" t="s">
        <v>788</v>
      </c>
      <c r="C631" s="17">
        <v>19900101</v>
      </c>
      <c r="D631" s="17">
        <v>22991231</v>
      </c>
      <c r="E631" s="25">
        <v>1450.8</v>
      </c>
    </row>
    <row r="632" spans="1:5" ht="26" x14ac:dyDescent="0.3">
      <c r="A632" s="17" t="str">
        <f>"20665"</f>
        <v>20665</v>
      </c>
      <c r="B632" s="5" t="s">
        <v>789</v>
      </c>
      <c r="C632" s="17">
        <v>19900101</v>
      </c>
      <c r="D632" s="17">
        <v>22991231</v>
      </c>
      <c r="E632" s="25">
        <v>197.42</v>
      </c>
    </row>
    <row r="633" spans="1:5" x14ac:dyDescent="0.3">
      <c r="A633" s="17" t="str">
        <f>"20670"</f>
        <v>20670</v>
      </c>
      <c r="B633" s="5" t="s">
        <v>790</v>
      </c>
      <c r="C633" s="17">
        <v>19900101</v>
      </c>
      <c r="D633" s="17">
        <v>22991231</v>
      </c>
      <c r="E633" s="25">
        <v>652.27</v>
      </c>
    </row>
    <row r="634" spans="1:5" x14ac:dyDescent="0.3">
      <c r="A634" s="17" t="str">
        <f>"20680"</f>
        <v>20680</v>
      </c>
      <c r="B634" s="5" t="s">
        <v>791</v>
      </c>
      <c r="C634" s="17">
        <v>19900101</v>
      </c>
      <c r="D634" s="17">
        <v>22991231</v>
      </c>
      <c r="E634" s="25">
        <v>1105.24</v>
      </c>
    </row>
    <row r="635" spans="1:5" ht="26" x14ac:dyDescent="0.3">
      <c r="A635" s="17" t="str">
        <f>"20690"</f>
        <v>20690</v>
      </c>
      <c r="B635" s="5" t="s">
        <v>792</v>
      </c>
      <c r="C635" s="17">
        <v>19900101</v>
      </c>
      <c r="D635" s="17">
        <v>22991231</v>
      </c>
      <c r="E635" s="25">
        <v>4425.24</v>
      </c>
    </row>
    <row r="636" spans="1:5" ht="26" x14ac:dyDescent="0.3">
      <c r="A636" s="17" t="str">
        <f>"20692"</f>
        <v>20692</v>
      </c>
      <c r="B636" s="5" t="s">
        <v>793</v>
      </c>
      <c r="C636" s="17">
        <v>19910401</v>
      </c>
      <c r="D636" s="17">
        <v>22991231</v>
      </c>
      <c r="E636" s="25">
        <v>7819.46</v>
      </c>
    </row>
    <row r="637" spans="1:5" ht="26" x14ac:dyDescent="0.3">
      <c r="A637" s="17" t="str">
        <f>"20693"</f>
        <v>20693</v>
      </c>
      <c r="B637" s="5" t="s">
        <v>794</v>
      </c>
      <c r="C637" s="17">
        <v>19910401</v>
      </c>
      <c r="D637" s="17">
        <v>22991231</v>
      </c>
      <c r="E637" s="25">
        <v>3240.75</v>
      </c>
    </row>
    <row r="638" spans="1:5" ht="26" x14ac:dyDescent="0.3">
      <c r="A638" s="17" t="str">
        <f>"20694"</f>
        <v>20694</v>
      </c>
      <c r="B638" s="5" t="s">
        <v>795</v>
      </c>
      <c r="C638" s="17">
        <v>19910401</v>
      </c>
      <c r="D638" s="17">
        <v>22991231</v>
      </c>
      <c r="E638" s="25">
        <v>782.3</v>
      </c>
    </row>
    <row r="639" spans="1:5" ht="26" x14ac:dyDescent="0.3">
      <c r="A639" s="17" t="str">
        <f>"20696"</f>
        <v>20696</v>
      </c>
      <c r="B639" s="5" t="s">
        <v>796</v>
      </c>
      <c r="C639" s="17">
        <v>20090101</v>
      </c>
      <c r="D639" s="17">
        <v>22991231</v>
      </c>
      <c r="E639" s="25">
        <v>11421.22</v>
      </c>
    </row>
    <row r="640" spans="1:5" ht="39" x14ac:dyDescent="0.3">
      <c r="A640" s="17" t="str">
        <f>"20697"</f>
        <v>20697</v>
      </c>
      <c r="B640" s="5" t="s">
        <v>797</v>
      </c>
      <c r="C640" s="17">
        <v>20090101</v>
      </c>
      <c r="D640" s="17">
        <v>22991231</v>
      </c>
      <c r="E640" s="25">
        <v>782.3</v>
      </c>
    </row>
    <row r="641" spans="1:5" x14ac:dyDescent="0.3">
      <c r="A641" s="17" t="str">
        <f>"20700"</f>
        <v>20700</v>
      </c>
      <c r="B641" s="5" t="s">
        <v>798</v>
      </c>
      <c r="C641" s="17">
        <v>20200101</v>
      </c>
      <c r="D641" s="17">
        <v>22991231</v>
      </c>
      <c r="E641" s="25">
        <v>0</v>
      </c>
    </row>
    <row r="642" spans="1:5" ht="26" x14ac:dyDescent="0.3">
      <c r="A642" s="17" t="str">
        <f>"20701"</f>
        <v>20701</v>
      </c>
      <c r="B642" s="5" t="s">
        <v>799</v>
      </c>
      <c r="C642" s="17">
        <v>20200101</v>
      </c>
      <c r="D642" s="17">
        <v>22991231</v>
      </c>
      <c r="E642" s="24" t="s">
        <v>7128</v>
      </c>
    </row>
    <row r="643" spans="1:5" x14ac:dyDescent="0.3">
      <c r="A643" s="17" t="str">
        <f>"20702"</f>
        <v>20702</v>
      </c>
      <c r="B643" s="5" t="s">
        <v>800</v>
      </c>
      <c r="C643" s="17">
        <v>20200101</v>
      </c>
      <c r="D643" s="17">
        <v>22991231</v>
      </c>
      <c r="E643" s="24" t="s">
        <v>7128</v>
      </c>
    </row>
    <row r="644" spans="1:5" ht="26" x14ac:dyDescent="0.3">
      <c r="A644" s="17" t="str">
        <f>"20703"</f>
        <v>20703</v>
      </c>
      <c r="B644" s="5" t="s">
        <v>801</v>
      </c>
      <c r="C644" s="17">
        <v>20200101</v>
      </c>
      <c r="D644" s="17">
        <v>22991231</v>
      </c>
      <c r="E644" s="24" t="s">
        <v>7128</v>
      </c>
    </row>
    <row r="645" spans="1:5" x14ac:dyDescent="0.3">
      <c r="A645" s="17" t="str">
        <f>"20704"</f>
        <v>20704</v>
      </c>
      <c r="B645" s="5" t="s">
        <v>802</v>
      </c>
      <c r="C645" s="17">
        <v>20200101</v>
      </c>
      <c r="D645" s="17">
        <v>22991231</v>
      </c>
      <c r="E645" s="24" t="s">
        <v>7128</v>
      </c>
    </row>
    <row r="646" spans="1:5" x14ac:dyDescent="0.3">
      <c r="A646" s="17" t="str">
        <f>"20705"</f>
        <v>20705</v>
      </c>
      <c r="B646" s="5" t="s">
        <v>803</v>
      </c>
      <c r="C646" s="17">
        <v>20200101</v>
      </c>
      <c r="D646" s="17">
        <v>22991231</v>
      </c>
      <c r="E646" s="24" t="s">
        <v>7128</v>
      </c>
    </row>
    <row r="647" spans="1:5" x14ac:dyDescent="0.3">
      <c r="A647" s="17" t="str">
        <f>"20822"</f>
        <v>20822</v>
      </c>
      <c r="B647" s="5" t="s">
        <v>804</v>
      </c>
      <c r="C647" s="17">
        <v>20230101</v>
      </c>
      <c r="D647" s="17">
        <v>22991231</v>
      </c>
      <c r="E647" s="25">
        <v>782.3</v>
      </c>
    </row>
    <row r="648" spans="1:5" x14ac:dyDescent="0.3">
      <c r="A648" s="17" t="str">
        <f>"20900"</f>
        <v>20900</v>
      </c>
      <c r="B648" s="5" t="s">
        <v>805</v>
      </c>
      <c r="C648" s="17">
        <v>19900101</v>
      </c>
      <c r="D648" s="17">
        <v>22991231</v>
      </c>
      <c r="E648" s="25">
        <v>4850.17</v>
      </c>
    </row>
    <row r="649" spans="1:5" x14ac:dyDescent="0.3">
      <c r="A649" s="17" t="str">
        <f>"20902"</f>
        <v>20902</v>
      </c>
      <c r="B649" s="5" t="s">
        <v>806</v>
      </c>
      <c r="C649" s="17">
        <v>19900101</v>
      </c>
      <c r="D649" s="17">
        <v>22991231</v>
      </c>
      <c r="E649" s="25">
        <v>3240.75</v>
      </c>
    </row>
    <row r="650" spans="1:5" x14ac:dyDescent="0.3">
      <c r="A650" s="17" t="str">
        <f>"20910"</f>
        <v>20910</v>
      </c>
      <c r="B650" s="5" t="s">
        <v>807</v>
      </c>
      <c r="C650" s="17">
        <v>19900101</v>
      </c>
      <c r="D650" s="17">
        <v>22991231</v>
      </c>
      <c r="E650" s="25">
        <v>311.18</v>
      </c>
    </row>
    <row r="651" spans="1:5" x14ac:dyDescent="0.3">
      <c r="A651" s="17" t="str">
        <f>"20912"</f>
        <v>20912</v>
      </c>
      <c r="B651" s="5" t="s">
        <v>808</v>
      </c>
      <c r="C651" s="17">
        <v>19900101</v>
      </c>
      <c r="D651" s="17">
        <v>22991231</v>
      </c>
      <c r="E651" s="25">
        <v>1777.55</v>
      </c>
    </row>
    <row r="652" spans="1:5" x14ac:dyDescent="0.3">
      <c r="A652" s="17" t="str">
        <f>"20920"</f>
        <v>20920</v>
      </c>
      <c r="B652" s="5" t="s">
        <v>809</v>
      </c>
      <c r="C652" s="17">
        <v>19900101</v>
      </c>
      <c r="D652" s="17">
        <v>22991231</v>
      </c>
      <c r="E652" s="25">
        <v>903.54</v>
      </c>
    </row>
    <row r="653" spans="1:5" x14ac:dyDescent="0.3">
      <c r="A653" s="17" t="str">
        <f>"20922"</f>
        <v>20922</v>
      </c>
      <c r="B653" s="5" t="s">
        <v>810</v>
      </c>
      <c r="C653" s="17">
        <v>19900101</v>
      </c>
      <c r="D653" s="17">
        <v>22991231</v>
      </c>
      <c r="E653" s="25">
        <v>903.54</v>
      </c>
    </row>
    <row r="654" spans="1:5" x14ac:dyDescent="0.3">
      <c r="A654" s="17" t="str">
        <f>"20924"</f>
        <v>20924</v>
      </c>
      <c r="B654" s="5" t="s">
        <v>811</v>
      </c>
      <c r="C654" s="17">
        <v>19900101</v>
      </c>
      <c r="D654" s="17">
        <v>22991231</v>
      </c>
      <c r="E654" s="25">
        <v>3240.75</v>
      </c>
    </row>
    <row r="655" spans="1:5" ht="26" x14ac:dyDescent="0.3">
      <c r="A655" s="17" t="str">
        <f>"20930"</f>
        <v>20930</v>
      </c>
      <c r="B655" s="5" t="s">
        <v>812</v>
      </c>
      <c r="C655" s="17">
        <v>19900101</v>
      </c>
      <c r="D655" s="17">
        <v>22991231</v>
      </c>
      <c r="E655" s="25">
        <v>0</v>
      </c>
    </row>
    <row r="656" spans="1:5" x14ac:dyDescent="0.3">
      <c r="A656" s="17" t="str">
        <f>"20931"</f>
        <v>20931</v>
      </c>
      <c r="B656" s="5" t="s">
        <v>813</v>
      </c>
      <c r="C656" s="17">
        <v>19900101</v>
      </c>
      <c r="D656" s="17">
        <v>22991231</v>
      </c>
      <c r="E656" s="25">
        <v>0</v>
      </c>
    </row>
    <row r="657" spans="1:5" x14ac:dyDescent="0.3">
      <c r="A657" s="17" t="str">
        <f>"20932"</f>
        <v>20932</v>
      </c>
      <c r="B657" s="5" t="s">
        <v>814</v>
      </c>
      <c r="C657" s="17">
        <v>20190101</v>
      </c>
      <c r="D657" s="17">
        <v>22991231</v>
      </c>
      <c r="E657" s="25">
        <v>0</v>
      </c>
    </row>
    <row r="658" spans="1:5" ht="26" x14ac:dyDescent="0.3">
      <c r="A658" s="17" t="str">
        <f>"20933"</f>
        <v>20933</v>
      </c>
      <c r="B658" s="5" t="s">
        <v>815</v>
      </c>
      <c r="C658" s="17">
        <v>20190101</v>
      </c>
      <c r="D658" s="17">
        <v>22991231</v>
      </c>
      <c r="E658" s="25">
        <v>0</v>
      </c>
    </row>
    <row r="659" spans="1:5" x14ac:dyDescent="0.3">
      <c r="A659" s="17" t="str">
        <f>"20934"</f>
        <v>20934</v>
      </c>
      <c r="B659" s="5" t="s">
        <v>816</v>
      </c>
      <c r="C659" s="17">
        <v>20190101</v>
      </c>
      <c r="D659" s="17">
        <v>22991231</v>
      </c>
      <c r="E659" s="25">
        <v>0</v>
      </c>
    </row>
    <row r="660" spans="1:5" ht="26" x14ac:dyDescent="0.3">
      <c r="A660" s="17" t="str">
        <f>"20936"</f>
        <v>20936</v>
      </c>
      <c r="B660" s="5" t="s">
        <v>817</v>
      </c>
      <c r="C660" s="17">
        <v>19900101</v>
      </c>
      <c r="D660" s="17">
        <v>22991231</v>
      </c>
      <c r="E660" s="25">
        <v>0</v>
      </c>
    </row>
    <row r="661" spans="1:5" x14ac:dyDescent="0.3">
      <c r="A661" s="17" t="str">
        <f>"20937"</f>
        <v>20937</v>
      </c>
      <c r="B661" s="5" t="s">
        <v>818</v>
      </c>
      <c r="C661" s="17">
        <v>19900101</v>
      </c>
      <c r="D661" s="17">
        <v>22991231</v>
      </c>
      <c r="E661" s="25">
        <v>0</v>
      </c>
    </row>
    <row r="662" spans="1:5" x14ac:dyDescent="0.3">
      <c r="A662" s="17" t="str">
        <f>"20938"</f>
        <v>20938</v>
      </c>
      <c r="B662" s="5" t="s">
        <v>819</v>
      </c>
      <c r="C662" s="17">
        <v>19900101</v>
      </c>
      <c r="D662" s="17">
        <v>22991231</v>
      </c>
      <c r="E662" s="25">
        <v>0</v>
      </c>
    </row>
    <row r="663" spans="1:5" x14ac:dyDescent="0.3">
      <c r="A663" s="17" t="str">
        <f>"20939"</f>
        <v>20939</v>
      </c>
      <c r="B663" s="5" t="s">
        <v>820</v>
      </c>
      <c r="C663" s="17">
        <v>20180101</v>
      </c>
      <c r="D663" s="17">
        <v>22991231</v>
      </c>
      <c r="E663" s="25">
        <v>0</v>
      </c>
    </row>
    <row r="664" spans="1:5" ht="26" x14ac:dyDescent="0.3">
      <c r="A664" s="17" t="str">
        <f>"20950"</f>
        <v>20950</v>
      </c>
      <c r="B664" s="5" t="s">
        <v>821</v>
      </c>
      <c r="C664" s="17">
        <v>19900101</v>
      </c>
      <c r="D664" s="17">
        <v>22991231</v>
      </c>
      <c r="E664" s="25">
        <v>348.6</v>
      </c>
    </row>
    <row r="665" spans="1:5" ht="26" x14ac:dyDescent="0.3">
      <c r="A665" s="17" t="str">
        <f>"20972"</f>
        <v>20972</v>
      </c>
      <c r="B665" s="5" t="s">
        <v>822</v>
      </c>
      <c r="C665" s="17">
        <v>19900101</v>
      </c>
      <c r="D665" s="17">
        <v>22991231</v>
      </c>
      <c r="E665" s="25">
        <v>3240.75</v>
      </c>
    </row>
    <row r="666" spans="1:5" ht="26" x14ac:dyDescent="0.3">
      <c r="A666" s="17" t="str">
        <f>"20973"</f>
        <v>20973</v>
      </c>
      <c r="B666" s="5" t="s">
        <v>823</v>
      </c>
      <c r="C666" s="17">
        <v>19900101</v>
      </c>
      <c r="D666" s="17">
        <v>22991231</v>
      </c>
      <c r="E666" s="25">
        <v>3240.75</v>
      </c>
    </row>
    <row r="667" spans="1:5" ht="26" x14ac:dyDescent="0.3">
      <c r="A667" s="17" t="str">
        <f>"20974"</f>
        <v>20974</v>
      </c>
      <c r="B667" s="5" t="s">
        <v>824</v>
      </c>
      <c r="C667" s="17">
        <v>19900101</v>
      </c>
      <c r="D667" s="17">
        <v>22991231</v>
      </c>
      <c r="E667" s="24" t="s">
        <v>7128</v>
      </c>
    </row>
    <row r="668" spans="1:5" ht="26" x14ac:dyDescent="0.3">
      <c r="A668" s="17" t="str">
        <f>"20975"</f>
        <v>20975</v>
      </c>
      <c r="B668" s="5" t="s">
        <v>825</v>
      </c>
      <c r="C668" s="17">
        <v>19900101</v>
      </c>
      <c r="D668" s="17">
        <v>22991231</v>
      </c>
      <c r="E668" s="25">
        <v>0</v>
      </c>
    </row>
    <row r="669" spans="1:5" ht="26" x14ac:dyDescent="0.3">
      <c r="A669" s="17" t="str">
        <f>"20979"</f>
        <v>20979</v>
      </c>
      <c r="B669" s="5" t="s">
        <v>826</v>
      </c>
      <c r="C669" s="17">
        <v>20000101</v>
      </c>
      <c r="D669" s="17">
        <v>22991231</v>
      </c>
      <c r="E669" s="25">
        <v>0</v>
      </c>
    </row>
    <row r="670" spans="1:5" x14ac:dyDescent="0.3">
      <c r="A670" s="17" t="str">
        <f>"20982"</f>
        <v>20982</v>
      </c>
      <c r="B670" s="5" t="s">
        <v>827</v>
      </c>
      <c r="C670" s="17">
        <v>20230101</v>
      </c>
      <c r="D670" s="17">
        <v>22991231</v>
      </c>
      <c r="E670" s="25">
        <v>6208.9</v>
      </c>
    </row>
    <row r="671" spans="1:5" ht="26" x14ac:dyDescent="0.3">
      <c r="A671" s="17" t="str">
        <f>"20983"</f>
        <v>20983</v>
      </c>
      <c r="B671" s="5" t="s">
        <v>828</v>
      </c>
      <c r="C671" s="17">
        <v>20230101</v>
      </c>
      <c r="D671" s="17">
        <v>22991231</v>
      </c>
      <c r="E671" s="25">
        <v>4471.33</v>
      </c>
    </row>
    <row r="672" spans="1:5" ht="26" x14ac:dyDescent="0.3">
      <c r="A672" s="17" t="str">
        <f>"20985"</f>
        <v>20985</v>
      </c>
      <c r="B672" s="5" t="s">
        <v>829</v>
      </c>
      <c r="C672" s="17">
        <v>20080101</v>
      </c>
      <c r="D672" s="17">
        <v>22991231</v>
      </c>
      <c r="E672" s="25">
        <v>0</v>
      </c>
    </row>
    <row r="673" spans="1:5" x14ac:dyDescent="0.3">
      <c r="A673" s="17" t="str">
        <f>"21010"</f>
        <v>21010</v>
      </c>
      <c r="B673" s="5" t="s">
        <v>830</v>
      </c>
      <c r="C673" s="17">
        <v>19900101</v>
      </c>
      <c r="D673" s="17">
        <v>22991231</v>
      </c>
      <c r="E673" s="25">
        <v>1259.74</v>
      </c>
    </row>
    <row r="674" spans="1:5" ht="26" x14ac:dyDescent="0.3">
      <c r="A674" s="17" t="str">
        <f>"21011"</f>
        <v>21011</v>
      </c>
      <c r="B674" s="5" t="s">
        <v>831</v>
      </c>
      <c r="C674" s="17">
        <v>20100101</v>
      </c>
      <c r="D674" s="17">
        <v>22991231</v>
      </c>
      <c r="E674" s="25">
        <v>243.95</v>
      </c>
    </row>
    <row r="675" spans="1:5" ht="26" x14ac:dyDescent="0.3">
      <c r="A675" s="17" t="str">
        <f>"21012"</f>
        <v>21012</v>
      </c>
      <c r="B675" s="5" t="s">
        <v>832</v>
      </c>
      <c r="C675" s="17">
        <v>20100101</v>
      </c>
      <c r="D675" s="17">
        <v>22991231</v>
      </c>
      <c r="E675" s="25">
        <v>652.27</v>
      </c>
    </row>
    <row r="676" spans="1:5" ht="26" x14ac:dyDescent="0.3">
      <c r="A676" s="17" t="str">
        <f>"21013"</f>
        <v>21013</v>
      </c>
      <c r="B676" s="5" t="s">
        <v>833</v>
      </c>
      <c r="C676" s="17">
        <v>20100101</v>
      </c>
      <c r="D676" s="17">
        <v>22991231</v>
      </c>
      <c r="E676" s="25">
        <v>305.88</v>
      </c>
    </row>
    <row r="677" spans="1:5" ht="26" x14ac:dyDescent="0.3">
      <c r="A677" s="17" t="str">
        <f>"21014"</f>
        <v>21014</v>
      </c>
      <c r="B677" s="5" t="s">
        <v>834</v>
      </c>
      <c r="C677" s="17">
        <v>20100101</v>
      </c>
      <c r="D677" s="17">
        <v>22991231</v>
      </c>
      <c r="E677" s="25">
        <v>1105.24</v>
      </c>
    </row>
    <row r="678" spans="1:5" ht="26" x14ac:dyDescent="0.3">
      <c r="A678" s="17" t="str">
        <f>"21015"</f>
        <v>21015</v>
      </c>
      <c r="B678" s="5" t="s">
        <v>835</v>
      </c>
      <c r="C678" s="17">
        <v>19910401</v>
      </c>
      <c r="D678" s="17">
        <v>22991231</v>
      </c>
      <c r="E678" s="25">
        <v>1105.24</v>
      </c>
    </row>
    <row r="679" spans="1:5" ht="26" x14ac:dyDescent="0.3">
      <c r="A679" s="17" t="str">
        <f>"21016"</f>
        <v>21016</v>
      </c>
      <c r="B679" s="5" t="s">
        <v>836</v>
      </c>
      <c r="C679" s="17">
        <v>20100101</v>
      </c>
      <c r="D679" s="17">
        <v>22991231</v>
      </c>
      <c r="E679" s="25">
        <v>1105.24</v>
      </c>
    </row>
    <row r="680" spans="1:5" x14ac:dyDescent="0.3">
      <c r="A680" s="17" t="str">
        <f>"21025"</f>
        <v>21025</v>
      </c>
      <c r="B680" s="5" t="s">
        <v>837</v>
      </c>
      <c r="C680" s="17">
        <v>19900101</v>
      </c>
      <c r="D680" s="17">
        <v>22991231</v>
      </c>
      <c r="E680" s="25">
        <v>2637</v>
      </c>
    </row>
    <row r="681" spans="1:5" x14ac:dyDescent="0.3">
      <c r="A681" s="17" t="str">
        <f>"21026"</f>
        <v>21026</v>
      </c>
      <c r="B681" s="5" t="s">
        <v>838</v>
      </c>
      <c r="C681" s="17">
        <v>19900101</v>
      </c>
      <c r="D681" s="17">
        <v>22991231</v>
      </c>
      <c r="E681" s="25">
        <v>2637</v>
      </c>
    </row>
    <row r="682" spans="1:5" x14ac:dyDescent="0.3">
      <c r="A682" s="17" t="str">
        <f>"21029"</f>
        <v>21029</v>
      </c>
      <c r="B682" s="5" t="s">
        <v>839</v>
      </c>
      <c r="C682" s="17">
        <v>19910401</v>
      </c>
      <c r="D682" s="17">
        <v>22991231</v>
      </c>
      <c r="E682" s="25">
        <v>1259.74</v>
      </c>
    </row>
    <row r="683" spans="1:5" ht="26" x14ac:dyDescent="0.3">
      <c r="A683" s="17" t="str">
        <f>"21030"</f>
        <v>21030</v>
      </c>
      <c r="B683" s="5" t="s">
        <v>840</v>
      </c>
      <c r="C683" s="17">
        <v>19900101</v>
      </c>
      <c r="D683" s="17">
        <v>22991231</v>
      </c>
      <c r="E683" s="25">
        <v>262.08999999999997</v>
      </c>
    </row>
    <row r="684" spans="1:5" ht="26" x14ac:dyDescent="0.3">
      <c r="A684" s="17" t="str">
        <f>"21031"</f>
        <v>21031</v>
      </c>
      <c r="B684" s="5" t="s">
        <v>841</v>
      </c>
      <c r="C684" s="17">
        <v>19900401</v>
      </c>
      <c r="D684" s="17">
        <v>22991231</v>
      </c>
      <c r="E684" s="25">
        <v>246.45</v>
      </c>
    </row>
    <row r="685" spans="1:5" ht="26" x14ac:dyDescent="0.3">
      <c r="A685" s="17" t="str">
        <f>"21032"</f>
        <v>21032</v>
      </c>
      <c r="B685" s="5" t="s">
        <v>842</v>
      </c>
      <c r="C685" s="17">
        <v>20170701</v>
      </c>
      <c r="D685" s="17">
        <v>22991231</v>
      </c>
      <c r="E685" s="25">
        <v>234.88</v>
      </c>
    </row>
    <row r="686" spans="1:5" ht="26" x14ac:dyDescent="0.3">
      <c r="A686" s="17" t="str">
        <f>"21034"</f>
        <v>21034</v>
      </c>
      <c r="B686" s="5" t="s">
        <v>843</v>
      </c>
      <c r="C686" s="17">
        <v>19900101</v>
      </c>
      <c r="D686" s="17">
        <v>22991231</v>
      </c>
      <c r="E686" s="25">
        <v>2637</v>
      </c>
    </row>
    <row r="687" spans="1:5" x14ac:dyDescent="0.3">
      <c r="A687" s="17" t="str">
        <f>"21040"</f>
        <v>21040</v>
      </c>
      <c r="B687" s="5" t="s">
        <v>844</v>
      </c>
      <c r="C687" s="17">
        <v>19900101</v>
      </c>
      <c r="D687" s="17">
        <v>22991231</v>
      </c>
      <c r="E687" s="25">
        <v>1259.74</v>
      </c>
    </row>
    <row r="688" spans="1:5" x14ac:dyDescent="0.3">
      <c r="A688" s="17" t="str">
        <f>"21044"</f>
        <v>21044</v>
      </c>
      <c r="B688" s="5" t="s">
        <v>845</v>
      </c>
      <c r="C688" s="17">
        <v>19900101</v>
      </c>
      <c r="D688" s="17">
        <v>22991231</v>
      </c>
      <c r="E688" s="25">
        <v>2637</v>
      </c>
    </row>
    <row r="689" spans="1:5" ht="26" x14ac:dyDescent="0.3">
      <c r="A689" s="17" t="str">
        <f>"21046"</f>
        <v>21046</v>
      </c>
      <c r="B689" s="5" t="s">
        <v>846</v>
      </c>
      <c r="C689" s="17">
        <v>20030401</v>
      </c>
      <c r="D689" s="17">
        <v>22991231</v>
      </c>
      <c r="E689" s="25">
        <v>2637</v>
      </c>
    </row>
    <row r="690" spans="1:5" ht="26" x14ac:dyDescent="0.3">
      <c r="A690" s="17" t="str">
        <f>"21047"</f>
        <v>21047</v>
      </c>
      <c r="B690" s="5" t="s">
        <v>847</v>
      </c>
      <c r="C690" s="17">
        <v>20030401</v>
      </c>
      <c r="D690" s="17">
        <v>22991231</v>
      </c>
      <c r="E690" s="25">
        <v>2637</v>
      </c>
    </row>
    <row r="691" spans="1:5" ht="26" x14ac:dyDescent="0.3">
      <c r="A691" s="17" t="str">
        <f>"21048"</f>
        <v>21048</v>
      </c>
      <c r="B691" s="5" t="s">
        <v>848</v>
      </c>
      <c r="C691" s="17">
        <v>20170701</v>
      </c>
      <c r="D691" s="17">
        <v>22991231</v>
      </c>
      <c r="E691" s="25">
        <v>2637</v>
      </c>
    </row>
    <row r="692" spans="1:5" ht="26" x14ac:dyDescent="0.3">
      <c r="A692" s="17" t="str">
        <f>"21050"</f>
        <v>21050</v>
      </c>
      <c r="B692" s="5" t="s">
        <v>849</v>
      </c>
      <c r="C692" s="17">
        <v>19900101</v>
      </c>
      <c r="D692" s="17">
        <v>22991231</v>
      </c>
      <c r="E692" s="25">
        <v>2637</v>
      </c>
    </row>
    <row r="693" spans="1:5" x14ac:dyDescent="0.3">
      <c r="A693" s="17" t="str">
        <f>"21060"</f>
        <v>21060</v>
      </c>
      <c r="B693" s="5" t="s">
        <v>850</v>
      </c>
      <c r="C693" s="17">
        <v>19900101</v>
      </c>
      <c r="D693" s="17">
        <v>22991231</v>
      </c>
      <c r="E693" s="25">
        <v>2637</v>
      </c>
    </row>
    <row r="694" spans="1:5" x14ac:dyDescent="0.3">
      <c r="A694" s="17" t="str">
        <f>"21070"</f>
        <v>21070</v>
      </c>
      <c r="B694" s="5" t="s">
        <v>851</v>
      </c>
      <c r="C694" s="17">
        <v>19900101</v>
      </c>
      <c r="D694" s="17">
        <v>22991231</v>
      </c>
      <c r="E694" s="25">
        <v>2637</v>
      </c>
    </row>
    <row r="695" spans="1:5" ht="26" x14ac:dyDescent="0.3">
      <c r="A695" s="17" t="str">
        <f>"21073"</f>
        <v>21073</v>
      </c>
      <c r="B695" s="5" t="s">
        <v>852</v>
      </c>
      <c r="C695" s="17">
        <v>20080101</v>
      </c>
      <c r="D695" s="17">
        <v>22991231</v>
      </c>
      <c r="E695" s="25">
        <v>238</v>
      </c>
    </row>
    <row r="696" spans="1:5" ht="26" x14ac:dyDescent="0.3">
      <c r="A696" s="17" t="str">
        <f>"21076"</f>
        <v>21076</v>
      </c>
      <c r="B696" s="5" t="s">
        <v>853</v>
      </c>
      <c r="C696" s="17">
        <v>20230101</v>
      </c>
      <c r="D696" s="17">
        <v>22991231</v>
      </c>
      <c r="E696" s="25">
        <v>350.91</v>
      </c>
    </row>
    <row r="697" spans="1:5" ht="26" x14ac:dyDescent="0.3">
      <c r="A697" s="17" t="str">
        <f>"21077"</f>
        <v>21077</v>
      </c>
      <c r="B697" s="5" t="s">
        <v>854</v>
      </c>
      <c r="C697" s="17">
        <v>20230101</v>
      </c>
      <c r="D697" s="17">
        <v>22991231</v>
      </c>
      <c r="E697" s="25">
        <v>829.12</v>
      </c>
    </row>
    <row r="698" spans="1:5" ht="26" x14ac:dyDescent="0.3">
      <c r="A698" s="17" t="str">
        <f>"21079"</f>
        <v>21079</v>
      </c>
      <c r="B698" s="5" t="s">
        <v>855</v>
      </c>
      <c r="C698" s="17">
        <v>19910401</v>
      </c>
      <c r="D698" s="17">
        <v>22991231</v>
      </c>
      <c r="E698" s="25">
        <v>596.41999999999996</v>
      </c>
    </row>
    <row r="699" spans="1:5" ht="26" x14ac:dyDescent="0.3">
      <c r="A699" s="17" t="str">
        <f>"21080"</f>
        <v>21080</v>
      </c>
      <c r="B699" s="5" t="s">
        <v>856</v>
      </c>
      <c r="C699" s="17">
        <v>19910401</v>
      </c>
      <c r="D699" s="17">
        <v>22991231</v>
      </c>
      <c r="E699" s="25">
        <v>694</v>
      </c>
    </row>
    <row r="700" spans="1:5" ht="26" x14ac:dyDescent="0.3">
      <c r="A700" s="17" t="str">
        <f>"21081"</f>
        <v>21081</v>
      </c>
      <c r="B700" s="5" t="s">
        <v>857</v>
      </c>
      <c r="C700" s="17">
        <v>19910401</v>
      </c>
      <c r="D700" s="17">
        <v>22991231</v>
      </c>
      <c r="E700" s="25">
        <v>652.72</v>
      </c>
    </row>
    <row r="701" spans="1:5" ht="26" x14ac:dyDescent="0.3">
      <c r="A701" s="17" t="str">
        <f>"21082"</f>
        <v>21082</v>
      </c>
      <c r="B701" s="5" t="s">
        <v>858</v>
      </c>
      <c r="C701" s="17">
        <v>19910401</v>
      </c>
      <c r="D701" s="17">
        <v>22991231</v>
      </c>
      <c r="E701" s="25">
        <v>627.71</v>
      </c>
    </row>
    <row r="702" spans="1:5" x14ac:dyDescent="0.3">
      <c r="A702" s="17" t="str">
        <f>"21083"</f>
        <v>21083</v>
      </c>
      <c r="B702" s="5" t="s">
        <v>859</v>
      </c>
      <c r="C702" s="17">
        <v>19910401</v>
      </c>
      <c r="D702" s="17">
        <v>22991231</v>
      </c>
      <c r="E702" s="25">
        <v>615.19000000000005</v>
      </c>
    </row>
    <row r="703" spans="1:5" ht="26" x14ac:dyDescent="0.3">
      <c r="A703" s="17" t="str">
        <f>"21084"</f>
        <v>21084</v>
      </c>
      <c r="B703" s="5" t="s">
        <v>860</v>
      </c>
      <c r="C703" s="17">
        <v>19910401</v>
      </c>
      <c r="D703" s="17">
        <v>22991231</v>
      </c>
      <c r="E703" s="25">
        <v>684.62</v>
      </c>
    </row>
    <row r="704" spans="1:5" ht="26" x14ac:dyDescent="0.3">
      <c r="A704" s="17" t="str">
        <f>"21085"</f>
        <v>21085</v>
      </c>
      <c r="B704" s="5" t="s">
        <v>861</v>
      </c>
      <c r="C704" s="17">
        <v>19910401</v>
      </c>
      <c r="D704" s="17">
        <v>22991231</v>
      </c>
      <c r="E704" s="25">
        <v>121.03</v>
      </c>
    </row>
    <row r="705" spans="1:5" ht="26" x14ac:dyDescent="0.3">
      <c r="A705" s="17" t="str">
        <f>"21086"</f>
        <v>21086</v>
      </c>
      <c r="B705" s="5" t="s">
        <v>862</v>
      </c>
      <c r="C705" s="17">
        <v>19910401</v>
      </c>
      <c r="D705" s="17">
        <v>22991231</v>
      </c>
      <c r="E705" s="25">
        <v>621.13</v>
      </c>
    </row>
    <row r="706" spans="1:5" ht="26" x14ac:dyDescent="0.3">
      <c r="A706" s="17" t="str">
        <f>"21087"</f>
        <v>21087</v>
      </c>
      <c r="B706" s="5" t="s">
        <v>863</v>
      </c>
      <c r="C706" s="17">
        <v>19910401</v>
      </c>
      <c r="D706" s="17">
        <v>22991231</v>
      </c>
      <c r="E706" s="25">
        <v>621.13</v>
      </c>
    </row>
    <row r="707" spans="1:5" ht="26" x14ac:dyDescent="0.3">
      <c r="A707" s="17" t="str">
        <f>"21088"</f>
        <v>21088</v>
      </c>
      <c r="B707" s="5" t="s">
        <v>864</v>
      </c>
      <c r="C707" s="17">
        <v>19910401</v>
      </c>
      <c r="D707" s="17">
        <v>22991231</v>
      </c>
      <c r="E707" s="25">
        <v>1259.74</v>
      </c>
    </row>
    <row r="708" spans="1:5" ht="26" x14ac:dyDescent="0.3">
      <c r="A708" s="17" t="str">
        <f>"21100"</f>
        <v>21100</v>
      </c>
      <c r="B708" s="5" t="s">
        <v>865</v>
      </c>
      <c r="C708" s="17">
        <v>19900101</v>
      </c>
      <c r="D708" s="17">
        <v>22991231</v>
      </c>
      <c r="E708" s="25">
        <v>2637</v>
      </c>
    </row>
    <row r="709" spans="1:5" ht="26" x14ac:dyDescent="0.3">
      <c r="A709" s="17" t="str">
        <f>"21110"</f>
        <v>21110</v>
      </c>
      <c r="B709" s="5" t="s">
        <v>866</v>
      </c>
      <c r="C709" s="17">
        <v>19900101</v>
      </c>
      <c r="D709" s="17">
        <v>22991231</v>
      </c>
      <c r="E709" s="25">
        <v>598.30999999999995</v>
      </c>
    </row>
    <row r="710" spans="1:5" ht="26" x14ac:dyDescent="0.3">
      <c r="A710" s="17" t="str">
        <f>"21116"</f>
        <v>21116</v>
      </c>
      <c r="B710" s="5" t="s">
        <v>867</v>
      </c>
      <c r="C710" s="17">
        <v>19900101</v>
      </c>
      <c r="D710" s="17">
        <v>22991231</v>
      </c>
      <c r="E710" s="25">
        <v>0</v>
      </c>
    </row>
    <row r="711" spans="1:5" x14ac:dyDescent="0.3">
      <c r="A711" s="17" t="str">
        <f>"21120"</f>
        <v>21120</v>
      </c>
      <c r="B711" s="5" t="s">
        <v>868</v>
      </c>
      <c r="C711" s="17">
        <v>19910401</v>
      </c>
      <c r="D711" s="17">
        <v>22991231</v>
      </c>
      <c r="E711" s="25">
        <v>2637</v>
      </c>
    </row>
    <row r="712" spans="1:5" x14ac:dyDescent="0.3">
      <c r="A712" s="17" t="str">
        <f>"21121"</f>
        <v>21121</v>
      </c>
      <c r="B712" s="5" t="s">
        <v>869</v>
      </c>
      <c r="C712" s="17">
        <v>19910401</v>
      </c>
      <c r="D712" s="17">
        <v>22991231</v>
      </c>
      <c r="E712" s="25">
        <v>1917.82</v>
      </c>
    </row>
    <row r="713" spans="1:5" ht="26" x14ac:dyDescent="0.3">
      <c r="A713" s="17" t="str">
        <f>"21122"</f>
        <v>21122</v>
      </c>
      <c r="B713" s="5" t="s">
        <v>870</v>
      </c>
      <c r="C713" s="17">
        <v>19910401</v>
      </c>
      <c r="D713" s="17">
        <v>22991231</v>
      </c>
      <c r="E713" s="25">
        <v>3321.03</v>
      </c>
    </row>
    <row r="714" spans="1:5" ht="26" x14ac:dyDescent="0.3">
      <c r="A714" s="17" t="str">
        <f>"21123"</f>
        <v>21123</v>
      </c>
      <c r="B714" s="5" t="s">
        <v>871</v>
      </c>
      <c r="C714" s="17">
        <v>19910401</v>
      </c>
      <c r="D714" s="17">
        <v>22991231</v>
      </c>
      <c r="E714" s="25">
        <v>1259.74</v>
      </c>
    </row>
    <row r="715" spans="1:5" x14ac:dyDescent="0.3">
      <c r="A715" s="17" t="str">
        <f>"21125"</f>
        <v>21125</v>
      </c>
      <c r="B715" s="5" t="s">
        <v>872</v>
      </c>
      <c r="C715" s="17">
        <v>19910401</v>
      </c>
      <c r="D715" s="17">
        <v>22991231</v>
      </c>
      <c r="E715" s="25">
        <v>3321.03</v>
      </c>
    </row>
    <row r="716" spans="1:5" ht="26" x14ac:dyDescent="0.3">
      <c r="A716" s="17" t="str">
        <f>"21127"</f>
        <v>21127</v>
      </c>
      <c r="B716" s="5" t="s">
        <v>873</v>
      </c>
      <c r="C716" s="17">
        <v>19910401</v>
      </c>
      <c r="D716" s="17">
        <v>22991231</v>
      </c>
      <c r="E716" s="25">
        <v>2637</v>
      </c>
    </row>
    <row r="717" spans="1:5" x14ac:dyDescent="0.3">
      <c r="A717" s="17" t="str">
        <f>"21137"</f>
        <v>21137</v>
      </c>
      <c r="B717" s="5" t="s">
        <v>874</v>
      </c>
      <c r="C717" s="17">
        <v>19910401</v>
      </c>
      <c r="D717" s="17">
        <v>22991231</v>
      </c>
      <c r="E717" s="25">
        <v>1259.74</v>
      </c>
    </row>
    <row r="718" spans="1:5" ht="26" x14ac:dyDescent="0.3">
      <c r="A718" s="17" t="str">
        <f>"21138"</f>
        <v>21138</v>
      </c>
      <c r="B718" s="5" t="s">
        <v>875</v>
      </c>
      <c r="C718" s="17">
        <v>19910401</v>
      </c>
      <c r="D718" s="17">
        <v>22991231</v>
      </c>
      <c r="E718" s="25">
        <v>2637</v>
      </c>
    </row>
    <row r="719" spans="1:5" x14ac:dyDescent="0.3">
      <c r="A719" s="17" t="str">
        <f>"21139"</f>
        <v>21139</v>
      </c>
      <c r="B719" s="5" t="s">
        <v>876</v>
      </c>
      <c r="C719" s="17">
        <v>19910401</v>
      </c>
      <c r="D719" s="17">
        <v>22991231</v>
      </c>
      <c r="E719" s="25">
        <v>2637</v>
      </c>
    </row>
    <row r="720" spans="1:5" x14ac:dyDescent="0.3">
      <c r="A720" s="17" t="str">
        <f>"21150"</f>
        <v>21150</v>
      </c>
      <c r="B720" s="5" t="s">
        <v>877</v>
      </c>
      <c r="C720" s="17">
        <v>19910401</v>
      </c>
      <c r="D720" s="17">
        <v>22991231</v>
      </c>
      <c r="E720" s="25">
        <v>3321.03</v>
      </c>
    </row>
    <row r="721" spans="1:5" ht="26" x14ac:dyDescent="0.3">
      <c r="A721" s="17" t="str">
        <f>"21172"</f>
        <v>21172</v>
      </c>
      <c r="B721" s="5" t="s">
        <v>878</v>
      </c>
      <c r="C721" s="17">
        <v>19910401</v>
      </c>
      <c r="D721" s="17">
        <v>22991231</v>
      </c>
      <c r="E721" s="24" t="s">
        <v>7128</v>
      </c>
    </row>
    <row r="722" spans="1:5" ht="26" x14ac:dyDescent="0.3">
      <c r="A722" s="17" t="str">
        <f>"21175"</f>
        <v>21175</v>
      </c>
      <c r="B722" s="5" t="s">
        <v>879</v>
      </c>
      <c r="C722" s="17">
        <v>19910401</v>
      </c>
      <c r="D722" s="17">
        <v>22991231</v>
      </c>
      <c r="E722" s="24" t="s">
        <v>7128</v>
      </c>
    </row>
    <row r="723" spans="1:5" ht="26" x14ac:dyDescent="0.3">
      <c r="A723" s="17" t="str">
        <f>"21181"</f>
        <v>21181</v>
      </c>
      <c r="B723" s="5" t="s">
        <v>880</v>
      </c>
      <c r="C723" s="17">
        <v>19910401</v>
      </c>
      <c r="D723" s="17">
        <v>22991231</v>
      </c>
      <c r="E723" s="25">
        <v>2637</v>
      </c>
    </row>
    <row r="724" spans="1:5" x14ac:dyDescent="0.3">
      <c r="A724" s="17" t="str">
        <f>"21193"</f>
        <v>21193</v>
      </c>
      <c r="B724" s="5" t="s">
        <v>881</v>
      </c>
      <c r="C724" s="17">
        <v>19910401</v>
      </c>
      <c r="D724" s="17">
        <v>22991231</v>
      </c>
      <c r="E724" s="24" t="s">
        <v>7128</v>
      </c>
    </row>
    <row r="725" spans="1:5" ht="26" x14ac:dyDescent="0.3">
      <c r="A725" s="17" t="str">
        <f>"21194"</f>
        <v>21194</v>
      </c>
      <c r="B725" s="5" t="s">
        <v>882</v>
      </c>
      <c r="C725" s="17">
        <v>20240101</v>
      </c>
      <c r="D725" s="17">
        <v>22991231</v>
      </c>
      <c r="E725" s="25">
        <v>2637</v>
      </c>
    </row>
    <row r="726" spans="1:5" x14ac:dyDescent="0.3">
      <c r="A726" s="17" t="str">
        <f>"21195"</f>
        <v>21195</v>
      </c>
      <c r="B726" s="5" t="s">
        <v>883</v>
      </c>
      <c r="C726" s="17">
        <v>19910401</v>
      </c>
      <c r="D726" s="17">
        <v>22991231</v>
      </c>
      <c r="E726" s="25">
        <v>3321.03</v>
      </c>
    </row>
    <row r="727" spans="1:5" x14ac:dyDescent="0.3">
      <c r="A727" s="17" t="str">
        <f>"21198"</f>
        <v>21198</v>
      </c>
      <c r="B727" s="5" t="s">
        <v>884</v>
      </c>
      <c r="C727" s="17">
        <v>19910401</v>
      </c>
      <c r="D727" s="17">
        <v>22991231</v>
      </c>
      <c r="E727" s="25">
        <v>3599.27</v>
      </c>
    </row>
    <row r="728" spans="1:5" ht="26" x14ac:dyDescent="0.3">
      <c r="A728" s="17" t="str">
        <f>"21199"</f>
        <v>21199</v>
      </c>
      <c r="B728" s="5" t="s">
        <v>885</v>
      </c>
      <c r="C728" s="17">
        <v>20010101</v>
      </c>
      <c r="D728" s="17">
        <v>22991231</v>
      </c>
      <c r="E728" s="25">
        <v>2637</v>
      </c>
    </row>
    <row r="729" spans="1:5" x14ac:dyDescent="0.3">
      <c r="A729" s="17" t="str">
        <f>"21206"</f>
        <v>21206</v>
      </c>
      <c r="B729" s="5" t="s">
        <v>886</v>
      </c>
      <c r="C729" s="17">
        <v>19900101</v>
      </c>
      <c r="D729" s="17">
        <v>22991231</v>
      </c>
      <c r="E729" s="25">
        <v>2637</v>
      </c>
    </row>
    <row r="730" spans="1:5" ht="26" x14ac:dyDescent="0.3">
      <c r="A730" s="17" t="str">
        <f>"21208"</f>
        <v>21208</v>
      </c>
      <c r="B730" s="5" t="s">
        <v>887</v>
      </c>
      <c r="C730" s="17">
        <v>19900101</v>
      </c>
      <c r="D730" s="17">
        <v>22991231</v>
      </c>
      <c r="E730" s="25">
        <v>1138.75</v>
      </c>
    </row>
    <row r="731" spans="1:5" ht="26" x14ac:dyDescent="0.3">
      <c r="A731" s="17" t="str">
        <f>"21209"</f>
        <v>21209</v>
      </c>
      <c r="B731" s="5" t="s">
        <v>888</v>
      </c>
      <c r="C731" s="17">
        <v>19900101</v>
      </c>
      <c r="D731" s="17">
        <v>22991231</v>
      </c>
      <c r="E731" s="25">
        <v>2637</v>
      </c>
    </row>
    <row r="732" spans="1:5" x14ac:dyDescent="0.3">
      <c r="A732" s="17" t="str">
        <f>"21210"</f>
        <v>21210</v>
      </c>
      <c r="B732" s="5" t="s">
        <v>889</v>
      </c>
      <c r="C732" s="17">
        <v>19900101</v>
      </c>
      <c r="D732" s="17">
        <v>22991231</v>
      </c>
      <c r="E732" s="25">
        <v>3719.09</v>
      </c>
    </row>
    <row r="733" spans="1:5" x14ac:dyDescent="0.3">
      <c r="A733" s="17" t="str">
        <f>"21215"</f>
        <v>21215</v>
      </c>
      <c r="B733" s="5" t="s">
        <v>890</v>
      </c>
      <c r="C733" s="17">
        <v>19900101</v>
      </c>
      <c r="D733" s="17">
        <v>22991231</v>
      </c>
      <c r="E733" s="25">
        <v>3601.92</v>
      </c>
    </row>
    <row r="734" spans="1:5" x14ac:dyDescent="0.3">
      <c r="A734" s="17" t="str">
        <f>"21230"</f>
        <v>21230</v>
      </c>
      <c r="B734" s="5" t="s">
        <v>891</v>
      </c>
      <c r="C734" s="17">
        <v>19900101</v>
      </c>
      <c r="D734" s="17">
        <v>22991231</v>
      </c>
      <c r="E734" s="25">
        <v>2637</v>
      </c>
    </row>
    <row r="735" spans="1:5" x14ac:dyDescent="0.3">
      <c r="A735" s="17" t="str">
        <f>"21235"</f>
        <v>21235</v>
      </c>
      <c r="B735" s="5" t="s">
        <v>892</v>
      </c>
      <c r="C735" s="17">
        <v>19900101</v>
      </c>
      <c r="D735" s="17">
        <v>22991231</v>
      </c>
      <c r="E735" s="25">
        <v>2637</v>
      </c>
    </row>
    <row r="736" spans="1:5" ht="26" x14ac:dyDescent="0.3">
      <c r="A736" s="17" t="str">
        <f>"21240"</f>
        <v>21240</v>
      </c>
      <c r="B736" s="5" t="s">
        <v>893</v>
      </c>
      <c r="C736" s="17">
        <v>19900101</v>
      </c>
      <c r="D736" s="17">
        <v>22991231</v>
      </c>
      <c r="E736" s="25">
        <v>2637</v>
      </c>
    </row>
    <row r="737" spans="1:5" ht="26" x14ac:dyDescent="0.3">
      <c r="A737" s="17" t="str">
        <f>"21242"</f>
        <v>21242</v>
      </c>
      <c r="B737" s="5" t="s">
        <v>894</v>
      </c>
      <c r="C737" s="17">
        <v>19900101</v>
      </c>
      <c r="D737" s="17">
        <v>22991231</v>
      </c>
      <c r="E737" s="25">
        <v>2637</v>
      </c>
    </row>
    <row r="738" spans="1:5" ht="26" x14ac:dyDescent="0.3">
      <c r="A738" s="17" t="str">
        <f>"21243"</f>
        <v>21243</v>
      </c>
      <c r="B738" s="5" t="s">
        <v>895</v>
      </c>
      <c r="C738" s="17">
        <v>19900101</v>
      </c>
      <c r="D738" s="17">
        <v>22991231</v>
      </c>
      <c r="E738" s="25">
        <v>12210.91</v>
      </c>
    </row>
    <row r="739" spans="1:5" ht="26" x14ac:dyDescent="0.3">
      <c r="A739" s="17" t="str">
        <f>"21244"</f>
        <v>21244</v>
      </c>
      <c r="B739" s="5" t="s">
        <v>896</v>
      </c>
      <c r="C739" s="17">
        <v>19900101</v>
      </c>
      <c r="D739" s="17">
        <v>22991231</v>
      </c>
      <c r="E739" s="25">
        <v>3603.91</v>
      </c>
    </row>
    <row r="740" spans="1:5" ht="26" x14ac:dyDescent="0.3">
      <c r="A740" s="17" t="str">
        <f>"21245"</f>
        <v>21245</v>
      </c>
      <c r="B740" s="5" t="s">
        <v>897</v>
      </c>
      <c r="C740" s="17">
        <v>19900101</v>
      </c>
      <c r="D740" s="17">
        <v>22991231</v>
      </c>
      <c r="E740" s="25">
        <v>3321.03</v>
      </c>
    </row>
    <row r="741" spans="1:5" ht="26" x14ac:dyDescent="0.3">
      <c r="A741" s="17" t="str">
        <f>"21246"</f>
        <v>21246</v>
      </c>
      <c r="B741" s="5" t="s">
        <v>898</v>
      </c>
      <c r="C741" s="17">
        <v>19900101</v>
      </c>
      <c r="D741" s="17">
        <v>22991231</v>
      </c>
      <c r="E741" s="25">
        <v>3321.03</v>
      </c>
    </row>
    <row r="742" spans="1:5" ht="26" x14ac:dyDescent="0.3">
      <c r="A742" s="17" t="str">
        <f>"21248"</f>
        <v>21248</v>
      </c>
      <c r="B742" s="5" t="s">
        <v>899</v>
      </c>
      <c r="C742" s="17">
        <v>19900101</v>
      </c>
      <c r="D742" s="17">
        <v>22991231</v>
      </c>
      <c r="E742" s="25">
        <v>2637</v>
      </c>
    </row>
    <row r="743" spans="1:5" ht="26" x14ac:dyDescent="0.3">
      <c r="A743" s="17" t="str">
        <f>"21249"</f>
        <v>21249</v>
      </c>
      <c r="B743" s="5" t="s">
        <v>900</v>
      </c>
      <c r="C743" s="17">
        <v>19900101</v>
      </c>
      <c r="D743" s="17">
        <v>22991231</v>
      </c>
      <c r="E743" s="25">
        <v>3299.84</v>
      </c>
    </row>
    <row r="744" spans="1:5" ht="26" x14ac:dyDescent="0.3">
      <c r="A744" s="17" t="str">
        <f>"21256"</f>
        <v>21256</v>
      </c>
      <c r="B744" s="5" t="s">
        <v>901</v>
      </c>
      <c r="C744" s="17">
        <v>19910401</v>
      </c>
      <c r="D744" s="17">
        <v>22991231</v>
      </c>
      <c r="E744" s="24" t="s">
        <v>7128</v>
      </c>
    </row>
    <row r="745" spans="1:5" ht="26" x14ac:dyDescent="0.3">
      <c r="A745" s="17" t="str">
        <f>"21260"</f>
        <v>21260</v>
      </c>
      <c r="B745" s="5" t="s">
        <v>902</v>
      </c>
      <c r="C745" s="17">
        <v>19900101</v>
      </c>
      <c r="D745" s="17">
        <v>22991231</v>
      </c>
      <c r="E745" s="25">
        <v>2637</v>
      </c>
    </row>
    <row r="746" spans="1:5" ht="26" x14ac:dyDescent="0.3">
      <c r="A746" s="17" t="str">
        <f>"21261"</f>
        <v>21261</v>
      </c>
      <c r="B746" s="5" t="s">
        <v>903</v>
      </c>
      <c r="C746" s="17">
        <v>19900101</v>
      </c>
      <c r="D746" s="17">
        <v>22991231</v>
      </c>
      <c r="E746" s="24" t="s">
        <v>7128</v>
      </c>
    </row>
    <row r="747" spans="1:5" ht="26" x14ac:dyDescent="0.3">
      <c r="A747" s="17" t="str">
        <f>"21263"</f>
        <v>21263</v>
      </c>
      <c r="B747" s="5" t="s">
        <v>904</v>
      </c>
      <c r="C747" s="17">
        <v>19900101</v>
      </c>
      <c r="D747" s="17">
        <v>22991231</v>
      </c>
      <c r="E747" s="24" t="s">
        <v>7128</v>
      </c>
    </row>
    <row r="748" spans="1:5" ht="26" x14ac:dyDescent="0.3">
      <c r="A748" s="17" t="str">
        <f>"21267"</f>
        <v>21267</v>
      </c>
      <c r="B748" s="5" t="s">
        <v>905</v>
      </c>
      <c r="C748" s="17">
        <v>19900101</v>
      </c>
      <c r="D748" s="17">
        <v>22991231</v>
      </c>
      <c r="E748" s="25">
        <v>4378.3999999999996</v>
      </c>
    </row>
    <row r="749" spans="1:5" ht="26" x14ac:dyDescent="0.3">
      <c r="A749" s="17" t="str">
        <f>"21270"</f>
        <v>21270</v>
      </c>
      <c r="B749" s="5" t="s">
        <v>906</v>
      </c>
      <c r="C749" s="17">
        <v>19900101</v>
      </c>
      <c r="D749" s="17">
        <v>22991231</v>
      </c>
      <c r="E749" s="25">
        <v>4318.16</v>
      </c>
    </row>
    <row r="750" spans="1:5" ht="26" x14ac:dyDescent="0.3">
      <c r="A750" s="17" t="str">
        <f>"21275"</f>
        <v>21275</v>
      </c>
      <c r="B750" s="5" t="s">
        <v>907</v>
      </c>
      <c r="C750" s="17">
        <v>19900101</v>
      </c>
      <c r="D750" s="17">
        <v>22991231</v>
      </c>
      <c r="E750" s="25">
        <v>2637</v>
      </c>
    </row>
    <row r="751" spans="1:5" ht="26" x14ac:dyDescent="0.3">
      <c r="A751" s="17" t="str">
        <f>"21280"</f>
        <v>21280</v>
      </c>
      <c r="B751" s="5" t="s">
        <v>908</v>
      </c>
      <c r="C751" s="17">
        <v>19900101</v>
      </c>
      <c r="D751" s="17">
        <v>22991231</v>
      </c>
      <c r="E751" s="25">
        <v>1259.74</v>
      </c>
    </row>
    <row r="752" spans="1:5" ht="26" x14ac:dyDescent="0.3">
      <c r="A752" s="17" t="str">
        <f>"21282"</f>
        <v>21282</v>
      </c>
      <c r="B752" s="5" t="s">
        <v>909</v>
      </c>
      <c r="C752" s="17">
        <v>19900101</v>
      </c>
      <c r="D752" s="17">
        <v>22991231</v>
      </c>
      <c r="E752" s="25">
        <v>1259.74</v>
      </c>
    </row>
    <row r="753" spans="1:5" ht="26" x14ac:dyDescent="0.3">
      <c r="A753" s="17" t="str">
        <f>"21295"</f>
        <v>21295</v>
      </c>
      <c r="B753" s="5" t="s">
        <v>910</v>
      </c>
      <c r="C753" s="17">
        <v>19900101</v>
      </c>
      <c r="D753" s="17">
        <v>22991231</v>
      </c>
      <c r="E753" s="25">
        <v>636.91999999999996</v>
      </c>
    </row>
    <row r="754" spans="1:5" ht="26" x14ac:dyDescent="0.3">
      <c r="A754" s="17" t="str">
        <f>"21296"</f>
        <v>21296</v>
      </c>
      <c r="B754" s="5" t="s">
        <v>911</v>
      </c>
      <c r="C754" s="17">
        <v>19900101</v>
      </c>
      <c r="D754" s="17">
        <v>22991231</v>
      </c>
      <c r="E754" s="25">
        <v>1259.74</v>
      </c>
    </row>
    <row r="755" spans="1:5" ht="26" x14ac:dyDescent="0.3">
      <c r="A755" s="17" t="str">
        <f>"21315"</f>
        <v>21315</v>
      </c>
      <c r="B755" s="5" t="s">
        <v>912</v>
      </c>
      <c r="C755" s="17">
        <v>19900101</v>
      </c>
      <c r="D755" s="17">
        <v>22991231</v>
      </c>
      <c r="E755" s="25">
        <v>636.91999999999996</v>
      </c>
    </row>
    <row r="756" spans="1:5" ht="26" x14ac:dyDescent="0.3">
      <c r="A756" s="17" t="str">
        <f>"21320"</f>
        <v>21320</v>
      </c>
      <c r="B756" s="5" t="s">
        <v>913</v>
      </c>
      <c r="C756" s="17">
        <v>19900101</v>
      </c>
      <c r="D756" s="17">
        <v>22991231</v>
      </c>
      <c r="E756" s="25">
        <v>1259.74</v>
      </c>
    </row>
    <row r="757" spans="1:5" x14ac:dyDescent="0.3">
      <c r="A757" s="17" t="str">
        <f>"21325"</f>
        <v>21325</v>
      </c>
      <c r="B757" s="5" t="s">
        <v>914</v>
      </c>
      <c r="C757" s="17">
        <v>19900101</v>
      </c>
      <c r="D757" s="17">
        <v>22991231</v>
      </c>
      <c r="E757" s="25">
        <v>1259.74</v>
      </c>
    </row>
    <row r="758" spans="1:5" ht="26" x14ac:dyDescent="0.3">
      <c r="A758" s="17" t="str">
        <f>"21330"</f>
        <v>21330</v>
      </c>
      <c r="B758" s="5" t="s">
        <v>915</v>
      </c>
      <c r="C758" s="17">
        <v>19900101</v>
      </c>
      <c r="D758" s="17">
        <v>22991231</v>
      </c>
      <c r="E758" s="25">
        <v>2637</v>
      </c>
    </row>
    <row r="759" spans="1:5" ht="26" x14ac:dyDescent="0.3">
      <c r="A759" s="17" t="str">
        <f>"21335"</f>
        <v>21335</v>
      </c>
      <c r="B759" s="5" t="s">
        <v>916</v>
      </c>
      <c r="C759" s="17">
        <v>19900101</v>
      </c>
      <c r="D759" s="17">
        <v>22991231</v>
      </c>
      <c r="E759" s="25">
        <v>1259.74</v>
      </c>
    </row>
    <row r="760" spans="1:5" ht="26" x14ac:dyDescent="0.3">
      <c r="A760" s="17" t="str">
        <f>"21336"</f>
        <v>21336</v>
      </c>
      <c r="B760" s="5" t="s">
        <v>917</v>
      </c>
      <c r="C760" s="17">
        <v>19930101</v>
      </c>
      <c r="D760" s="17">
        <v>22991231</v>
      </c>
      <c r="E760" s="25">
        <v>1450.8</v>
      </c>
    </row>
    <row r="761" spans="1:5" ht="26" x14ac:dyDescent="0.3">
      <c r="A761" s="17" t="str">
        <f>"21337"</f>
        <v>21337</v>
      </c>
      <c r="B761" s="5" t="s">
        <v>918</v>
      </c>
      <c r="C761" s="17">
        <v>19900101</v>
      </c>
      <c r="D761" s="17">
        <v>22991231</v>
      </c>
      <c r="E761" s="25">
        <v>1259.74</v>
      </c>
    </row>
    <row r="762" spans="1:5" x14ac:dyDescent="0.3">
      <c r="A762" s="17" t="str">
        <f>"21338"</f>
        <v>21338</v>
      </c>
      <c r="B762" s="5" t="s">
        <v>919</v>
      </c>
      <c r="C762" s="17">
        <v>19900101</v>
      </c>
      <c r="D762" s="17">
        <v>22991231</v>
      </c>
      <c r="E762" s="25">
        <v>2637</v>
      </c>
    </row>
    <row r="763" spans="1:5" ht="26" x14ac:dyDescent="0.3">
      <c r="A763" s="17" t="str">
        <f>"21339"</f>
        <v>21339</v>
      </c>
      <c r="B763" s="5" t="s">
        <v>920</v>
      </c>
      <c r="C763" s="17">
        <v>19900101</v>
      </c>
      <c r="D763" s="17">
        <v>22991231</v>
      </c>
      <c r="E763" s="25">
        <v>2637</v>
      </c>
    </row>
    <row r="764" spans="1:5" ht="26" x14ac:dyDescent="0.3">
      <c r="A764" s="17" t="str">
        <f>"21340"</f>
        <v>21340</v>
      </c>
      <c r="B764" s="5" t="s">
        <v>921</v>
      </c>
      <c r="C764" s="17">
        <v>19900101</v>
      </c>
      <c r="D764" s="17">
        <v>22991231</v>
      </c>
      <c r="E764" s="25">
        <v>1259.74</v>
      </c>
    </row>
    <row r="765" spans="1:5" ht="39" x14ac:dyDescent="0.3">
      <c r="A765" s="17" t="str">
        <f>"21345"</f>
        <v>21345</v>
      </c>
      <c r="B765" s="5" t="s">
        <v>922</v>
      </c>
      <c r="C765" s="17">
        <v>19900101</v>
      </c>
      <c r="D765" s="17">
        <v>22991231</v>
      </c>
      <c r="E765" s="25">
        <v>636.91999999999996</v>
      </c>
    </row>
    <row r="766" spans="1:5" ht="26" x14ac:dyDescent="0.3">
      <c r="A766" s="17" t="str">
        <f>"21346"</f>
        <v>21346</v>
      </c>
      <c r="B766" s="5" t="s">
        <v>923</v>
      </c>
      <c r="C766" s="17">
        <v>19900101</v>
      </c>
      <c r="D766" s="17">
        <v>22991231</v>
      </c>
      <c r="E766" s="24" t="s">
        <v>7128</v>
      </c>
    </row>
    <row r="767" spans="1:5" ht="26" x14ac:dyDescent="0.3">
      <c r="A767" s="17" t="str">
        <f>"21355"</f>
        <v>21355</v>
      </c>
      <c r="B767" s="5" t="s">
        <v>924</v>
      </c>
      <c r="C767" s="17">
        <v>19900101</v>
      </c>
      <c r="D767" s="17">
        <v>22991231</v>
      </c>
      <c r="E767" s="25">
        <v>1598.21</v>
      </c>
    </row>
    <row r="768" spans="1:5" ht="26" x14ac:dyDescent="0.3">
      <c r="A768" s="17" t="str">
        <f>"21356"</f>
        <v>21356</v>
      </c>
      <c r="B768" s="5" t="s">
        <v>925</v>
      </c>
      <c r="C768" s="17">
        <v>19930101</v>
      </c>
      <c r="D768" s="17">
        <v>22991231</v>
      </c>
      <c r="E768" s="25">
        <v>2637</v>
      </c>
    </row>
    <row r="769" spans="1:5" x14ac:dyDescent="0.3">
      <c r="A769" s="17" t="str">
        <f>"21360"</f>
        <v>21360</v>
      </c>
      <c r="B769" s="5" t="s">
        <v>926</v>
      </c>
      <c r="C769" s="17">
        <v>19900101</v>
      </c>
      <c r="D769" s="17">
        <v>22991231</v>
      </c>
      <c r="E769" s="25">
        <v>2637</v>
      </c>
    </row>
    <row r="770" spans="1:5" ht="26" x14ac:dyDescent="0.3">
      <c r="A770" s="17" t="str">
        <f>"21365"</f>
        <v>21365</v>
      </c>
      <c r="B770" s="5" t="s">
        <v>927</v>
      </c>
      <c r="C770" s="17">
        <v>19900101</v>
      </c>
      <c r="D770" s="17">
        <v>22991231</v>
      </c>
      <c r="E770" s="25">
        <v>3321.03</v>
      </c>
    </row>
    <row r="771" spans="1:5" ht="26" x14ac:dyDescent="0.3">
      <c r="A771" s="17" t="str">
        <f>"21385"</f>
        <v>21385</v>
      </c>
      <c r="B771" s="5" t="s">
        <v>928</v>
      </c>
      <c r="C771" s="17">
        <v>19900101</v>
      </c>
      <c r="D771" s="17">
        <v>22991231</v>
      </c>
      <c r="E771" s="24" t="s">
        <v>7128</v>
      </c>
    </row>
    <row r="772" spans="1:5" ht="26" x14ac:dyDescent="0.3">
      <c r="A772" s="17" t="str">
        <f>"21386"</f>
        <v>21386</v>
      </c>
      <c r="B772" s="5" t="s">
        <v>929</v>
      </c>
      <c r="C772" s="17">
        <v>19900101</v>
      </c>
      <c r="D772" s="17">
        <v>22991231</v>
      </c>
      <c r="E772" s="24" t="s">
        <v>7128</v>
      </c>
    </row>
    <row r="773" spans="1:5" ht="26" x14ac:dyDescent="0.3">
      <c r="A773" s="17" t="str">
        <f>"21387"</f>
        <v>21387</v>
      </c>
      <c r="B773" s="5" t="s">
        <v>930</v>
      </c>
      <c r="C773" s="17">
        <v>19900101</v>
      </c>
      <c r="D773" s="17">
        <v>22991231</v>
      </c>
      <c r="E773" s="24" t="s">
        <v>7128</v>
      </c>
    </row>
    <row r="774" spans="1:5" ht="26" x14ac:dyDescent="0.3">
      <c r="A774" s="17" t="str">
        <f>"21390"</f>
        <v>21390</v>
      </c>
      <c r="B774" s="5" t="s">
        <v>931</v>
      </c>
      <c r="C774" s="17">
        <v>19900101</v>
      </c>
      <c r="D774" s="17">
        <v>22991231</v>
      </c>
      <c r="E774" s="25">
        <v>2637</v>
      </c>
    </row>
    <row r="775" spans="1:5" ht="26" x14ac:dyDescent="0.3">
      <c r="A775" s="17" t="str">
        <f>"21395"</f>
        <v>21395</v>
      </c>
      <c r="B775" s="5" t="s">
        <v>932</v>
      </c>
      <c r="C775" s="17">
        <v>19900101</v>
      </c>
      <c r="D775" s="17">
        <v>22991231</v>
      </c>
      <c r="E775" s="24" t="s">
        <v>7128</v>
      </c>
    </row>
    <row r="776" spans="1:5" x14ac:dyDescent="0.3">
      <c r="A776" s="17" t="str">
        <f>"21400"</f>
        <v>21400</v>
      </c>
      <c r="B776" s="5" t="s">
        <v>933</v>
      </c>
      <c r="C776" s="17">
        <v>19900101</v>
      </c>
      <c r="D776" s="17">
        <v>22991231</v>
      </c>
      <c r="E776" s="25">
        <v>272.61</v>
      </c>
    </row>
    <row r="777" spans="1:5" ht="26" x14ac:dyDescent="0.3">
      <c r="A777" s="17" t="str">
        <f>"21401"</f>
        <v>21401</v>
      </c>
      <c r="B777" s="5" t="s">
        <v>934</v>
      </c>
      <c r="C777" s="17">
        <v>19900101</v>
      </c>
      <c r="D777" s="17">
        <v>22991231</v>
      </c>
      <c r="E777" s="25">
        <v>803.48</v>
      </c>
    </row>
    <row r="778" spans="1:5" x14ac:dyDescent="0.3">
      <c r="A778" s="17" t="str">
        <f>"21406"</f>
        <v>21406</v>
      </c>
      <c r="B778" s="5" t="s">
        <v>935</v>
      </c>
      <c r="C778" s="17">
        <v>19900101</v>
      </c>
      <c r="D778" s="17">
        <v>22991231</v>
      </c>
      <c r="E778" s="25">
        <v>2637</v>
      </c>
    </row>
    <row r="779" spans="1:5" x14ac:dyDescent="0.3">
      <c r="A779" s="17" t="str">
        <f>"21407"</f>
        <v>21407</v>
      </c>
      <c r="B779" s="5" t="s">
        <v>936</v>
      </c>
      <c r="C779" s="17">
        <v>19900101</v>
      </c>
      <c r="D779" s="17">
        <v>22991231</v>
      </c>
      <c r="E779" s="25">
        <v>2637</v>
      </c>
    </row>
    <row r="780" spans="1:5" x14ac:dyDescent="0.3">
      <c r="A780" s="17" t="str">
        <f>"21408"</f>
        <v>21408</v>
      </c>
      <c r="B780" s="5" t="s">
        <v>937</v>
      </c>
      <c r="C780" s="17">
        <v>19930101</v>
      </c>
      <c r="D780" s="17">
        <v>22991231</v>
      </c>
      <c r="E780" s="24" t="s">
        <v>7128</v>
      </c>
    </row>
    <row r="781" spans="1:5" ht="39" x14ac:dyDescent="0.3">
      <c r="A781" s="17" t="str">
        <f>"21421"</f>
        <v>21421</v>
      </c>
      <c r="B781" s="5" t="s">
        <v>938</v>
      </c>
      <c r="C781" s="17">
        <v>19900101</v>
      </c>
      <c r="D781" s="17">
        <v>22991231</v>
      </c>
      <c r="E781" s="25">
        <v>1259.74</v>
      </c>
    </row>
    <row r="782" spans="1:5" ht="26" x14ac:dyDescent="0.3">
      <c r="A782" s="17" t="str">
        <f>"21440"</f>
        <v>21440</v>
      </c>
      <c r="B782" s="5" t="s">
        <v>939</v>
      </c>
      <c r="C782" s="17">
        <v>19900101</v>
      </c>
      <c r="D782" s="17">
        <v>22991231</v>
      </c>
      <c r="E782" s="25">
        <v>594.86</v>
      </c>
    </row>
    <row r="783" spans="1:5" x14ac:dyDescent="0.3">
      <c r="A783" s="17" t="str">
        <f>"21445"</f>
        <v>21445</v>
      </c>
      <c r="B783" s="5" t="s">
        <v>940</v>
      </c>
      <c r="C783" s="17">
        <v>19900101</v>
      </c>
      <c r="D783" s="17">
        <v>22991231</v>
      </c>
      <c r="E783" s="25">
        <v>3333.17</v>
      </c>
    </row>
    <row r="784" spans="1:5" x14ac:dyDescent="0.3">
      <c r="A784" s="17" t="str">
        <f>"21450"</f>
        <v>21450</v>
      </c>
      <c r="B784" s="5" t="s">
        <v>941</v>
      </c>
      <c r="C784" s="17">
        <v>19900101</v>
      </c>
      <c r="D784" s="17">
        <v>22991231</v>
      </c>
      <c r="E784" s="25">
        <v>272.61</v>
      </c>
    </row>
    <row r="785" spans="1:5" ht="26" x14ac:dyDescent="0.3">
      <c r="A785" s="17" t="str">
        <f>"21451"</f>
        <v>21451</v>
      </c>
      <c r="B785" s="5" t="s">
        <v>942</v>
      </c>
      <c r="C785" s="17">
        <v>19900101</v>
      </c>
      <c r="D785" s="17">
        <v>22991231</v>
      </c>
      <c r="E785" s="25">
        <v>636.91999999999996</v>
      </c>
    </row>
    <row r="786" spans="1:5" ht="26" x14ac:dyDescent="0.3">
      <c r="A786" s="17" t="str">
        <f>"21452"</f>
        <v>21452</v>
      </c>
      <c r="B786" s="5" t="s">
        <v>943</v>
      </c>
      <c r="C786" s="17">
        <v>19900101</v>
      </c>
      <c r="D786" s="17">
        <v>22991231</v>
      </c>
      <c r="E786" s="25">
        <v>3354.56</v>
      </c>
    </row>
    <row r="787" spans="1:5" ht="26" x14ac:dyDescent="0.3">
      <c r="A787" s="17" t="str">
        <f>"21453"</f>
        <v>21453</v>
      </c>
      <c r="B787" s="5" t="s">
        <v>944</v>
      </c>
      <c r="C787" s="17">
        <v>19900101</v>
      </c>
      <c r="D787" s="17">
        <v>22991231</v>
      </c>
      <c r="E787" s="25">
        <v>3381.93</v>
      </c>
    </row>
    <row r="788" spans="1:5" ht="26" x14ac:dyDescent="0.3">
      <c r="A788" s="17" t="str">
        <f>"21454"</f>
        <v>21454</v>
      </c>
      <c r="B788" s="5" t="s">
        <v>945</v>
      </c>
      <c r="C788" s="17">
        <v>19900101</v>
      </c>
      <c r="D788" s="17">
        <v>22991231</v>
      </c>
      <c r="E788" s="25">
        <v>3336.91</v>
      </c>
    </row>
    <row r="789" spans="1:5" x14ac:dyDescent="0.3">
      <c r="A789" s="17" t="str">
        <f>"21461"</f>
        <v>21461</v>
      </c>
      <c r="B789" s="5" t="s">
        <v>946</v>
      </c>
      <c r="C789" s="17">
        <v>19900101</v>
      </c>
      <c r="D789" s="17">
        <v>22991231</v>
      </c>
      <c r="E789" s="25">
        <v>3342.65</v>
      </c>
    </row>
    <row r="790" spans="1:5" ht="26" x14ac:dyDescent="0.3">
      <c r="A790" s="17" t="str">
        <f>"21462"</f>
        <v>21462</v>
      </c>
      <c r="B790" s="5" t="s">
        <v>947</v>
      </c>
      <c r="C790" s="17">
        <v>19900101</v>
      </c>
      <c r="D790" s="17">
        <v>22991231</v>
      </c>
      <c r="E790" s="25">
        <v>3509.03</v>
      </c>
    </row>
    <row r="791" spans="1:5" ht="26" x14ac:dyDescent="0.3">
      <c r="A791" s="17" t="str">
        <f>"21465"</f>
        <v>21465</v>
      </c>
      <c r="B791" s="5" t="s">
        <v>948</v>
      </c>
      <c r="C791" s="17">
        <v>19900101</v>
      </c>
      <c r="D791" s="17">
        <v>22991231</v>
      </c>
      <c r="E791" s="25">
        <v>2637</v>
      </c>
    </row>
    <row r="792" spans="1:5" ht="26" x14ac:dyDescent="0.3">
      <c r="A792" s="17" t="str">
        <f>"21470"</f>
        <v>21470</v>
      </c>
      <c r="B792" s="5" t="s">
        <v>949</v>
      </c>
      <c r="C792" s="17">
        <v>19900101</v>
      </c>
      <c r="D792" s="17">
        <v>22991231</v>
      </c>
      <c r="E792" s="24" t="s">
        <v>7128</v>
      </c>
    </row>
    <row r="793" spans="1:5" x14ac:dyDescent="0.3">
      <c r="A793" s="17" t="str">
        <f>"21480"</f>
        <v>21480</v>
      </c>
      <c r="B793" s="5" t="s">
        <v>950</v>
      </c>
      <c r="C793" s="17">
        <v>19900101</v>
      </c>
      <c r="D793" s="17">
        <v>22991231</v>
      </c>
      <c r="E793" s="25">
        <v>116.84</v>
      </c>
    </row>
    <row r="794" spans="1:5" ht="26" x14ac:dyDescent="0.3">
      <c r="A794" s="17" t="str">
        <f>"21485"</f>
        <v>21485</v>
      </c>
      <c r="B794" s="5" t="s">
        <v>951</v>
      </c>
      <c r="C794" s="17">
        <v>19900101</v>
      </c>
      <c r="D794" s="17">
        <v>22991231</v>
      </c>
      <c r="E794" s="25">
        <v>636.91999999999996</v>
      </c>
    </row>
    <row r="795" spans="1:5" x14ac:dyDescent="0.3">
      <c r="A795" s="17" t="str">
        <f>"21490"</f>
        <v>21490</v>
      </c>
      <c r="B795" s="5" t="s">
        <v>952</v>
      </c>
      <c r="C795" s="17">
        <v>19900101</v>
      </c>
      <c r="D795" s="17">
        <v>22991231</v>
      </c>
      <c r="E795" s="25">
        <v>1259.74</v>
      </c>
    </row>
    <row r="796" spans="1:5" x14ac:dyDescent="0.3">
      <c r="A796" s="17" t="str">
        <f>"21497"</f>
        <v>21497</v>
      </c>
      <c r="B796" s="5" t="s">
        <v>953</v>
      </c>
      <c r="C796" s="17">
        <v>19900101</v>
      </c>
      <c r="D796" s="17">
        <v>22991231</v>
      </c>
      <c r="E796" s="25">
        <v>636.91999999999996</v>
      </c>
    </row>
    <row r="797" spans="1:5" ht="26" x14ac:dyDescent="0.3">
      <c r="A797" s="17" t="str">
        <f>"21501"</f>
        <v>21501</v>
      </c>
      <c r="B797" s="5" t="s">
        <v>954</v>
      </c>
      <c r="C797" s="17">
        <v>19900101</v>
      </c>
      <c r="D797" s="17">
        <v>22991231</v>
      </c>
      <c r="E797" s="25">
        <v>1105.24</v>
      </c>
    </row>
    <row r="798" spans="1:5" ht="39" x14ac:dyDescent="0.3">
      <c r="A798" s="17" t="str">
        <f>"21502"</f>
        <v>21502</v>
      </c>
      <c r="B798" s="5" t="s">
        <v>955</v>
      </c>
      <c r="C798" s="17">
        <v>19900101</v>
      </c>
      <c r="D798" s="17">
        <v>22991231</v>
      </c>
      <c r="E798" s="25">
        <v>1450.8</v>
      </c>
    </row>
    <row r="799" spans="1:5" x14ac:dyDescent="0.3">
      <c r="A799" s="17" t="str">
        <f>"21550"</f>
        <v>21550</v>
      </c>
      <c r="B799" s="5" t="s">
        <v>956</v>
      </c>
      <c r="C799" s="17">
        <v>19900101</v>
      </c>
      <c r="D799" s="17">
        <v>22991231</v>
      </c>
      <c r="E799" s="25">
        <v>652.27</v>
      </c>
    </row>
    <row r="800" spans="1:5" ht="26" x14ac:dyDescent="0.3">
      <c r="A800" s="17" t="str">
        <f>"21552"</f>
        <v>21552</v>
      </c>
      <c r="B800" s="5" t="s">
        <v>957</v>
      </c>
      <c r="C800" s="17">
        <v>20100101</v>
      </c>
      <c r="D800" s="17">
        <v>22991231</v>
      </c>
      <c r="E800" s="25">
        <v>1105.24</v>
      </c>
    </row>
    <row r="801" spans="1:5" ht="26" x14ac:dyDescent="0.3">
      <c r="A801" s="17" t="str">
        <f>"21554"</f>
        <v>21554</v>
      </c>
      <c r="B801" s="5" t="s">
        <v>958</v>
      </c>
      <c r="C801" s="17">
        <v>20100101</v>
      </c>
      <c r="D801" s="17">
        <v>22991231</v>
      </c>
      <c r="E801" s="25">
        <v>1105.24</v>
      </c>
    </row>
    <row r="802" spans="1:5" ht="26" x14ac:dyDescent="0.3">
      <c r="A802" s="17" t="str">
        <f>"21555"</f>
        <v>21555</v>
      </c>
      <c r="B802" s="5" t="s">
        <v>959</v>
      </c>
      <c r="C802" s="17">
        <v>19900101</v>
      </c>
      <c r="D802" s="17">
        <v>22991231</v>
      </c>
      <c r="E802" s="25">
        <v>652.27</v>
      </c>
    </row>
    <row r="803" spans="1:5" ht="26" x14ac:dyDescent="0.3">
      <c r="A803" s="17" t="str">
        <f>"21556"</f>
        <v>21556</v>
      </c>
      <c r="B803" s="5" t="s">
        <v>960</v>
      </c>
      <c r="C803" s="17">
        <v>19900101</v>
      </c>
      <c r="D803" s="17">
        <v>22991231</v>
      </c>
      <c r="E803" s="25">
        <v>1105.24</v>
      </c>
    </row>
    <row r="804" spans="1:5" ht="26" x14ac:dyDescent="0.3">
      <c r="A804" s="17" t="str">
        <f>"21557"</f>
        <v>21557</v>
      </c>
      <c r="B804" s="5" t="s">
        <v>961</v>
      </c>
      <c r="C804" s="17">
        <v>19900101</v>
      </c>
      <c r="D804" s="17">
        <v>22991231</v>
      </c>
      <c r="E804" s="25">
        <v>1105.24</v>
      </c>
    </row>
    <row r="805" spans="1:5" ht="26" x14ac:dyDescent="0.3">
      <c r="A805" s="17" t="str">
        <f>"21558"</f>
        <v>21558</v>
      </c>
      <c r="B805" s="5" t="s">
        <v>962</v>
      </c>
      <c r="C805" s="17">
        <v>20100101</v>
      </c>
      <c r="D805" s="17">
        <v>22991231</v>
      </c>
      <c r="E805" s="25">
        <v>1105.24</v>
      </c>
    </row>
    <row r="806" spans="1:5" x14ac:dyDescent="0.3">
      <c r="A806" s="17" t="str">
        <f>"21600"</f>
        <v>21600</v>
      </c>
      <c r="B806" s="5" t="s">
        <v>963</v>
      </c>
      <c r="C806" s="17">
        <v>19900101</v>
      </c>
      <c r="D806" s="17">
        <v>22991231</v>
      </c>
      <c r="E806" s="25">
        <v>3240.75</v>
      </c>
    </row>
    <row r="807" spans="1:5" x14ac:dyDescent="0.3">
      <c r="A807" s="17" t="str">
        <f>"21601"</f>
        <v>21601</v>
      </c>
      <c r="B807" s="5" t="s">
        <v>964</v>
      </c>
      <c r="C807" s="17">
        <v>20200101</v>
      </c>
      <c r="D807" s="17">
        <v>22991231</v>
      </c>
      <c r="E807" s="24" t="s">
        <v>7128</v>
      </c>
    </row>
    <row r="808" spans="1:5" x14ac:dyDescent="0.3">
      <c r="A808" s="17" t="str">
        <f>"21610"</f>
        <v>21610</v>
      </c>
      <c r="B808" s="5" t="s">
        <v>965</v>
      </c>
      <c r="C808" s="17">
        <v>19900101</v>
      </c>
      <c r="D808" s="17">
        <v>22991231</v>
      </c>
      <c r="E808" s="25">
        <v>1450.8</v>
      </c>
    </row>
    <row r="809" spans="1:5" x14ac:dyDescent="0.3">
      <c r="A809" s="17" t="str">
        <f>"21685"</f>
        <v>21685</v>
      </c>
      <c r="B809" s="5" t="s">
        <v>966</v>
      </c>
      <c r="C809" s="17">
        <v>20230101</v>
      </c>
      <c r="D809" s="17">
        <v>22991231</v>
      </c>
      <c r="E809" s="25">
        <v>3474.83</v>
      </c>
    </row>
    <row r="810" spans="1:5" x14ac:dyDescent="0.3">
      <c r="A810" s="17" t="str">
        <f>"21700"</f>
        <v>21700</v>
      </c>
      <c r="B810" s="5" t="s">
        <v>967</v>
      </c>
      <c r="C810" s="17">
        <v>19900101</v>
      </c>
      <c r="D810" s="17">
        <v>22991231</v>
      </c>
      <c r="E810" s="25">
        <v>3240.75</v>
      </c>
    </row>
    <row r="811" spans="1:5" ht="26" x14ac:dyDescent="0.3">
      <c r="A811" s="17" t="str">
        <f>"21720"</f>
        <v>21720</v>
      </c>
      <c r="B811" s="5" t="s">
        <v>968</v>
      </c>
      <c r="C811" s="17">
        <v>19900101</v>
      </c>
      <c r="D811" s="17">
        <v>22991231</v>
      </c>
      <c r="E811" s="25">
        <v>1450.8</v>
      </c>
    </row>
    <row r="812" spans="1:5" ht="26" x14ac:dyDescent="0.3">
      <c r="A812" s="17" t="str">
        <f>"21725"</f>
        <v>21725</v>
      </c>
      <c r="B812" s="5" t="s">
        <v>969</v>
      </c>
      <c r="C812" s="17">
        <v>19900101</v>
      </c>
      <c r="D812" s="17">
        <v>22991231</v>
      </c>
      <c r="E812" s="25">
        <v>348.6</v>
      </c>
    </row>
    <row r="813" spans="1:5" x14ac:dyDescent="0.3">
      <c r="A813" s="17" t="str">
        <f>"21820"</f>
        <v>21820</v>
      </c>
      <c r="B813" s="5" t="s">
        <v>970</v>
      </c>
      <c r="C813" s="17">
        <v>19900101</v>
      </c>
      <c r="D813" s="17">
        <v>22991231</v>
      </c>
      <c r="E813" s="25">
        <v>116.84</v>
      </c>
    </row>
    <row r="814" spans="1:5" ht="26" x14ac:dyDescent="0.3">
      <c r="A814" s="17" t="str">
        <f>"21920"</f>
        <v>21920</v>
      </c>
      <c r="B814" s="5" t="s">
        <v>971</v>
      </c>
      <c r="C814" s="17">
        <v>19900101</v>
      </c>
      <c r="D814" s="17">
        <v>22991231</v>
      </c>
      <c r="E814" s="25">
        <v>165.76</v>
      </c>
    </row>
    <row r="815" spans="1:5" ht="26" x14ac:dyDescent="0.3">
      <c r="A815" s="17" t="str">
        <f>"21925"</f>
        <v>21925</v>
      </c>
      <c r="B815" s="5" t="s">
        <v>972</v>
      </c>
      <c r="C815" s="17">
        <v>19900101</v>
      </c>
      <c r="D815" s="17">
        <v>22991231</v>
      </c>
      <c r="E815" s="25">
        <v>652.27</v>
      </c>
    </row>
    <row r="816" spans="1:5" ht="26" x14ac:dyDescent="0.3">
      <c r="A816" s="17" t="str">
        <f>"21930"</f>
        <v>21930</v>
      </c>
      <c r="B816" s="5" t="s">
        <v>973</v>
      </c>
      <c r="C816" s="17">
        <v>19900101</v>
      </c>
      <c r="D816" s="17">
        <v>22991231</v>
      </c>
      <c r="E816" s="25">
        <v>652.27</v>
      </c>
    </row>
    <row r="817" spans="1:5" ht="26" x14ac:dyDescent="0.3">
      <c r="A817" s="17" t="str">
        <f>"21931"</f>
        <v>21931</v>
      </c>
      <c r="B817" s="5" t="s">
        <v>974</v>
      </c>
      <c r="C817" s="17">
        <v>20100101</v>
      </c>
      <c r="D817" s="17">
        <v>22991231</v>
      </c>
      <c r="E817" s="25">
        <v>652.27</v>
      </c>
    </row>
    <row r="818" spans="1:5" ht="26" x14ac:dyDescent="0.3">
      <c r="A818" s="17" t="str">
        <f>"21932"</f>
        <v>21932</v>
      </c>
      <c r="B818" s="5" t="s">
        <v>975</v>
      </c>
      <c r="C818" s="17">
        <v>20100101</v>
      </c>
      <c r="D818" s="17">
        <v>22991231</v>
      </c>
      <c r="E818" s="25">
        <v>1105.24</v>
      </c>
    </row>
    <row r="819" spans="1:5" ht="26" x14ac:dyDescent="0.3">
      <c r="A819" s="17" t="str">
        <f>"21933"</f>
        <v>21933</v>
      </c>
      <c r="B819" s="5" t="s">
        <v>976</v>
      </c>
      <c r="C819" s="17">
        <v>20100101</v>
      </c>
      <c r="D819" s="17">
        <v>22991231</v>
      </c>
      <c r="E819" s="25">
        <v>1105.24</v>
      </c>
    </row>
    <row r="820" spans="1:5" ht="26" x14ac:dyDescent="0.3">
      <c r="A820" s="17" t="str">
        <f>"21935"</f>
        <v>21935</v>
      </c>
      <c r="B820" s="5" t="s">
        <v>977</v>
      </c>
      <c r="C820" s="17">
        <v>19900101</v>
      </c>
      <c r="D820" s="17">
        <v>22991231</v>
      </c>
      <c r="E820" s="25">
        <v>1105.24</v>
      </c>
    </row>
    <row r="821" spans="1:5" ht="26" x14ac:dyDescent="0.3">
      <c r="A821" s="17" t="str">
        <f>"21936"</f>
        <v>21936</v>
      </c>
      <c r="B821" s="5" t="s">
        <v>978</v>
      </c>
      <c r="C821" s="17">
        <v>20100101</v>
      </c>
      <c r="D821" s="17">
        <v>22991231</v>
      </c>
      <c r="E821" s="25">
        <v>1105.24</v>
      </c>
    </row>
    <row r="822" spans="1:5" x14ac:dyDescent="0.3">
      <c r="A822" s="17" t="str">
        <f>"22100"</f>
        <v>22100</v>
      </c>
      <c r="B822" s="5" t="s">
        <v>979</v>
      </c>
      <c r="C822" s="17">
        <v>19900101</v>
      </c>
      <c r="D822" s="17">
        <v>22991231</v>
      </c>
      <c r="E822" s="24" t="s">
        <v>7128</v>
      </c>
    </row>
    <row r="823" spans="1:5" x14ac:dyDescent="0.3">
      <c r="A823" s="17" t="str">
        <f>"22101"</f>
        <v>22101</v>
      </c>
      <c r="B823" s="5" t="s">
        <v>980</v>
      </c>
      <c r="C823" s="17">
        <v>19900101</v>
      </c>
      <c r="D823" s="17">
        <v>22991231</v>
      </c>
      <c r="E823" s="24" t="s">
        <v>7128</v>
      </c>
    </row>
    <row r="824" spans="1:5" x14ac:dyDescent="0.3">
      <c r="A824" s="17" t="str">
        <f>"22102"</f>
        <v>22102</v>
      </c>
      <c r="B824" s="5" t="s">
        <v>981</v>
      </c>
      <c r="C824" s="17">
        <v>19900101</v>
      </c>
      <c r="D824" s="17">
        <v>22991231</v>
      </c>
      <c r="E824" s="25">
        <v>3240.75</v>
      </c>
    </row>
    <row r="825" spans="1:5" ht="26" x14ac:dyDescent="0.3">
      <c r="A825" s="17" t="str">
        <f>"22103"</f>
        <v>22103</v>
      </c>
      <c r="B825" s="5" t="s">
        <v>982</v>
      </c>
      <c r="C825" s="17">
        <v>19960101</v>
      </c>
      <c r="D825" s="17">
        <v>22991231</v>
      </c>
      <c r="E825" s="25">
        <v>0</v>
      </c>
    </row>
    <row r="826" spans="1:5" ht="26" x14ac:dyDescent="0.3">
      <c r="A826" s="17" t="str">
        <f>"22310"</f>
        <v>22310</v>
      </c>
      <c r="B826" s="5" t="s">
        <v>983</v>
      </c>
      <c r="C826" s="17">
        <v>19900101</v>
      </c>
      <c r="D826" s="17">
        <v>22991231</v>
      </c>
      <c r="E826" s="25">
        <v>116.84</v>
      </c>
    </row>
    <row r="827" spans="1:5" ht="26" x14ac:dyDescent="0.3">
      <c r="A827" s="17" t="str">
        <f>"22315"</f>
        <v>22315</v>
      </c>
      <c r="B827" s="5" t="s">
        <v>984</v>
      </c>
      <c r="C827" s="17">
        <v>19900101</v>
      </c>
      <c r="D827" s="17">
        <v>22991231</v>
      </c>
      <c r="E827" s="25">
        <v>1450.8</v>
      </c>
    </row>
    <row r="828" spans="1:5" x14ac:dyDescent="0.3">
      <c r="A828" s="17" t="str">
        <f>"22505"</f>
        <v>22505</v>
      </c>
      <c r="B828" s="5" t="s">
        <v>985</v>
      </c>
      <c r="C828" s="17">
        <v>19900101</v>
      </c>
      <c r="D828" s="17">
        <v>22991231</v>
      </c>
      <c r="E828" s="25">
        <v>782.3</v>
      </c>
    </row>
    <row r="829" spans="1:5" x14ac:dyDescent="0.3">
      <c r="A829" s="17" t="str">
        <f>"22510"</f>
        <v>22510</v>
      </c>
      <c r="B829" s="5" t="s">
        <v>986</v>
      </c>
      <c r="C829" s="17">
        <v>20230101</v>
      </c>
      <c r="D829" s="17">
        <v>22991231</v>
      </c>
      <c r="E829" s="25">
        <v>1450.8</v>
      </c>
    </row>
    <row r="830" spans="1:5" x14ac:dyDescent="0.3">
      <c r="A830" s="17" t="str">
        <f>"22511"</f>
        <v>22511</v>
      </c>
      <c r="B830" s="5" t="s">
        <v>987</v>
      </c>
      <c r="C830" s="17">
        <v>20230101</v>
      </c>
      <c r="D830" s="17">
        <v>22991231</v>
      </c>
      <c r="E830" s="25">
        <v>1450.8</v>
      </c>
    </row>
    <row r="831" spans="1:5" x14ac:dyDescent="0.3">
      <c r="A831" s="17" t="str">
        <f>"22512"</f>
        <v>22512</v>
      </c>
      <c r="B831" s="5" t="s">
        <v>988</v>
      </c>
      <c r="C831" s="17">
        <v>20230101</v>
      </c>
      <c r="D831" s="17">
        <v>22991231</v>
      </c>
      <c r="E831" s="25">
        <v>0</v>
      </c>
    </row>
    <row r="832" spans="1:5" ht="39" x14ac:dyDescent="0.3">
      <c r="A832" s="17" t="str">
        <f>"22513"</f>
        <v>22513</v>
      </c>
      <c r="B832" s="5" t="s">
        <v>989</v>
      </c>
      <c r="C832" s="17">
        <v>20230101</v>
      </c>
      <c r="D832" s="17">
        <v>22991231</v>
      </c>
      <c r="E832" s="25">
        <v>3240.75</v>
      </c>
    </row>
    <row r="833" spans="1:5" ht="26" x14ac:dyDescent="0.3">
      <c r="A833" s="17" t="str">
        <f>"22514"</f>
        <v>22514</v>
      </c>
      <c r="B833" s="5" t="s">
        <v>990</v>
      </c>
      <c r="C833" s="17">
        <v>20230101</v>
      </c>
      <c r="D833" s="17">
        <v>22991231</v>
      </c>
      <c r="E833" s="25">
        <v>3240.75</v>
      </c>
    </row>
    <row r="834" spans="1:5" ht="26" x14ac:dyDescent="0.3">
      <c r="A834" s="17" t="str">
        <f>"22515"</f>
        <v>22515</v>
      </c>
      <c r="B834" s="5" t="s">
        <v>991</v>
      </c>
      <c r="C834" s="17">
        <v>20230101</v>
      </c>
      <c r="D834" s="17">
        <v>22991231</v>
      </c>
      <c r="E834" s="25">
        <v>0</v>
      </c>
    </row>
    <row r="835" spans="1:5" ht="26" x14ac:dyDescent="0.3">
      <c r="A835" s="17" t="str">
        <f>"22551"</f>
        <v>22551</v>
      </c>
      <c r="B835" s="5" t="s">
        <v>992</v>
      </c>
      <c r="C835" s="17">
        <v>20200427</v>
      </c>
      <c r="D835" s="17">
        <v>22991231</v>
      </c>
      <c r="E835" s="25">
        <v>8466.7999999999993</v>
      </c>
    </row>
    <row r="836" spans="1:5" ht="39" x14ac:dyDescent="0.3">
      <c r="A836" s="17" t="str">
        <f>"22552"</f>
        <v>22552</v>
      </c>
      <c r="B836" s="5" t="s">
        <v>993</v>
      </c>
      <c r="C836" s="17">
        <v>20200427</v>
      </c>
      <c r="D836" s="17">
        <v>22991231</v>
      </c>
      <c r="E836" s="25">
        <v>0</v>
      </c>
    </row>
    <row r="837" spans="1:5" ht="26" x14ac:dyDescent="0.3">
      <c r="A837" s="17" t="str">
        <f>"22554"</f>
        <v>22554</v>
      </c>
      <c r="B837" s="5" t="s">
        <v>994</v>
      </c>
      <c r="C837" s="17">
        <v>20230101</v>
      </c>
      <c r="D837" s="17">
        <v>22991231</v>
      </c>
      <c r="E837" s="25">
        <v>8294.31</v>
      </c>
    </row>
    <row r="838" spans="1:5" ht="26" x14ac:dyDescent="0.3">
      <c r="A838" s="17" t="str">
        <f>"22585"</f>
        <v>22585</v>
      </c>
      <c r="B838" s="5" t="s">
        <v>995</v>
      </c>
      <c r="C838" s="17">
        <v>20230101</v>
      </c>
      <c r="D838" s="17">
        <v>22991231</v>
      </c>
      <c r="E838" s="25">
        <v>0</v>
      </c>
    </row>
    <row r="839" spans="1:5" x14ac:dyDescent="0.3">
      <c r="A839" s="17" t="str">
        <f>"22612"</f>
        <v>22612</v>
      </c>
      <c r="B839" s="5" t="s">
        <v>996</v>
      </c>
      <c r="C839" s="17">
        <v>20230101</v>
      </c>
      <c r="D839" s="17">
        <v>22991231</v>
      </c>
      <c r="E839" s="25">
        <v>12915.34</v>
      </c>
    </row>
    <row r="840" spans="1:5" x14ac:dyDescent="0.3">
      <c r="A840" s="17" t="str">
        <f>"22614"</f>
        <v>22614</v>
      </c>
      <c r="B840" s="5" t="s">
        <v>997</v>
      </c>
      <c r="C840" s="17">
        <v>19960101</v>
      </c>
      <c r="D840" s="17">
        <v>22991231</v>
      </c>
      <c r="E840" s="25">
        <v>0</v>
      </c>
    </row>
    <row r="841" spans="1:5" ht="26" x14ac:dyDescent="0.3">
      <c r="A841" s="17" t="str">
        <f>"22840"</f>
        <v>22840</v>
      </c>
      <c r="B841" s="5" t="s">
        <v>998</v>
      </c>
      <c r="C841" s="17">
        <v>19900101</v>
      </c>
      <c r="D841" s="17">
        <v>22991231</v>
      </c>
      <c r="E841" s="25">
        <v>0</v>
      </c>
    </row>
    <row r="842" spans="1:5" ht="26" x14ac:dyDescent="0.3">
      <c r="A842" s="17" t="str">
        <f>"22842"</f>
        <v>22842</v>
      </c>
      <c r="B842" s="5" t="s">
        <v>999</v>
      </c>
      <c r="C842" s="17">
        <v>19900101</v>
      </c>
      <c r="D842" s="17">
        <v>22991231</v>
      </c>
      <c r="E842" s="25">
        <v>0</v>
      </c>
    </row>
    <row r="843" spans="1:5" ht="26" x14ac:dyDescent="0.3">
      <c r="A843" s="17" t="str">
        <f>"22845"</f>
        <v>22845</v>
      </c>
      <c r="B843" s="5" t="s">
        <v>1000</v>
      </c>
      <c r="C843" s="17">
        <v>19900101</v>
      </c>
      <c r="D843" s="17">
        <v>22991231</v>
      </c>
      <c r="E843" s="25">
        <v>0</v>
      </c>
    </row>
    <row r="844" spans="1:5" ht="26" x14ac:dyDescent="0.3">
      <c r="A844" s="17" t="str">
        <f>"22846"</f>
        <v>22846</v>
      </c>
      <c r="B844" s="5" t="s">
        <v>1001</v>
      </c>
      <c r="C844" s="17">
        <v>19960101</v>
      </c>
      <c r="D844" s="17">
        <v>22991231</v>
      </c>
      <c r="E844" s="24" t="s">
        <v>7128</v>
      </c>
    </row>
    <row r="845" spans="1:5" ht="26" x14ac:dyDescent="0.3">
      <c r="A845" s="17" t="str">
        <f>"22850"</f>
        <v>22850</v>
      </c>
      <c r="B845" s="5" t="s">
        <v>1002</v>
      </c>
      <c r="C845" s="17">
        <v>19900101</v>
      </c>
      <c r="D845" s="17">
        <v>22991231</v>
      </c>
      <c r="E845" s="24" t="s">
        <v>7128</v>
      </c>
    </row>
    <row r="846" spans="1:5" ht="26" x14ac:dyDescent="0.3">
      <c r="A846" s="17" t="str">
        <f>"22853"</f>
        <v>22853</v>
      </c>
      <c r="B846" s="5" t="s">
        <v>1003</v>
      </c>
      <c r="C846" s="17">
        <v>20170101</v>
      </c>
      <c r="D846" s="17">
        <v>22991231</v>
      </c>
      <c r="E846" s="25">
        <v>0</v>
      </c>
    </row>
    <row r="847" spans="1:5" ht="26" x14ac:dyDescent="0.3">
      <c r="A847" s="17" t="str">
        <f>"22854"</f>
        <v>22854</v>
      </c>
      <c r="B847" s="5" t="s">
        <v>1004</v>
      </c>
      <c r="C847" s="17">
        <v>20170101</v>
      </c>
      <c r="D847" s="17">
        <v>22991231</v>
      </c>
      <c r="E847" s="25">
        <v>0</v>
      </c>
    </row>
    <row r="848" spans="1:5" ht="26" x14ac:dyDescent="0.3">
      <c r="A848" s="17" t="str">
        <f>"22856"</f>
        <v>22856</v>
      </c>
      <c r="B848" s="5" t="s">
        <v>1005</v>
      </c>
      <c r="C848" s="17">
        <v>20230101</v>
      </c>
      <c r="D848" s="17">
        <v>22991231</v>
      </c>
      <c r="E848" s="25">
        <v>12596.49</v>
      </c>
    </row>
    <row r="849" spans="1:5" ht="26" x14ac:dyDescent="0.3">
      <c r="A849" s="17" t="str">
        <f>"22858"</f>
        <v>22858</v>
      </c>
      <c r="B849" s="5" t="s">
        <v>1006</v>
      </c>
      <c r="C849" s="17">
        <v>20230101</v>
      </c>
      <c r="D849" s="17">
        <v>22991231</v>
      </c>
      <c r="E849" s="25">
        <v>0</v>
      </c>
    </row>
    <row r="850" spans="1:5" ht="26" x14ac:dyDescent="0.3">
      <c r="A850" s="17" t="str">
        <f>"22859"</f>
        <v>22859</v>
      </c>
      <c r="B850" s="5" t="s">
        <v>1007</v>
      </c>
      <c r="C850" s="17">
        <v>20170101</v>
      </c>
      <c r="D850" s="17">
        <v>22991231</v>
      </c>
      <c r="E850" s="25">
        <v>0</v>
      </c>
    </row>
    <row r="851" spans="1:5" ht="26" x14ac:dyDescent="0.3">
      <c r="A851" s="17" t="str">
        <f>"22867"</f>
        <v>22867</v>
      </c>
      <c r="B851" s="5" t="s">
        <v>1008</v>
      </c>
      <c r="C851" s="17">
        <v>20170101</v>
      </c>
      <c r="D851" s="17">
        <v>22991231</v>
      </c>
      <c r="E851" s="25">
        <v>13440.32</v>
      </c>
    </row>
    <row r="852" spans="1:5" ht="26" x14ac:dyDescent="0.3">
      <c r="A852" s="17" t="str">
        <f>"22868"</f>
        <v>22868</v>
      </c>
      <c r="B852" s="5" t="s">
        <v>1009</v>
      </c>
      <c r="C852" s="17">
        <v>20170101</v>
      </c>
      <c r="D852" s="17">
        <v>22991231</v>
      </c>
      <c r="E852" s="25">
        <v>0</v>
      </c>
    </row>
    <row r="853" spans="1:5" ht="26" x14ac:dyDescent="0.3">
      <c r="A853" s="17" t="str">
        <f>"22869"</f>
        <v>22869</v>
      </c>
      <c r="B853" s="5" t="s">
        <v>1010</v>
      </c>
      <c r="C853" s="17">
        <v>20170101</v>
      </c>
      <c r="D853" s="17">
        <v>22991231</v>
      </c>
      <c r="E853" s="25">
        <v>10030.6</v>
      </c>
    </row>
    <row r="854" spans="1:5" ht="26" x14ac:dyDescent="0.3">
      <c r="A854" s="17" t="str">
        <f>"22870"</f>
        <v>22870</v>
      </c>
      <c r="B854" s="5" t="s">
        <v>1011</v>
      </c>
      <c r="C854" s="17">
        <v>20170101</v>
      </c>
      <c r="D854" s="17">
        <v>22991231</v>
      </c>
      <c r="E854" s="25">
        <v>0</v>
      </c>
    </row>
    <row r="855" spans="1:5" x14ac:dyDescent="0.3">
      <c r="A855" s="17" t="str">
        <f>"22899"</f>
        <v>22899</v>
      </c>
      <c r="B855" s="5" t="s">
        <v>1012</v>
      </c>
      <c r="C855" s="17">
        <v>19900101</v>
      </c>
      <c r="D855" s="17">
        <v>22991231</v>
      </c>
      <c r="E855" s="24" t="s">
        <v>7128</v>
      </c>
    </row>
    <row r="856" spans="1:5" ht="26" x14ac:dyDescent="0.3">
      <c r="A856" s="17" t="str">
        <f>"22900"</f>
        <v>22900</v>
      </c>
      <c r="B856" s="5" t="s">
        <v>1013</v>
      </c>
      <c r="C856" s="17">
        <v>19900101</v>
      </c>
      <c r="D856" s="17">
        <v>22991231</v>
      </c>
      <c r="E856" s="25">
        <v>1105.24</v>
      </c>
    </row>
    <row r="857" spans="1:5" ht="26" x14ac:dyDescent="0.3">
      <c r="A857" s="17" t="str">
        <f>"22901"</f>
        <v>22901</v>
      </c>
      <c r="B857" s="5" t="s">
        <v>1014</v>
      </c>
      <c r="C857" s="17">
        <v>20100101</v>
      </c>
      <c r="D857" s="17">
        <v>22991231</v>
      </c>
      <c r="E857" s="25">
        <v>1105.24</v>
      </c>
    </row>
    <row r="858" spans="1:5" ht="26" x14ac:dyDescent="0.3">
      <c r="A858" s="17" t="str">
        <f>"22902"</f>
        <v>22902</v>
      </c>
      <c r="B858" s="5" t="s">
        <v>1015</v>
      </c>
      <c r="C858" s="17">
        <v>20100101</v>
      </c>
      <c r="D858" s="17">
        <v>22991231</v>
      </c>
      <c r="E858" s="25">
        <v>652.27</v>
      </c>
    </row>
    <row r="859" spans="1:5" ht="26" x14ac:dyDescent="0.3">
      <c r="A859" s="17" t="str">
        <f>"22903"</f>
        <v>22903</v>
      </c>
      <c r="B859" s="5" t="s">
        <v>1016</v>
      </c>
      <c r="C859" s="17">
        <v>20100101</v>
      </c>
      <c r="D859" s="17">
        <v>22991231</v>
      </c>
      <c r="E859" s="25">
        <v>1105.24</v>
      </c>
    </row>
    <row r="860" spans="1:5" ht="26" x14ac:dyDescent="0.3">
      <c r="A860" s="17" t="str">
        <f>"22904"</f>
        <v>22904</v>
      </c>
      <c r="B860" s="5" t="s">
        <v>1017</v>
      </c>
      <c r="C860" s="17">
        <v>20100101</v>
      </c>
      <c r="D860" s="17">
        <v>22991231</v>
      </c>
      <c r="E860" s="25">
        <v>1105.24</v>
      </c>
    </row>
    <row r="861" spans="1:5" ht="26" x14ac:dyDescent="0.3">
      <c r="A861" s="17" t="str">
        <f>"22905"</f>
        <v>22905</v>
      </c>
      <c r="B861" s="5" t="s">
        <v>1018</v>
      </c>
      <c r="C861" s="17">
        <v>20100101</v>
      </c>
      <c r="D861" s="17">
        <v>22991231</v>
      </c>
      <c r="E861" s="25">
        <v>1105.24</v>
      </c>
    </row>
    <row r="862" spans="1:5" x14ac:dyDescent="0.3">
      <c r="A862" s="17" t="str">
        <f>"22999"</f>
        <v>22999</v>
      </c>
      <c r="B862" s="5" t="s">
        <v>1019</v>
      </c>
      <c r="C862" s="17">
        <v>19900101</v>
      </c>
      <c r="D862" s="17">
        <v>22991231</v>
      </c>
      <c r="E862" s="24" t="s">
        <v>7128</v>
      </c>
    </row>
    <row r="863" spans="1:5" ht="26" x14ac:dyDescent="0.3">
      <c r="A863" s="17" t="str">
        <f>"23000"</f>
        <v>23000</v>
      </c>
      <c r="B863" s="5" t="s">
        <v>1020</v>
      </c>
      <c r="C863" s="17">
        <v>19900101</v>
      </c>
      <c r="D863" s="17">
        <v>22991231</v>
      </c>
      <c r="E863" s="25">
        <v>1105.24</v>
      </c>
    </row>
    <row r="864" spans="1:5" x14ac:dyDescent="0.3">
      <c r="A864" s="17" t="str">
        <f>"23020"</f>
        <v>23020</v>
      </c>
      <c r="B864" s="5" t="s">
        <v>1021</v>
      </c>
      <c r="C864" s="17">
        <v>19900101</v>
      </c>
      <c r="D864" s="17">
        <v>22991231</v>
      </c>
      <c r="E864" s="25">
        <v>1450.8</v>
      </c>
    </row>
    <row r="865" spans="1:5" ht="26" x14ac:dyDescent="0.3">
      <c r="A865" s="17" t="str">
        <f>"23030"</f>
        <v>23030</v>
      </c>
      <c r="B865" s="5" t="s">
        <v>1022</v>
      </c>
      <c r="C865" s="17">
        <v>19900101</v>
      </c>
      <c r="D865" s="17">
        <v>22991231</v>
      </c>
      <c r="E865" s="25">
        <v>1105.24</v>
      </c>
    </row>
    <row r="866" spans="1:5" ht="26" x14ac:dyDescent="0.3">
      <c r="A866" s="17" t="str">
        <f>"23031"</f>
        <v>23031</v>
      </c>
      <c r="B866" s="5" t="s">
        <v>1023</v>
      </c>
      <c r="C866" s="17">
        <v>19900101</v>
      </c>
      <c r="D866" s="17">
        <v>22991231</v>
      </c>
      <c r="E866" s="25">
        <v>1105.24</v>
      </c>
    </row>
    <row r="867" spans="1:5" ht="26" x14ac:dyDescent="0.3">
      <c r="A867" s="17" t="str">
        <f>"23035"</f>
        <v>23035</v>
      </c>
      <c r="B867" s="5" t="s">
        <v>1024</v>
      </c>
      <c r="C867" s="17">
        <v>19900101</v>
      </c>
      <c r="D867" s="17">
        <v>22991231</v>
      </c>
      <c r="E867" s="25">
        <v>782.3</v>
      </c>
    </row>
    <row r="868" spans="1:5" ht="26" x14ac:dyDescent="0.3">
      <c r="A868" s="17" t="str">
        <f>"23040"</f>
        <v>23040</v>
      </c>
      <c r="B868" s="5" t="s">
        <v>1025</v>
      </c>
      <c r="C868" s="17">
        <v>19900101</v>
      </c>
      <c r="D868" s="17">
        <v>22991231</v>
      </c>
      <c r="E868" s="25">
        <v>1450.8</v>
      </c>
    </row>
    <row r="869" spans="1:5" ht="26" x14ac:dyDescent="0.3">
      <c r="A869" s="17" t="str">
        <f>"23044"</f>
        <v>23044</v>
      </c>
      <c r="B869" s="5" t="s">
        <v>1026</v>
      </c>
      <c r="C869" s="17">
        <v>19900101</v>
      </c>
      <c r="D869" s="17">
        <v>22991231</v>
      </c>
      <c r="E869" s="25">
        <v>1450.8</v>
      </c>
    </row>
    <row r="870" spans="1:5" x14ac:dyDescent="0.3">
      <c r="A870" s="17" t="str">
        <f>"23065"</f>
        <v>23065</v>
      </c>
      <c r="B870" s="5" t="s">
        <v>1027</v>
      </c>
      <c r="C870" s="17">
        <v>19900101</v>
      </c>
      <c r="D870" s="17">
        <v>22991231</v>
      </c>
      <c r="E870" s="25">
        <v>130.11000000000001</v>
      </c>
    </row>
    <row r="871" spans="1:5" x14ac:dyDescent="0.3">
      <c r="A871" s="17" t="str">
        <f>"23066"</f>
        <v>23066</v>
      </c>
      <c r="B871" s="5" t="s">
        <v>1028</v>
      </c>
      <c r="C871" s="17">
        <v>19900101</v>
      </c>
      <c r="D871" s="17">
        <v>22991231</v>
      </c>
      <c r="E871" s="25">
        <v>1105.24</v>
      </c>
    </row>
    <row r="872" spans="1:5" ht="26" x14ac:dyDescent="0.3">
      <c r="A872" s="17" t="str">
        <f>"23071"</f>
        <v>23071</v>
      </c>
      <c r="B872" s="5" t="s">
        <v>1029</v>
      </c>
      <c r="C872" s="17">
        <v>20100101</v>
      </c>
      <c r="D872" s="17">
        <v>22991231</v>
      </c>
      <c r="E872" s="25">
        <v>652.27</v>
      </c>
    </row>
    <row r="873" spans="1:5" ht="26" x14ac:dyDescent="0.3">
      <c r="A873" s="17" t="str">
        <f>"23073"</f>
        <v>23073</v>
      </c>
      <c r="B873" s="5" t="s">
        <v>1030</v>
      </c>
      <c r="C873" s="17">
        <v>20100101</v>
      </c>
      <c r="D873" s="17">
        <v>22991231</v>
      </c>
      <c r="E873" s="25">
        <v>1105.24</v>
      </c>
    </row>
    <row r="874" spans="1:5" ht="26" x14ac:dyDescent="0.3">
      <c r="A874" s="17" t="str">
        <f>"23075"</f>
        <v>23075</v>
      </c>
      <c r="B874" s="5" t="s">
        <v>1031</v>
      </c>
      <c r="C874" s="17">
        <v>19900101</v>
      </c>
      <c r="D874" s="17">
        <v>22991231</v>
      </c>
      <c r="E874" s="25">
        <v>652.27</v>
      </c>
    </row>
    <row r="875" spans="1:5" ht="26" x14ac:dyDescent="0.3">
      <c r="A875" s="17" t="str">
        <f>"23076"</f>
        <v>23076</v>
      </c>
      <c r="B875" s="5" t="s">
        <v>1032</v>
      </c>
      <c r="C875" s="17">
        <v>19900101</v>
      </c>
      <c r="D875" s="17">
        <v>22991231</v>
      </c>
      <c r="E875" s="25">
        <v>1105.24</v>
      </c>
    </row>
    <row r="876" spans="1:5" ht="26" x14ac:dyDescent="0.3">
      <c r="A876" s="17" t="str">
        <f>"23077"</f>
        <v>23077</v>
      </c>
      <c r="B876" s="5" t="s">
        <v>1033</v>
      </c>
      <c r="C876" s="17">
        <v>19970801</v>
      </c>
      <c r="D876" s="17">
        <v>22991231</v>
      </c>
      <c r="E876" s="25">
        <v>1105.24</v>
      </c>
    </row>
    <row r="877" spans="1:5" ht="26" x14ac:dyDescent="0.3">
      <c r="A877" s="17" t="str">
        <f>"23078"</f>
        <v>23078</v>
      </c>
      <c r="B877" s="5" t="s">
        <v>1034</v>
      </c>
      <c r="C877" s="17">
        <v>20100101</v>
      </c>
      <c r="D877" s="17">
        <v>22991231</v>
      </c>
      <c r="E877" s="25">
        <v>1105.24</v>
      </c>
    </row>
    <row r="878" spans="1:5" x14ac:dyDescent="0.3">
      <c r="A878" s="17" t="str">
        <f>"23100"</f>
        <v>23100</v>
      </c>
      <c r="B878" s="5" t="s">
        <v>1035</v>
      </c>
      <c r="C878" s="17">
        <v>19900101</v>
      </c>
      <c r="D878" s="17">
        <v>22991231</v>
      </c>
      <c r="E878" s="25">
        <v>1450.8</v>
      </c>
    </row>
    <row r="879" spans="1:5" ht="26" x14ac:dyDescent="0.3">
      <c r="A879" s="17" t="str">
        <f>"23101"</f>
        <v>23101</v>
      </c>
      <c r="B879" s="5" t="s">
        <v>1036</v>
      </c>
      <c r="C879" s="17">
        <v>19900101</v>
      </c>
      <c r="D879" s="17">
        <v>22991231</v>
      </c>
      <c r="E879" s="25">
        <v>1450.8</v>
      </c>
    </row>
    <row r="880" spans="1:5" x14ac:dyDescent="0.3">
      <c r="A880" s="17" t="str">
        <f>"23105"</f>
        <v>23105</v>
      </c>
      <c r="B880" s="5" t="s">
        <v>1037</v>
      </c>
      <c r="C880" s="17">
        <v>19900101</v>
      </c>
      <c r="D880" s="17">
        <v>22991231</v>
      </c>
      <c r="E880" s="25">
        <v>3240.75</v>
      </c>
    </row>
    <row r="881" spans="1:5" ht="26" x14ac:dyDescent="0.3">
      <c r="A881" s="17" t="str">
        <f>"23106"</f>
        <v>23106</v>
      </c>
      <c r="B881" s="5" t="s">
        <v>1038</v>
      </c>
      <c r="C881" s="17">
        <v>19900101</v>
      </c>
      <c r="D881" s="17">
        <v>22991231</v>
      </c>
      <c r="E881" s="25">
        <v>1450.8</v>
      </c>
    </row>
    <row r="882" spans="1:5" x14ac:dyDescent="0.3">
      <c r="A882" s="17" t="str">
        <f>"23107"</f>
        <v>23107</v>
      </c>
      <c r="B882" s="5" t="s">
        <v>1039</v>
      </c>
      <c r="C882" s="17">
        <v>19900101</v>
      </c>
      <c r="D882" s="17">
        <v>22991231</v>
      </c>
      <c r="E882" s="25">
        <v>3240.75</v>
      </c>
    </row>
    <row r="883" spans="1:5" x14ac:dyDescent="0.3">
      <c r="A883" s="17" t="str">
        <f>"23120"</f>
        <v>23120</v>
      </c>
      <c r="B883" s="5" t="s">
        <v>1040</v>
      </c>
      <c r="C883" s="17">
        <v>19900101</v>
      </c>
      <c r="D883" s="17">
        <v>22991231</v>
      </c>
      <c r="E883" s="25">
        <v>1450.8</v>
      </c>
    </row>
    <row r="884" spans="1:5" x14ac:dyDescent="0.3">
      <c r="A884" s="17" t="str">
        <f>"23125"</f>
        <v>23125</v>
      </c>
      <c r="B884" s="5" t="s">
        <v>1041</v>
      </c>
      <c r="C884" s="17">
        <v>19900101</v>
      </c>
      <c r="D884" s="17">
        <v>22991231</v>
      </c>
      <c r="E884" s="25">
        <v>1450.8</v>
      </c>
    </row>
    <row r="885" spans="1:5" ht="26" x14ac:dyDescent="0.3">
      <c r="A885" s="17" t="str">
        <f>"23130"</f>
        <v>23130</v>
      </c>
      <c r="B885" s="5" t="s">
        <v>1042</v>
      </c>
      <c r="C885" s="17">
        <v>19900101</v>
      </c>
      <c r="D885" s="17">
        <v>22991231</v>
      </c>
      <c r="E885" s="25">
        <v>1450.8</v>
      </c>
    </row>
    <row r="886" spans="1:5" ht="26" x14ac:dyDescent="0.3">
      <c r="A886" s="17" t="str">
        <f>"23140"</f>
        <v>23140</v>
      </c>
      <c r="B886" s="5" t="s">
        <v>1043</v>
      </c>
      <c r="C886" s="17">
        <v>19900101</v>
      </c>
      <c r="D886" s="17">
        <v>22991231</v>
      </c>
      <c r="E886" s="25">
        <v>1450.8</v>
      </c>
    </row>
    <row r="887" spans="1:5" ht="26" x14ac:dyDescent="0.3">
      <c r="A887" s="17" t="str">
        <f>"23145"</f>
        <v>23145</v>
      </c>
      <c r="B887" s="5" t="s">
        <v>1044</v>
      </c>
      <c r="C887" s="17">
        <v>19900101</v>
      </c>
      <c r="D887" s="17">
        <v>22991231</v>
      </c>
      <c r="E887" s="25">
        <v>1450.8</v>
      </c>
    </row>
    <row r="888" spans="1:5" ht="26" x14ac:dyDescent="0.3">
      <c r="A888" s="17" t="str">
        <f>"23146"</f>
        <v>23146</v>
      </c>
      <c r="B888" s="5" t="s">
        <v>1045</v>
      </c>
      <c r="C888" s="17">
        <v>19900101</v>
      </c>
      <c r="D888" s="17">
        <v>22991231</v>
      </c>
      <c r="E888" s="25">
        <v>3240.75</v>
      </c>
    </row>
    <row r="889" spans="1:5" ht="26" x14ac:dyDescent="0.3">
      <c r="A889" s="17" t="str">
        <f>"23150"</f>
        <v>23150</v>
      </c>
      <c r="B889" s="5" t="s">
        <v>1046</v>
      </c>
      <c r="C889" s="17">
        <v>19900101</v>
      </c>
      <c r="D889" s="17">
        <v>22991231</v>
      </c>
      <c r="E889" s="25">
        <v>1450.8</v>
      </c>
    </row>
    <row r="890" spans="1:5" ht="26" x14ac:dyDescent="0.3">
      <c r="A890" s="17" t="str">
        <f>"23155"</f>
        <v>23155</v>
      </c>
      <c r="B890" s="5" t="s">
        <v>1047</v>
      </c>
      <c r="C890" s="17">
        <v>19900101</v>
      </c>
      <c r="D890" s="17">
        <v>22991231</v>
      </c>
      <c r="E890" s="25">
        <v>3240.75</v>
      </c>
    </row>
    <row r="891" spans="1:5" ht="26" x14ac:dyDescent="0.3">
      <c r="A891" s="17" t="str">
        <f>"23156"</f>
        <v>23156</v>
      </c>
      <c r="B891" s="5" t="s">
        <v>1048</v>
      </c>
      <c r="C891" s="17">
        <v>19900101</v>
      </c>
      <c r="D891" s="17">
        <v>22991231</v>
      </c>
      <c r="E891" s="25">
        <v>3240.75</v>
      </c>
    </row>
    <row r="892" spans="1:5" ht="26" x14ac:dyDescent="0.3">
      <c r="A892" s="17" t="str">
        <f>"23170"</f>
        <v>23170</v>
      </c>
      <c r="B892" s="5" t="s">
        <v>1049</v>
      </c>
      <c r="C892" s="17">
        <v>19900101</v>
      </c>
      <c r="D892" s="17">
        <v>22991231</v>
      </c>
      <c r="E892" s="25">
        <v>1991.87</v>
      </c>
    </row>
    <row r="893" spans="1:5" ht="26" x14ac:dyDescent="0.3">
      <c r="A893" s="17" t="str">
        <f>"23172"</f>
        <v>23172</v>
      </c>
      <c r="B893" s="5" t="s">
        <v>1050</v>
      </c>
      <c r="C893" s="17">
        <v>19900101</v>
      </c>
      <c r="D893" s="17">
        <v>22991231</v>
      </c>
      <c r="E893" s="25">
        <v>1450.8</v>
      </c>
    </row>
    <row r="894" spans="1:5" ht="26" x14ac:dyDescent="0.3">
      <c r="A894" s="17" t="str">
        <f>"23174"</f>
        <v>23174</v>
      </c>
      <c r="B894" s="5" t="s">
        <v>1051</v>
      </c>
      <c r="C894" s="17">
        <v>19900101</v>
      </c>
      <c r="D894" s="17">
        <v>22991231</v>
      </c>
      <c r="E894" s="25">
        <v>3240.75</v>
      </c>
    </row>
    <row r="895" spans="1:5" x14ac:dyDescent="0.3">
      <c r="A895" s="17" t="str">
        <f>"23180"</f>
        <v>23180</v>
      </c>
      <c r="B895" s="5" t="s">
        <v>1052</v>
      </c>
      <c r="C895" s="17">
        <v>19900101</v>
      </c>
      <c r="D895" s="17">
        <v>22991231</v>
      </c>
      <c r="E895" s="25">
        <v>3240.75</v>
      </c>
    </row>
    <row r="896" spans="1:5" x14ac:dyDescent="0.3">
      <c r="A896" s="17" t="str">
        <f>"23182"</f>
        <v>23182</v>
      </c>
      <c r="B896" s="5" t="s">
        <v>1053</v>
      </c>
      <c r="C896" s="17">
        <v>19900101</v>
      </c>
      <c r="D896" s="17">
        <v>22991231</v>
      </c>
      <c r="E896" s="25">
        <v>3240.75</v>
      </c>
    </row>
    <row r="897" spans="1:5" ht="26" x14ac:dyDescent="0.3">
      <c r="A897" s="17" t="str">
        <f>"23184"</f>
        <v>23184</v>
      </c>
      <c r="B897" s="5" t="s">
        <v>1054</v>
      </c>
      <c r="C897" s="17">
        <v>19900101</v>
      </c>
      <c r="D897" s="17">
        <v>22991231</v>
      </c>
      <c r="E897" s="25">
        <v>3240.75</v>
      </c>
    </row>
    <row r="898" spans="1:5" x14ac:dyDescent="0.3">
      <c r="A898" s="17" t="str">
        <f>"23190"</f>
        <v>23190</v>
      </c>
      <c r="B898" s="5" t="s">
        <v>1055</v>
      </c>
      <c r="C898" s="17">
        <v>19900101</v>
      </c>
      <c r="D898" s="17">
        <v>22991231</v>
      </c>
      <c r="E898" s="25">
        <v>1450.8</v>
      </c>
    </row>
    <row r="899" spans="1:5" x14ac:dyDescent="0.3">
      <c r="A899" s="17" t="str">
        <f>"23195"</f>
        <v>23195</v>
      </c>
      <c r="B899" s="5" t="s">
        <v>1056</v>
      </c>
      <c r="C899" s="17">
        <v>19900101</v>
      </c>
      <c r="D899" s="17">
        <v>22991231</v>
      </c>
      <c r="E899" s="25">
        <v>4081.38</v>
      </c>
    </row>
    <row r="900" spans="1:5" ht="26" x14ac:dyDescent="0.3">
      <c r="A900" s="17" t="str">
        <f>"23330"</f>
        <v>23330</v>
      </c>
      <c r="B900" s="5" t="s">
        <v>1057</v>
      </c>
      <c r="C900" s="17">
        <v>19900101</v>
      </c>
      <c r="D900" s="17">
        <v>22991231</v>
      </c>
      <c r="E900" s="25">
        <v>652.27</v>
      </c>
    </row>
    <row r="901" spans="1:5" ht="26" x14ac:dyDescent="0.3">
      <c r="A901" s="17" t="str">
        <f>"23333"</f>
        <v>23333</v>
      </c>
      <c r="B901" s="5" t="s">
        <v>1058</v>
      </c>
      <c r="C901" s="17">
        <v>20230101</v>
      </c>
      <c r="D901" s="17">
        <v>22991231</v>
      </c>
      <c r="E901" s="25">
        <v>1105.24</v>
      </c>
    </row>
    <row r="902" spans="1:5" ht="26" x14ac:dyDescent="0.3">
      <c r="A902" s="17" t="str">
        <f>"23334"</f>
        <v>23334</v>
      </c>
      <c r="B902" s="5" t="s">
        <v>1059</v>
      </c>
      <c r="C902" s="17">
        <v>20230101</v>
      </c>
      <c r="D902" s="17">
        <v>22991231</v>
      </c>
      <c r="E902" s="25">
        <v>1105.24</v>
      </c>
    </row>
    <row r="903" spans="1:5" ht="26" x14ac:dyDescent="0.3">
      <c r="A903" s="17" t="str">
        <f>"23350"</f>
        <v>23350</v>
      </c>
      <c r="B903" s="5" t="s">
        <v>1060</v>
      </c>
      <c r="C903" s="17">
        <v>19900101</v>
      </c>
      <c r="D903" s="17">
        <v>22991231</v>
      </c>
      <c r="E903" s="25">
        <v>0</v>
      </c>
    </row>
    <row r="904" spans="1:5" ht="26" x14ac:dyDescent="0.3">
      <c r="A904" s="17" t="str">
        <f>"23395"</f>
        <v>23395</v>
      </c>
      <c r="B904" s="5" t="s">
        <v>1061</v>
      </c>
      <c r="C904" s="17">
        <v>19900101</v>
      </c>
      <c r="D904" s="17">
        <v>22991231</v>
      </c>
      <c r="E904" s="25">
        <v>4056.71</v>
      </c>
    </row>
    <row r="905" spans="1:5" ht="26" x14ac:dyDescent="0.3">
      <c r="A905" s="17" t="str">
        <f>"23397"</f>
        <v>23397</v>
      </c>
      <c r="B905" s="5" t="s">
        <v>1062</v>
      </c>
      <c r="C905" s="17">
        <v>19900101</v>
      </c>
      <c r="D905" s="17">
        <v>22991231</v>
      </c>
      <c r="E905" s="25">
        <v>3240.75</v>
      </c>
    </row>
    <row r="906" spans="1:5" x14ac:dyDescent="0.3">
      <c r="A906" s="17" t="str">
        <f>"23400"</f>
        <v>23400</v>
      </c>
      <c r="B906" s="5" t="s">
        <v>1063</v>
      </c>
      <c r="C906" s="17">
        <v>19900101</v>
      </c>
      <c r="D906" s="17">
        <v>22991231</v>
      </c>
      <c r="E906" s="25">
        <v>3240.75</v>
      </c>
    </row>
    <row r="907" spans="1:5" x14ac:dyDescent="0.3">
      <c r="A907" s="17" t="str">
        <f>"23405"</f>
        <v>23405</v>
      </c>
      <c r="B907" s="5" t="s">
        <v>1064</v>
      </c>
      <c r="C907" s="17">
        <v>19900101</v>
      </c>
      <c r="D907" s="17">
        <v>22991231</v>
      </c>
      <c r="E907" s="25">
        <v>3240.75</v>
      </c>
    </row>
    <row r="908" spans="1:5" ht="26" x14ac:dyDescent="0.3">
      <c r="A908" s="17" t="str">
        <f>"23406"</f>
        <v>23406</v>
      </c>
      <c r="B908" s="5" t="s">
        <v>1065</v>
      </c>
      <c r="C908" s="17">
        <v>19900101</v>
      </c>
      <c r="D908" s="17">
        <v>22991231</v>
      </c>
      <c r="E908" s="25">
        <v>3240.75</v>
      </c>
    </row>
    <row r="909" spans="1:5" x14ac:dyDescent="0.3">
      <c r="A909" s="17" t="str">
        <f>"23410"</f>
        <v>23410</v>
      </c>
      <c r="B909" s="5" t="s">
        <v>1066</v>
      </c>
      <c r="C909" s="17">
        <v>19900101</v>
      </c>
      <c r="D909" s="17">
        <v>22991231</v>
      </c>
      <c r="E909" s="25">
        <v>3240.75</v>
      </c>
    </row>
    <row r="910" spans="1:5" x14ac:dyDescent="0.3">
      <c r="A910" s="17" t="str">
        <f>"23412"</f>
        <v>23412</v>
      </c>
      <c r="B910" s="5" t="s">
        <v>1067</v>
      </c>
      <c r="C910" s="17">
        <v>19900101</v>
      </c>
      <c r="D910" s="17">
        <v>22991231</v>
      </c>
      <c r="E910" s="25">
        <v>3240.75</v>
      </c>
    </row>
    <row r="911" spans="1:5" x14ac:dyDescent="0.3">
      <c r="A911" s="17" t="str">
        <f>"23415"</f>
        <v>23415</v>
      </c>
      <c r="B911" s="5" t="s">
        <v>1068</v>
      </c>
      <c r="C911" s="17">
        <v>19900101</v>
      </c>
      <c r="D911" s="17">
        <v>22991231</v>
      </c>
      <c r="E911" s="25">
        <v>3240.75</v>
      </c>
    </row>
    <row r="912" spans="1:5" ht="26" x14ac:dyDescent="0.3">
      <c r="A912" s="17" t="str">
        <f>"23420"</f>
        <v>23420</v>
      </c>
      <c r="B912" s="5" t="s">
        <v>1069</v>
      </c>
      <c r="C912" s="17">
        <v>19900101</v>
      </c>
      <c r="D912" s="17">
        <v>22991231</v>
      </c>
      <c r="E912" s="25">
        <v>3240.75</v>
      </c>
    </row>
    <row r="913" spans="1:5" x14ac:dyDescent="0.3">
      <c r="A913" s="17" t="str">
        <f>"23430"</f>
        <v>23430</v>
      </c>
      <c r="B913" s="5" t="s">
        <v>1070</v>
      </c>
      <c r="C913" s="17">
        <v>19900101</v>
      </c>
      <c r="D913" s="17">
        <v>22991231</v>
      </c>
      <c r="E913" s="25">
        <v>4239.4799999999996</v>
      </c>
    </row>
    <row r="914" spans="1:5" x14ac:dyDescent="0.3">
      <c r="A914" s="17" t="str">
        <f>"23440"</f>
        <v>23440</v>
      </c>
      <c r="B914" s="5" t="s">
        <v>1071</v>
      </c>
      <c r="C914" s="17">
        <v>19900101</v>
      </c>
      <c r="D914" s="17">
        <v>22991231</v>
      </c>
      <c r="E914" s="25">
        <v>4654.1000000000004</v>
      </c>
    </row>
    <row r="915" spans="1:5" ht="26" x14ac:dyDescent="0.3">
      <c r="A915" s="17" t="str">
        <f>"23450"</f>
        <v>23450</v>
      </c>
      <c r="B915" s="5" t="s">
        <v>1072</v>
      </c>
      <c r="C915" s="17">
        <v>19900101</v>
      </c>
      <c r="D915" s="17">
        <v>22991231</v>
      </c>
      <c r="E915" s="25">
        <v>3240.75</v>
      </c>
    </row>
    <row r="916" spans="1:5" ht="39" x14ac:dyDescent="0.3">
      <c r="A916" s="17" t="str">
        <f>"23455"</f>
        <v>23455</v>
      </c>
      <c r="B916" s="5" t="s">
        <v>1073</v>
      </c>
      <c r="C916" s="17">
        <v>19900101</v>
      </c>
      <c r="D916" s="17">
        <v>22991231</v>
      </c>
      <c r="E916" s="25">
        <v>3240.75</v>
      </c>
    </row>
    <row r="917" spans="1:5" ht="26" x14ac:dyDescent="0.3">
      <c r="A917" s="17" t="str">
        <f>"23460"</f>
        <v>23460</v>
      </c>
      <c r="B917" s="5" t="s">
        <v>1074</v>
      </c>
      <c r="C917" s="17">
        <v>19900101</v>
      </c>
      <c r="D917" s="17">
        <v>22991231</v>
      </c>
      <c r="E917" s="25">
        <v>4081.38</v>
      </c>
    </row>
    <row r="918" spans="1:5" ht="26" x14ac:dyDescent="0.3">
      <c r="A918" s="17" t="str">
        <f>"23462"</f>
        <v>23462</v>
      </c>
      <c r="B918" s="5" t="s">
        <v>1075</v>
      </c>
      <c r="C918" s="17">
        <v>19900101</v>
      </c>
      <c r="D918" s="17">
        <v>22991231</v>
      </c>
      <c r="E918" s="25">
        <v>3240.75</v>
      </c>
    </row>
    <row r="919" spans="1:5" ht="26" x14ac:dyDescent="0.3">
      <c r="A919" s="17" t="str">
        <f>"23465"</f>
        <v>23465</v>
      </c>
      <c r="B919" s="5" t="s">
        <v>1076</v>
      </c>
      <c r="C919" s="17">
        <v>19900101</v>
      </c>
      <c r="D919" s="17">
        <v>22991231</v>
      </c>
      <c r="E919" s="25">
        <v>3240.75</v>
      </c>
    </row>
    <row r="920" spans="1:5" x14ac:dyDescent="0.3">
      <c r="A920" s="17" t="str">
        <f>"23466"</f>
        <v>23466</v>
      </c>
      <c r="B920" s="5" t="s">
        <v>1077</v>
      </c>
      <c r="C920" s="17">
        <v>19900101</v>
      </c>
      <c r="D920" s="17">
        <v>22991231</v>
      </c>
      <c r="E920" s="25">
        <v>3240.75</v>
      </c>
    </row>
    <row r="921" spans="1:5" x14ac:dyDescent="0.3">
      <c r="A921" s="17" t="str">
        <f>"23470"</f>
        <v>23470</v>
      </c>
      <c r="B921" s="5" t="s">
        <v>1078</v>
      </c>
      <c r="C921" s="17">
        <v>19900101</v>
      </c>
      <c r="D921" s="17">
        <v>22991231</v>
      </c>
      <c r="E921" s="25">
        <v>8883.4699999999993</v>
      </c>
    </row>
    <row r="922" spans="1:5" x14ac:dyDescent="0.3">
      <c r="A922" s="17" t="str">
        <f>"23472"</f>
        <v>23472</v>
      </c>
      <c r="B922" s="5" t="s">
        <v>1079</v>
      </c>
      <c r="C922" s="17">
        <v>19900101</v>
      </c>
      <c r="D922" s="17">
        <v>22991231</v>
      </c>
      <c r="E922" s="25">
        <v>13364.69</v>
      </c>
    </row>
    <row r="923" spans="1:5" x14ac:dyDescent="0.3">
      <c r="A923" s="17" t="str">
        <f>"23480"</f>
        <v>23480</v>
      </c>
      <c r="B923" s="5" t="s">
        <v>1080</v>
      </c>
      <c r="C923" s="17">
        <v>19900101</v>
      </c>
      <c r="D923" s="17">
        <v>22991231</v>
      </c>
      <c r="E923" s="25">
        <v>3240.75</v>
      </c>
    </row>
    <row r="924" spans="1:5" ht="26" x14ac:dyDescent="0.3">
      <c r="A924" s="17" t="str">
        <f>"23485"</f>
        <v>23485</v>
      </c>
      <c r="B924" s="5" t="s">
        <v>1081</v>
      </c>
      <c r="C924" s="17">
        <v>19900101</v>
      </c>
      <c r="D924" s="17">
        <v>22991231</v>
      </c>
      <c r="E924" s="25">
        <v>8190.4</v>
      </c>
    </row>
    <row r="925" spans="1:5" x14ac:dyDescent="0.3">
      <c r="A925" s="17" t="str">
        <f>"23490"</f>
        <v>23490</v>
      </c>
      <c r="B925" s="5" t="s">
        <v>1082</v>
      </c>
      <c r="C925" s="17">
        <v>19970801</v>
      </c>
      <c r="D925" s="17">
        <v>22991231</v>
      </c>
      <c r="E925" s="25">
        <v>3240.75</v>
      </c>
    </row>
    <row r="926" spans="1:5" ht="26" x14ac:dyDescent="0.3">
      <c r="A926" s="17" t="str">
        <f>"23491"</f>
        <v>23491</v>
      </c>
      <c r="B926" s="5" t="s">
        <v>1083</v>
      </c>
      <c r="C926" s="17">
        <v>19970801</v>
      </c>
      <c r="D926" s="17">
        <v>22991231</v>
      </c>
      <c r="E926" s="25">
        <v>8518.24</v>
      </c>
    </row>
    <row r="927" spans="1:5" x14ac:dyDescent="0.3">
      <c r="A927" s="17" t="str">
        <f>"23500"</f>
        <v>23500</v>
      </c>
      <c r="B927" s="5" t="s">
        <v>1084</v>
      </c>
      <c r="C927" s="17">
        <v>19900101</v>
      </c>
      <c r="D927" s="17">
        <v>22991231</v>
      </c>
      <c r="E927" s="25">
        <v>116.84</v>
      </c>
    </row>
    <row r="928" spans="1:5" ht="26" x14ac:dyDescent="0.3">
      <c r="A928" s="17" t="str">
        <f>"23505"</f>
        <v>23505</v>
      </c>
      <c r="B928" s="5" t="s">
        <v>1085</v>
      </c>
      <c r="C928" s="17">
        <v>19900101</v>
      </c>
      <c r="D928" s="17">
        <v>22991231</v>
      </c>
      <c r="E928" s="25">
        <v>782.3</v>
      </c>
    </row>
    <row r="929" spans="1:5" x14ac:dyDescent="0.3">
      <c r="A929" s="17" t="str">
        <f>"23515"</f>
        <v>23515</v>
      </c>
      <c r="B929" s="5" t="s">
        <v>1086</v>
      </c>
      <c r="C929" s="17">
        <v>19900101</v>
      </c>
      <c r="D929" s="17">
        <v>22991231</v>
      </c>
      <c r="E929" s="25">
        <v>4260.3599999999997</v>
      </c>
    </row>
    <row r="930" spans="1:5" ht="26" x14ac:dyDescent="0.3">
      <c r="A930" s="17" t="str">
        <f>"23520"</f>
        <v>23520</v>
      </c>
      <c r="B930" s="5" t="s">
        <v>1087</v>
      </c>
      <c r="C930" s="17">
        <v>19900101</v>
      </c>
      <c r="D930" s="17">
        <v>22991231</v>
      </c>
      <c r="E930" s="25">
        <v>782.3</v>
      </c>
    </row>
    <row r="931" spans="1:5" ht="26" x14ac:dyDescent="0.3">
      <c r="A931" s="17" t="str">
        <f>"23525"</f>
        <v>23525</v>
      </c>
      <c r="B931" s="5" t="s">
        <v>1088</v>
      </c>
      <c r="C931" s="17">
        <v>19900101</v>
      </c>
      <c r="D931" s="17">
        <v>22991231</v>
      </c>
      <c r="E931" s="25">
        <v>116.84</v>
      </c>
    </row>
    <row r="932" spans="1:5" ht="26" x14ac:dyDescent="0.3">
      <c r="A932" s="17" t="str">
        <f>"23530"</f>
        <v>23530</v>
      </c>
      <c r="B932" s="5" t="s">
        <v>1089</v>
      </c>
      <c r="C932" s="17">
        <v>19900101</v>
      </c>
      <c r="D932" s="17">
        <v>22991231</v>
      </c>
      <c r="E932" s="25">
        <v>3240.75</v>
      </c>
    </row>
    <row r="933" spans="1:5" ht="26" x14ac:dyDescent="0.3">
      <c r="A933" s="17" t="str">
        <f>"23532"</f>
        <v>23532</v>
      </c>
      <c r="B933" s="5" t="s">
        <v>1090</v>
      </c>
      <c r="C933" s="17">
        <v>19900101</v>
      </c>
      <c r="D933" s="17">
        <v>22991231</v>
      </c>
      <c r="E933" s="25">
        <v>3240.75</v>
      </c>
    </row>
    <row r="934" spans="1:5" ht="26" x14ac:dyDescent="0.3">
      <c r="A934" s="17" t="str">
        <f>"23540"</f>
        <v>23540</v>
      </c>
      <c r="B934" s="5" t="s">
        <v>1091</v>
      </c>
      <c r="C934" s="17">
        <v>19900101</v>
      </c>
      <c r="D934" s="17">
        <v>22991231</v>
      </c>
      <c r="E934" s="25">
        <v>116.84</v>
      </c>
    </row>
    <row r="935" spans="1:5" ht="26" x14ac:dyDescent="0.3">
      <c r="A935" s="17" t="str">
        <f>"23545"</f>
        <v>23545</v>
      </c>
      <c r="B935" s="5" t="s">
        <v>1092</v>
      </c>
      <c r="C935" s="17">
        <v>19900101</v>
      </c>
      <c r="D935" s="17">
        <v>22991231</v>
      </c>
      <c r="E935" s="25">
        <v>116.84</v>
      </c>
    </row>
    <row r="936" spans="1:5" ht="26" x14ac:dyDescent="0.3">
      <c r="A936" s="17" t="str">
        <f>"23550"</f>
        <v>23550</v>
      </c>
      <c r="B936" s="5" t="s">
        <v>1093</v>
      </c>
      <c r="C936" s="17">
        <v>19900101</v>
      </c>
      <c r="D936" s="17">
        <v>22991231</v>
      </c>
      <c r="E936" s="25">
        <v>4224.03</v>
      </c>
    </row>
    <row r="937" spans="1:5" ht="26" x14ac:dyDescent="0.3">
      <c r="A937" s="17" t="str">
        <f>"23552"</f>
        <v>23552</v>
      </c>
      <c r="B937" s="5" t="s">
        <v>1094</v>
      </c>
      <c r="C937" s="17">
        <v>19900101</v>
      </c>
      <c r="D937" s="17">
        <v>22991231</v>
      </c>
      <c r="E937" s="25">
        <v>4431.74</v>
      </c>
    </row>
    <row r="938" spans="1:5" x14ac:dyDescent="0.3">
      <c r="A938" s="17" t="str">
        <f>"23570"</f>
        <v>23570</v>
      </c>
      <c r="B938" s="5" t="s">
        <v>1095</v>
      </c>
      <c r="C938" s="17">
        <v>19900101</v>
      </c>
      <c r="D938" s="17">
        <v>22991231</v>
      </c>
      <c r="E938" s="25">
        <v>116.84</v>
      </c>
    </row>
    <row r="939" spans="1:5" ht="26" x14ac:dyDescent="0.3">
      <c r="A939" s="17" t="str">
        <f>"23575"</f>
        <v>23575</v>
      </c>
      <c r="B939" s="5" t="s">
        <v>1096</v>
      </c>
      <c r="C939" s="17">
        <v>19900101</v>
      </c>
      <c r="D939" s="17">
        <v>22991231</v>
      </c>
      <c r="E939" s="25">
        <v>782.3</v>
      </c>
    </row>
    <row r="940" spans="1:5" x14ac:dyDescent="0.3">
      <c r="A940" s="17" t="str">
        <f>"23585"</f>
        <v>23585</v>
      </c>
      <c r="B940" s="5" t="s">
        <v>1097</v>
      </c>
      <c r="C940" s="17">
        <v>19900101</v>
      </c>
      <c r="D940" s="17">
        <v>22991231</v>
      </c>
      <c r="E940" s="25">
        <v>4287.4799999999996</v>
      </c>
    </row>
    <row r="941" spans="1:5" ht="26" x14ac:dyDescent="0.3">
      <c r="A941" s="17" t="str">
        <f>"23600"</f>
        <v>23600</v>
      </c>
      <c r="B941" s="5" t="s">
        <v>1098</v>
      </c>
      <c r="C941" s="17">
        <v>19900101</v>
      </c>
      <c r="D941" s="17">
        <v>22991231</v>
      </c>
      <c r="E941" s="25">
        <v>116.84</v>
      </c>
    </row>
    <row r="942" spans="1:5" ht="26" x14ac:dyDescent="0.3">
      <c r="A942" s="17" t="str">
        <f>"23605"</f>
        <v>23605</v>
      </c>
      <c r="B942" s="5" t="s">
        <v>1099</v>
      </c>
      <c r="C942" s="17">
        <v>19900101</v>
      </c>
      <c r="D942" s="17">
        <v>22991231</v>
      </c>
      <c r="E942" s="25">
        <v>782.3</v>
      </c>
    </row>
    <row r="943" spans="1:5" x14ac:dyDescent="0.3">
      <c r="A943" s="17" t="str">
        <f>"23615"</f>
        <v>23615</v>
      </c>
      <c r="B943" s="5" t="s">
        <v>1100</v>
      </c>
      <c r="C943" s="17">
        <v>19900101</v>
      </c>
      <c r="D943" s="17">
        <v>22991231</v>
      </c>
      <c r="E943" s="25">
        <v>8465.25</v>
      </c>
    </row>
    <row r="944" spans="1:5" ht="26" x14ac:dyDescent="0.3">
      <c r="A944" s="17" t="str">
        <f>"23616"</f>
        <v>23616</v>
      </c>
      <c r="B944" s="5" t="s">
        <v>1101</v>
      </c>
      <c r="C944" s="17">
        <v>19970801</v>
      </c>
      <c r="D944" s="17">
        <v>22991231</v>
      </c>
      <c r="E944" s="25">
        <v>12553.48</v>
      </c>
    </row>
    <row r="945" spans="1:5" ht="26" x14ac:dyDescent="0.3">
      <c r="A945" s="17" t="str">
        <f>"23620"</f>
        <v>23620</v>
      </c>
      <c r="B945" s="5" t="s">
        <v>1102</v>
      </c>
      <c r="C945" s="17">
        <v>19900101</v>
      </c>
      <c r="D945" s="17">
        <v>22991231</v>
      </c>
      <c r="E945" s="25">
        <v>116.84</v>
      </c>
    </row>
    <row r="946" spans="1:5" ht="26" x14ac:dyDescent="0.3">
      <c r="A946" s="17" t="str">
        <f>"23625"</f>
        <v>23625</v>
      </c>
      <c r="B946" s="5" t="s">
        <v>1103</v>
      </c>
      <c r="C946" s="17">
        <v>19900101</v>
      </c>
      <c r="D946" s="17">
        <v>22991231</v>
      </c>
      <c r="E946" s="25">
        <v>782.3</v>
      </c>
    </row>
    <row r="947" spans="1:5" ht="26" x14ac:dyDescent="0.3">
      <c r="A947" s="17" t="str">
        <f>"23630"</f>
        <v>23630</v>
      </c>
      <c r="B947" s="5" t="s">
        <v>1104</v>
      </c>
      <c r="C947" s="17">
        <v>19900101</v>
      </c>
      <c r="D947" s="17">
        <v>22991231</v>
      </c>
      <c r="E947" s="25">
        <v>4057.25</v>
      </c>
    </row>
    <row r="948" spans="1:5" ht="26" x14ac:dyDescent="0.3">
      <c r="A948" s="17" t="str">
        <f>"23650"</f>
        <v>23650</v>
      </c>
      <c r="B948" s="5" t="s">
        <v>1105</v>
      </c>
      <c r="C948" s="17">
        <v>19900101</v>
      </c>
      <c r="D948" s="17">
        <v>22991231</v>
      </c>
      <c r="E948" s="25">
        <v>116.84</v>
      </c>
    </row>
    <row r="949" spans="1:5" ht="26" x14ac:dyDescent="0.3">
      <c r="A949" s="17" t="str">
        <f>"23655"</f>
        <v>23655</v>
      </c>
      <c r="B949" s="5" t="s">
        <v>1106</v>
      </c>
      <c r="C949" s="17">
        <v>19900101</v>
      </c>
      <c r="D949" s="17">
        <v>22991231</v>
      </c>
      <c r="E949" s="25">
        <v>782.3</v>
      </c>
    </row>
    <row r="950" spans="1:5" x14ac:dyDescent="0.3">
      <c r="A950" s="17" t="str">
        <f>"23660"</f>
        <v>23660</v>
      </c>
      <c r="B950" s="5" t="s">
        <v>1107</v>
      </c>
      <c r="C950" s="17">
        <v>19900101</v>
      </c>
      <c r="D950" s="17">
        <v>22991231</v>
      </c>
      <c r="E950" s="25">
        <v>3240.75</v>
      </c>
    </row>
    <row r="951" spans="1:5" ht="39" x14ac:dyDescent="0.3">
      <c r="A951" s="17" t="str">
        <f>"23665"</f>
        <v>23665</v>
      </c>
      <c r="B951" s="5" t="s">
        <v>1108</v>
      </c>
      <c r="C951" s="17">
        <v>19900101</v>
      </c>
      <c r="D951" s="17">
        <v>22991231</v>
      </c>
      <c r="E951" s="25">
        <v>782.3</v>
      </c>
    </row>
    <row r="952" spans="1:5" ht="26" x14ac:dyDescent="0.3">
      <c r="A952" s="17" t="str">
        <f>"23670"</f>
        <v>23670</v>
      </c>
      <c r="B952" s="5" t="s">
        <v>1109</v>
      </c>
      <c r="C952" s="17">
        <v>19900101</v>
      </c>
      <c r="D952" s="17">
        <v>22991231</v>
      </c>
      <c r="E952" s="25">
        <v>4086.81</v>
      </c>
    </row>
    <row r="953" spans="1:5" ht="26" x14ac:dyDescent="0.3">
      <c r="A953" s="17" t="str">
        <f>"23675"</f>
        <v>23675</v>
      </c>
      <c r="B953" s="5" t="s">
        <v>1110</v>
      </c>
      <c r="C953" s="17">
        <v>19900101</v>
      </c>
      <c r="D953" s="17">
        <v>22991231</v>
      </c>
      <c r="E953" s="25">
        <v>782.3</v>
      </c>
    </row>
    <row r="954" spans="1:5" ht="26" x14ac:dyDescent="0.3">
      <c r="A954" s="17" t="str">
        <f>"23680"</f>
        <v>23680</v>
      </c>
      <c r="B954" s="5" t="s">
        <v>1111</v>
      </c>
      <c r="C954" s="17">
        <v>19900101</v>
      </c>
      <c r="D954" s="17">
        <v>22991231</v>
      </c>
      <c r="E954" s="25">
        <v>8186.77</v>
      </c>
    </row>
    <row r="955" spans="1:5" x14ac:dyDescent="0.3">
      <c r="A955" s="17" t="str">
        <f>"23700"</f>
        <v>23700</v>
      </c>
      <c r="B955" s="5" t="s">
        <v>1112</v>
      </c>
      <c r="C955" s="17">
        <v>19900101</v>
      </c>
      <c r="D955" s="17">
        <v>22991231</v>
      </c>
      <c r="E955" s="25">
        <v>782.3</v>
      </c>
    </row>
    <row r="956" spans="1:5" x14ac:dyDescent="0.3">
      <c r="A956" s="17" t="str">
        <f>"23800"</f>
        <v>23800</v>
      </c>
      <c r="B956" s="5" t="s">
        <v>1113</v>
      </c>
      <c r="C956" s="17">
        <v>19900101</v>
      </c>
      <c r="D956" s="17">
        <v>22991231</v>
      </c>
      <c r="E956" s="25">
        <v>3240.75</v>
      </c>
    </row>
    <row r="957" spans="1:5" ht="26" x14ac:dyDescent="0.3">
      <c r="A957" s="17" t="str">
        <f>"23802"</f>
        <v>23802</v>
      </c>
      <c r="B957" s="5" t="s">
        <v>1114</v>
      </c>
      <c r="C957" s="17">
        <v>19900101</v>
      </c>
      <c r="D957" s="17">
        <v>22991231</v>
      </c>
      <c r="E957" s="25">
        <v>6208.9</v>
      </c>
    </row>
    <row r="958" spans="1:5" ht="39" x14ac:dyDescent="0.3">
      <c r="A958" s="17" t="str">
        <f>"23921"</f>
        <v>23921</v>
      </c>
      <c r="B958" s="5" t="s">
        <v>1115</v>
      </c>
      <c r="C958" s="17">
        <v>19900101</v>
      </c>
      <c r="D958" s="17">
        <v>22991231</v>
      </c>
      <c r="E958" s="25">
        <v>903.54</v>
      </c>
    </row>
    <row r="959" spans="1:5" x14ac:dyDescent="0.3">
      <c r="A959" s="17" t="str">
        <f>"23929"</f>
        <v>23929</v>
      </c>
      <c r="B959" s="5" t="s">
        <v>1116</v>
      </c>
      <c r="C959" s="17">
        <v>19900101</v>
      </c>
      <c r="D959" s="17">
        <v>22991231</v>
      </c>
      <c r="E959" s="24" t="s">
        <v>7128</v>
      </c>
    </row>
    <row r="960" spans="1:5" ht="26" x14ac:dyDescent="0.3">
      <c r="A960" s="17" t="str">
        <f>"23930"</f>
        <v>23930</v>
      </c>
      <c r="B960" s="5" t="s">
        <v>1117</v>
      </c>
      <c r="C960" s="17">
        <v>19900101</v>
      </c>
      <c r="D960" s="17">
        <v>22991231</v>
      </c>
      <c r="E960" s="25">
        <v>1105.24</v>
      </c>
    </row>
    <row r="961" spans="1:5" x14ac:dyDescent="0.3">
      <c r="A961" s="17" t="str">
        <f>"23931"</f>
        <v>23931</v>
      </c>
      <c r="B961" s="5" t="s">
        <v>1118</v>
      </c>
      <c r="C961" s="17">
        <v>19900101</v>
      </c>
      <c r="D961" s="17">
        <v>22991231</v>
      </c>
      <c r="E961" s="25">
        <v>652.27</v>
      </c>
    </row>
    <row r="962" spans="1:5" x14ac:dyDescent="0.3">
      <c r="A962" s="17" t="str">
        <f>"23935"</f>
        <v>23935</v>
      </c>
      <c r="B962" s="5" t="s">
        <v>1119</v>
      </c>
      <c r="C962" s="17">
        <v>19900101</v>
      </c>
      <c r="D962" s="17">
        <v>22991231</v>
      </c>
      <c r="E962" s="25">
        <v>1450.8</v>
      </c>
    </row>
    <row r="963" spans="1:5" ht="26" x14ac:dyDescent="0.3">
      <c r="A963" s="17" t="str">
        <f>"24000"</f>
        <v>24000</v>
      </c>
      <c r="B963" s="5" t="s">
        <v>1120</v>
      </c>
      <c r="C963" s="17">
        <v>19900101</v>
      </c>
      <c r="D963" s="17">
        <v>22991231</v>
      </c>
      <c r="E963" s="25">
        <v>1450.8</v>
      </c>
    </row>
    <row r="964" spans="1:5" x14ac:dyDescent="0.3">
      <c r="A964" s="17" t="str">
        <f>"24006"</f>
        <v>24006</v>
      </c>
      <c r="B964" s="5" t="s">
        <v>1121</v>
      </c>
      <c r="C964" s="17">
        <v>19930101</v>
      </c>
      <c r="D964" s="17">
        <v>22991231</v>
      </c>
      <c r="E964" s="25">
        <v>1450.8</v>
      </c>
    </row>
    <row r="965" spans="1:5" x14ac:dyDescent="0.3">
      <c r="A965" s="17" t="str">
        <f>"24065"</f>
        <v>24065</v>
      </c>
      <c r="B965" s="5" t="s">
        <v>1122</v>
      </c>
      <c r="C965" s="17">
        <v>19900101</v>
      </c>
      <c r="D965" s="17">
        <v>22991231</v>
      </c>
      <c r="E965" s="25">
        <v>167.95</v>
      </c>
    </row>
    <row r="966" spans="1:5" x14ac:dyDescent="0.3">
      <c r="A966" s="17" t="str">
        <f>"24066"</f>
        <v>24066</v>
      </c>
      <c r="B966" s="5" t="s">
        <v>1123</v>
      </c>
      <c r="C966" s="17">
        <v>19900101</v>
      </c>
      <c r="D966" s="17">
        <v>22991231</v>
      </c>
      <c r="E966" s="25">
        <v>1105.24</v>
      </c>
    </row>
    <row r="967" spans="1:5" ht="26" x14ac:dyDescent="0.3">
      <c r="A967" s="17" t="str">
        <f>"24071"</f>
        <v>24071</v>
      </c>
      <c r="B967" s="5" t="s">
        <v>1124</v>
      </c>
      <c r="C967" s="17">
        <v>20100101</v>
      </c>
      <c r="D967" s="17">
        <v>22991231</v>
      </c>
      <c r="E967" s="25">
        <v>1105.24</v>
      </c>
    </row>
    <row r="968" spans="1:5" ht="26" x14ac:dyDescent="0.3">
      <c r="A968" s="17" t="str">
        <f>"24073"</f>
        <v>24073</v>
      </c>
      <c r="B968" s="5" t="s">
        <v>1125</v>
      </c>
      <c r="C968" s="17">
        <v>20100101</v>
      </c>
      <c r="D968" s="17">
        <v>22991231</v>
      </c>
      <c r="E968" s="25">
        <v>1105.24</v>
      </c>
    </row>
    <row r="969" spans="1:5" ht="26" x14ac:dyDescent="0.3">
      <c r="A969" s="17" t="str">
        <f>"24075"</f>
        <v>24075</v>
      </c>
      <c r="B969" s="5" t="s">
        <v>1126</v>
      </c>
      <c r="C969" s="17">
        <v>19900101</v>
      </c>
      <c r="D969" s="17">
        <v>22991231</v>
      </c>
      <c r="E969" s="25">
        <v>652.27</v>
      </c>
    </row>
    <row r="970" spans="1:5" ht="26" x14ac:dyDescent="0.3">
      <c r="A970" s="17" t="str">
        <f>"24076"</f>
        <v>24076</v>
      </c>
      <c r="B970" s="5" t="s">
        <v>1127</v>
      </c>
      <c r="C970" s="17">
        <v>19900101</v>
      </c>
      <c r="D970" s="17">
        <v>22991231</v>
      </c>
      <c r="E970" s="25">
        <v>1105.24</v>
      </c>
    </row>
    <row r="971" spans="1:5" ht="26" x14ac:dyDescent="0.3">
      <c r="A971" s="17" t="str">
        <f>"24077"</f>
        <v>24077</v>
      </c>
      <c r="B971" s="5" t="s">
        <v>1128</v>
      </c>
      <c r="C971" s="17">
        <v>19900101</v>
      </c>
      <c r="D971" s="17">
        <v>22991231</v>
      </c>
      <c r="E971" s="25">
        <v>1105.24</v>
      </c>
    </row>
    <row r="972" spans="1:5" ht="26" x14ac:dyDescent="0.3">
      <c r="A972" s="17" t="str">
        <f>"24079"</f>
        <v>24079</v>
      </c>
      <c r="B972" s="5" t="s">
        <v>1129</v>
      </c>
      <c r="C972" s="17">
        <v>20100101</v>
      </c>
      <c r="D972" s="17">
        <v>22991231</v>
      </c>
      <c r="E972" s="25">
        <v>1105.24</v>
      </c>
    </row>
    <row r="973" spans="1:5" x14ac:dyDescent="0.3">
      <c r="A973" s="17" t="str">
        <f>"24100"</f>
        <v>24100</v>
      </c>
      <c r="B973" s="5" t="s">
        <v>1130</v>
      </c>
      <c r="C973" s="17">
        <v>19900101</v>
      </c>
      <c r="D973" s="17">
        <v>22991231</v>
      </c>
      <c r="E973" s="25">
        <v>1450.8</v>
      </c>
    </row>
    <row r="974" spans="1:5" x14ac:dyDescent="0.3">
      <c r="A974" s="17" t="str">
        <f>"24101"</f>
        <v>24101</v>
      </c>
      <c r="B974" s="5" t="s">
        <v>1131</v>
      </c>
      <c r="C974" s="17">
        <v>19900101</v>
      </c>
      <c r="D974" s="17">
        <v>22991231</v>
      </c>
      <c r="E974" s="25">
        <v>1450.8</v>
      </c>
    </row>
    <row r="975" spans="1:5" x14ac:dyDescent="0.3">
      <c r="A975" s="17" t="str">
        <f>"24102"</f>
        <v>24102</v>
      </c>
      <c r="B975" s="5" t="s">
        <v>1132</v>
      </c>
      <c r="C975" s="17">
        <v>19900101</v>
      </c>
      <c r="D975" s="17">
        <v>22991231</v>
      </c>
      <c r="E975" s="25">
        <v>1450.8</v>
      </c>
    </row>
    <row r="976" spans="1:5" x14ac:dyDescent="0.3">
      <c r="A976" s="17" t="str">
        <f>"24105"</f>
        <v>24105</v>
      </c>
      <c r="B976" s="5" t="s">
        <v>1133</v>
      </c>
      <c r="C976" s="17">
        <v>19900101</v>
      </c>
      <c r="D976" s="17">
        <v>22991231</v>
      </c>
      <c r="E976" s="25">
        <v>1450.8</v>
      </c>
    </row>
    <row r="977" spans="1:5" x14ac:dyDescent="0.3">
      <c r="A977" s="17" t="str">
        <f>"24110"</f>
        <v>24110</v>
      </c>
      <c r="B977" s="5" t="s">
        <v>1134</v>
      </c>
      <c r="C977" s="17">
        <v>19900101</v>
      </c>
      <c r="D977" s="17">
        <v>22991231</v>
      </c>
      <c r="E977" s="25">
        <v>1450.8</v>
      </c>
    </row>
    <row r="978" spans="1:5" ht="26" x14ac:dyDescent="0.3">
      <c r="A978" s="17" t="str">
        <f>"24115"</f>
        <v>24115</v>
      </c>
      <c r="B978" s="5" t="s">
        <v>1135</v>
      </c>
      <c r="C978" s="17">
        <v>19900101</v>
      </c>
      <c r="D978" s="17">
        <v>22991231</v>
      </c>
      <c r="E978" s="25">
        <v>3240.75</v>
      </c>
    </row>
    <row r="979" spans="1:5" ht="26" x14ac:dyDescent="0.3">
      <c r="A979" s="17" t="str">
        <f>"24116"</f>
        <v>24116</v>
      </c>
      <c r="B979" s="5" t="s">
        <v>1136</v>
      </c>
      <c r="C979" s="17">
        <v>19900101</v>
      </c>
      <c r="D979" s="17">
        <v>22991231</v>
      </c>
      <c r="E979" s="25">
        <v>4081.38</v>
      </c>
    </row>
    <row r="980" spans="1:5" ht="26" x14ac:dyDescent="0.3">
      <c r="A980" s="17" t="str">
        <f>"24120"</f>
        <v>24120</v>
      </c>
      <c r="B980" s="5" t="s">
        <v>1137</v>
      </c>
      <c r="C980" s="17">
        <v>19900101</v>
      </c>
      <c r="D980" s="17">
        <v>22991231</v>
      </c>
      <c r="E980" s="25">
        <v>1450.8</v>
      </c>
    </row>
    <row r="981" spans="1:5" ht="26" x14ac:dyDescent="0.3">
      <c r="A981" s="17" t="str">
        <f>"24125"</f>
        <v>24125</v>
      </c>
      <c r="B981" s="5" t="s">
        <v>1138</v>
      </c>
      <c r="C981" s="17">
        <v>19900101</v>
      </c>
      <c r="D981" s="17">
        <v>22991231</v>
      </c>
      <c r="E981" s="25">
        <v>1450.8</v>
      </c>
    </row>
    <row r="982" spans="1:5" ht="26" x14ac:dyDescent="0.3">
      <c r="A982" s="17" t="str">
        <f>"24126"</f>
        <v>24126</v>
      </c>
      <c r="B982" s="5" t="s">
        <v>1139</v>
      </c>
      <c r="C982" s="17">
        <v>19900101</v>
      </c>
      <c r="D982" s="17">
        <v>22991231</v>
      </c>
      <c r="E982" s="25">
        <v>4970.57</v>
      </c>
    </row>
    <row r="983" spans="1:5" x14ac:dyDescent="0.3">
      <c r="A983" s="17" t="str">
        <f>"24130"</f>
        <v>24130</v>
      </c>
      <c r="B983" s="5" t="s">
        <v>1140</v>
      </c>
      <c r="C983" s="17">
        <v>19900101</v>
      </c>
      <c r="D983" s="17">
        <v>22991231</v>
      </c>
      <c r="E983" s="25">
        <v>1450.8</v>
      </c>
    </row>
    <row r="984" spans="1:5" ht="39" x14ac:dyDescent="0.3">
      <c r="A984" s="17" t="str">
        <f>"24134"</f>
        <v>24134</v>
      </c>
      <c r="B984" s="5" t="s">
        <v>1141</v>
      </c>
      <c r="C984" s="17">
        <v>19900101</v>
      </c>
      <c r="D984" s="17">
        <v>22991231</v>
      </c>
      <c r="E984" s="25">
        <v>3240.75</v>
      </c>
    </row>
    <row r="985" spans="1:5" x14ac:dyDescent="0.3">
      <c r="A985" s="17" t="str">
        <f>"24136"</f>
        <v>24136</v>
      </c>
      <c r="B985" s="5" t="s">
        <v>1142</v>
      </c>
      <c r="C985" s="17">
        <v>19900101</v>
      </c>
      <c r="D985" s="17">
        <v>22991231</v>
      </c>
      <c r="E985" s="25">
        <v>1450.8</v>
      </c>
    </row>
    <row r="986" spans="1:5" x14ac:dyDescent="0.3">
      <c r="A986" s="17" t="str">
        <f>"24138"</f>
        <v>24138</v>
      </c>
      <c r="B986" s="5" t="s">
        <v>1143</v>
      </c>
      <c r="C986" s="17">
        <v>19900101</v>
      </c>
      <c r="D986" s="17">
        <v>22991231</v>
      </c>
      <c r="E986" s="25">
        <v>3240.75</v>
      </c>
    </row>
    <row r="987" spans="1:5" x14ac:dyDescent="0.3">
      <c r="A987" s="17" t="str">
        <f>"24140"</f>
        <v>24140</v>
      </c>
      <c r="B987" s="5" t="s">
        <v>1144</v>
      </c>
      <c r="C987" s="17">
        <v>19900101</v>
      </c>
      <c r="D987" s="17">
        <v>22991231</v>
      </c>
      <c r="E987" s="25">
        <v>1450.8</v>
      </c>
    </row>
    <row r="988" spans="1:5" ht="26" x14ac:dyDescent="0.3">
      <c r="A988" s="17" t="str">
        <f>"24145"</f>
        <v>24145</v>
      </c>
      <c r="B988" s="5" t="s">
        <v>1145</v>
      </c>
      <c r="C988" s="17">
        <v>19900101</v>
      </c>
      <c r="D988" s="17">
        <v>22991231</v>
      </c>
      <c r="E988" s="25">
        <v>3240.75</v>
      </c>
    </row>
    <row r="989" spans="1:5" x14ac:dyDescent="0.3">
      <c r="A989" s="17" t="str">
        <f>"24147"</f>
        <v>24147</v>
      </c>
      <c r="B989" s="5" t="s">
        <v>1146</v>
      </c>
      <c r="C989" s="17">
        <v>19900101</v>
      </c>
      <c r="D989" s="17">
        <v>22991231</v>
      </c>
      <c r="E989" s="25">
        <v>1450.8</v>
      </c>
    </row>
    <row r="990" spans="1:5" ht="26" x14ac:dyDescent="0.3">
      <c r="A990" s="17" t="str">
        <f>"24149"</f>
        <v>24149</v>
      </c>
      <c r="B990" s="5" t="s">
        <v>1147</v>
      </c>
      <c r="C990" s="17">
        <v>19970101</v>
      </c>
      <c r="D990" s="17">
        <v>22991231</v>
      </c>
      <c r="E990" s="25">
        <v>3240.75</v>
      </c>
    </row>
    <row r="991" spans="1:5" x14ac:dyDescent="0.3">
      <c r="A991" s="17" t="str">
        <f>"24150"</f>
        <v>24150</v>
      </c>
      <c r="B991" s="5" t="s">
        <v>1148</v>
      </c>
      <c r="C991" s="17">
        <v>19900101</v>
      </c>
      <c r="D991" s="17">
        <v>22991231</v>
      </c>
      <c r="E991" s="24" t="s">
        <v>7128</v>
      </c>
    </row>
    <row r="992" spans="1:5" ht="26" x14ac:dyDescent="0.3">
      <c r="A992" s="17" t="str">
        <f>"24152"</f>
        <v>24152</v>
      </c>
      <c r="B992" s="5" t="s">
        <v>1149</v>
      </c>
      <c r="C992" s="17">
        <v>19900101</v>
      </c>
      <c r="D992" s="17">
        <v>22991231</v>
      </c>
      <c r="E992" s="25">
        <v>4307.82</v>
      </c>
    </row>
    <row r="993" spans="1:5" x14ac:dyDescent="0.3">
      <c r="A993" s="17" t="str">
        <f>"24155"</f>
        <v>24155</v>
      </c>
      <c r="B993" s="5" t="s">
        <v>1150</v>
      </c>
      <c r="C993" s="17">
        <v>19900101</v>
      </c>
      <c r="D993" s="17">
        <v>22991231</v>
      </c>
      <c r="E993" s="25">
        <v>1450.8</v>
      </c>
    </row>
    <row r="994" spans="1:5" x14ac:dyDescent="0.3">
      <c r="A994" s="17" t="str">
        <f>"24160"</f>
        <v>24160</v>
      </c>
      <c r="B994" s="5" t="s">
        <v>1151</v>
      </c>
      <c r="C994" s="17">
        <v>19900101</v>
      </c>
      <c r="D994" s="17">
        <v>22991231</v>
      </c>
      <c r="E994" s="25">
        <v>1450.8</v>
      </c>
    </row>
    <row r="995" spans="1:5" ht="26" x14ac:dyDescent="0.3">
      <c r="A995" s="17" t="str">
        <f>"24164"</f>
        <v>24164</v>
      </c>
      <c r="B995" s="5" t="s">
        <v>1152</v>
      </c>
      <c r="C995" s="17">
        <v>19900101</v>
      </c>
      <c r="D995" s="17">
        <v>22991231</v>
      </c>
      <c r="E995" s="25">
        <v>1450.8</v>
      </c>
    </row>
    <row r="996" spans="1:5" ht="26" x14ac:dyDescent="0.3">
      <c r="A996" s="17" t="str">
        <f>"24200"</f>
        <v>24200</v>
      </c>
      <c r="B996" s="5" t="s">
        <v>1153</v>
      </c>
      <c r="C996" s="17">
        <v>19900101</v>
      </c>
      <c r="D996" s="17">
        <v>22991231</v>
      </c>
      <c r="E996" s="25">
        <v>141.06</v>
      </c>
    </row>
    <row r="997" spans="1:5" ht="26" x14ac:dyDescent="0.3">
      <c r="A997" s="17" t="str">
        <f>"24201"</f>
        <v>24201</v>
      </c>
      <c r="B997" s="5" t="s">
        <v>1154</v>
      </c>
      <c r="C997" s="17">
        <v>19900101</v>
      </c>
      <c r="D997" s="17">
        <v>22991231</v>
      </c>
      <c r="E997" s="25">
        <v>1105.24</v>
      </c>
    </row>
    <row r="998" spans="1:5" x14ac:dyDescent="0.3">
      <c r="A998" s="17" t="str">
        <f>"24220"</f>
        <v>24220</v>
      </c>
      <c r="B998" s="5" t="s">
        <v>1155</v>
      </c>
      <c r="C998" s="17">
        <v>19900101</v>
      </c>
      <c r="D998" s="17">
        <v>22991231</v>
      </c>
      <c r="E998" s="25">
        <v>0</v>
      </c>
    </row>
    <row r="999" spans="1:5" x14ac:dyDescent="0.3">
      <c r="A999" s="17" t="str">
        <f>"24300"</f>
        <v>24300</v>
      </c>
      <c r="B999" s="5" t="s">
        <v>1156</v>
      </c>
      <c r="C999" s="17">
        <v>20230101</v>
      </c>
      <c r="D999" s="17">
        <v>22991231</v>
      </c>
      <c r="E999" s="25">
        <v>782.3</v>
      </c>
    </row>
    <row r="1000" spans="1:5" ht="26" x14ac:dyDescent="0.3">
      <c r="A1000" s="17" t="str">
        <f>"24301"</f>
        <v>24301</v>
      </c>
      <c r="B1000" s="5" t="s">
        <v>1157</v>
      </c>
      <c r="C1000" s="17">
        <v>19900101</v>
      </c>
      <c r="D1000" s="17">
        <v>22991231</v>
      </c>
      <c r="E1000" s="25">
        <v>3240.75</v>
      </c>
    </row>
    <row r="1001" spans="1:5" x14ac:dyDescent="0.3">
      <c r="A1001" s="17" t="str">
        <f>"24305"</f>
        <v>24305</v>
      </c>
      <c r="B1001" s="5" t="s">
        <v>1158</v>
      </c>
      <c r="C1001" s="17">
        <v>19900101</v>
      </c>
      <c r="D1001" s="17">
        <v>22991231</v>
      </c>
      <c r="E1001" s="25">
        <v>1450.8</v>
      </c>
    </row>
    <row r="1002" spans="1:5" ht="26" x14ac:dyDescent="0.3">
      <c r="A1002" s="17" t="str">
        <f>"24310"</f>
        <v>24310</v>
      </c>
      <c r="B1002" s="5" t="s">
        <v>1159</v>
      </c>
      <c r="C1002" s="17">
        <v>19900101</v>
      </c>
      <c r="D1002" s="17">
        <v>22991231</v>
      </c>
      <c r="E1002" s="25">
        <v>1450.8</v>
      </c>
    </row>
    <row r="1003" spans="1:5" ht="26" x14ac:dyDescent="0.3">
      <c r="A1003" s="17" t="str">
        <f>"24320"</f>
        <v>24320</v>
      </c>
      <c r="B1003" s="5" t="s">
        <v>1160</v>
      </c>
      <c r="C1003" s="17">
        <v>19900101</v>
      </c>
      <c r="D1003" s="17">
        <v>22991231</v>
      </c>
      <c r="E1003" s="25">
        <v>3240.75</v>
      </c>
    </row>
    <row r="1004" spans="1:5" x14ac:dyDescent="0.3">
      <c r="A1004" s="17" t="str">
        <f>"24330"</f>
        <v>24330</v>
      </c>
      <c r="B1004" s="5" t="s">
        <v>1161</v>
      </c>
      <c r="C1004" s="17">
        <v>19900101</v>
      </c>
      <c r="D1004" s="17">
        <v>22991231</v>
      </c>
      <c r="E1004" s="25">
        <v>3240.75</v>
      </c>
    </row>
    <row r="1005" spans="1:5" ht="26" x14ac:dyDescent="0.3">
      <c r="A1005" s="17" t="str">
        <f>"24331"</f>
        <v>24331</v>
      </c>
      <c r="B1005" s="5" t="s">
        <v>1162</v>
      </c>
      <c r="C1005" s="17">
        <v>19900101</v>
      </c>
      <c r="D1005" s="17">
        <v>22991231</v>
      </c>
      <c r="E1005" s="25">
        <v>3240.75</v>
      </c>
    </row>
    <row r="1006" spans="1:5" x14ac:dyDescent="0.3">
      <c r="A1006" s="17" t="str">
        <f>"24332"</f>
        <v>24332</v>
      </c>
      <c r="B1006" s="5" t="s">
        <v>1163</v>
      </c>
      <c r="C1006" s="17">
        <v>20230101</v>
      </c>
      <c r="D1006" s="17">
        <v>22991231</v>
      </c>
      <c r="E1006" s="25">
        <v>1450.8</v>
      </c>
    </row>
    <row r="1007" spans="1:5" x14ac:dyDescent="0.3">
      <c r="A1007" s="17" t="str">
        <f>"24340"</f>
        <v>24340</v>
      </c>
      <c r="B1007" s="5" t="s">
        <v>1164</v>
      </c>
      <c r="C1007" s="17">
        <v>19900101</v>
      </c>
      <c r="D1007" s="17">
        <v>22991231</v>
      </c>
      <c r="E1007" s="25">
        <v>3240.75</v>
      </c>
    </row>
    <row r="1008" spans="1:5" ht="26" x14ac:dyDescent="0.3">
      <c r="A1008" s="17" t="str">
        <f>"24341"</f>
        <v>24341</v>
      </c>
      <c r="B1008" s="5" t="s">
        <v>1165</v>
      </c>
      <c r="C1008" s="17">
        <v>19970101</v>
      </c>
      <c r="D1008" s="17">
        <v>22991231</v>
      </c>
      <c r="E1008" s="25">
        <v>3240.75</v>
      </c>
    </row>
    <row r="1009" spans="1:5" x14ac:dyDescent="0.3">
      <c r="A1009" s="17" t="str">
        <f>"24342"</f>
        <v>24342</v>
      </c>
      <c r="B1009" s="5" t="s">
        <v>1166</v>
      </c>
      <c r="C1009" s="17">
        <v>19900101</v>
      </c>
      <c r="D1009" s="17">
        <v>22991231</v>
      </c>
      <c r="E1009" s="25">
        <v>3240.75</v>
      </c>
    </row>
    <row r="1010" spans="1:5" x14ac:dyDescent="0.3">
      <c r="A1010" s="17" t="str">
        <f>"24343"</f>
        <v>24343</v>
      </c>
      <c r="B1010" s="5" t="s">
        <v>1167</v>
      </c>
      <c r="C1010" s="17">
        <v>20230101</v>
      </c>
      <c r="D1010" s="17">
        <v>22991231</v>
      </c>
      <c r="E1010" s="25">
        <v>1450.8</v>
      </c>
    </row>
    <row r="1011" spans="1:5" ht="26" x14ac:dyDescent="0.3">
      <c r="A1011" s="17" t="str">
        <f>"24344"</f>
        <v>24344</v>
      </c>
      <c r="B1011" s="5" t="s">
        <v>1168</v>
      </c>
      <c r="C1011" s="17">
        <v>20230101</v>
      </c>
      <c r="D1011" s="17">
        <v>22991231</v>
      </c>
      <c r="E1011" s="25">
        <v>3240.75</v>
      </c>
    </row>
    <row r="1012" spans="1:5" x14ac:dyDescent="0.3">
      <c r="A1012" s="17" t="str">
        <f>"24345"</f>
        <v>24345</v>
      </c>
      <c r="B1012" s="5" t="s">
        <v>1169</v>
      </c>
      <c r="C1012" s="17">
        <v>20030401</v>
      </c>
      <c r="D1012" s="17">
        <v>22991231</v>
      </c>
      <c r="E1012" s="25">
        <v>3240.75</v>
      </c>
    </row>
    <row r="1013" spans="1:5" ht="26" x14ac:dyDescent="0.3">
      <c r="A1013" s="17" t="str">
        <f>"24346"</f>
        <v>24346</v>
      </c>
      <c r="B1013" s="5" t="s">
        <v>1170</v>
      </c>
      <c r="C1013" s="17">
        <v>20230101</v>
      </c>
      <c r="D1013" s="17">
        <v>22991231</v>
      </c>
      <c r="E1013" s="25">
        <v>6208.9</v>
      </c>
    </row>
    <row r="1014" spans="1:5" x14ac:dyDescent="0.3">
      <c r="A1014" s="17" t="str">
        <f>"24357"</f>
        <v>24357</v>
      </c>
      <c r="B1014" s="5" t="s">
        <v>1171</v>
      </c>
      <c r="C1014" s="17">
        <v>20080101</v>
      </c>
      <c r="D1014" s="17">
        <v>22991231</v>
      </c>
      <c r="E1014" s="25">
        <v>1450.8</v>
      </c>
    </row>
    <row r="1015" spans="1:5" x14ac:dyDescent="0.3">
      <c r="A1015" s="17" t="str">
        <f>"24358"</f>
        <v>24358</v>
      </c>
      <c r="B1015" s="5" t="s">
        <v>1172</v>
      </c>
      <c r="C1015" s="17">
        <v>20080101</v>
      </c>
      <c r="D1015" s="17">
        <v>22991231</v>
      </c>
      <c r="E1015" s="25">
        <v>1450.8</v>
      </c>
    </row>
    <row r="1016" spans="1:5" ht="26" x14ac:dyDescent="0.3">
      <c r="A1016" s="17" t="str">
        <f>"24359"</f>
        <v>24359</v>
      </c>
      <c r="B1016" s="5" t="s">
        <v>1173</v>
      </c>
      <c r="C1016" s="17">
        <v>20080101</v>
      </c>
      <c r="D1016" s="17">
        <v>22991231</v>
      </c>
      <c r="E1016" s="25">
        <v>1450.8</v>
      </c>
    </row>
    <row r="1017" spans="1:5" x14ac:dyDescent="0.3">
      <c r="A1017" s="17" t="str">
        <f>"24360"</f>
        <v>24360</v>
      </c>
      <c r="B1017" s="5" t="s">
        <v>1174</v>
      </c>
      <c r="C1017" s="17">
        <v>19900101</v>
      </c>
      <c r="D1017" s="17">
        <v>22991231</v>
      </c>
      <c r="E1017" s="25">
        <v>5275.09</v>
      </c>
    </row>
    <row r="1018" spans="1:5" ht="26" x14ac:dyDescent="0.3">
      <c r="A1018" s="17" t="str">
        <f>"24361"</f>
        <v>24361</v>
      </c>
      <c r="B1018" s="5" t="s">
        <v>1175</v>
      </c>
      <c r="C1018" s="17">
        <v>19900101</v>
      </c>
      <c r="D1018" s="17">
        <v>22991231</v>
      </c>
      <c r="E1018" s="25">
        <v>13141.5</v>
      </c>
    </row>
    <row r="1019" spans="1:5" ht="26" x14ac:dyDescent="0.3">
      <c r="A1019" s="17" t="str">
        <f>"24362"</f>
        <v>24362</v>
      </c>
      <c r="B1019" s="5" t="s">
        <v>1176</v>
      </c>
      <c r="C1019" s="17">
        <v>19900101</v>
      </c>
      <c r="D1019" s="17">
        <v>22991231</v>
      </c>
      <c r="E1019" s="25">
        <v>8633.57</v>
      </c>
    </row>
    <row r="1020" spans="1:5" x14ac:dyDescent="0.3">
      <c r="A1020" s="17" t="str">
        <f>"24363"</f>
        <v>24363</v>
      </c>
      <c r="B1020" s="5" t="s">
        <v>1177</v>
      </c>
      <c r="C1020" s="17">
        <v>19900101</v>
      </c>
      <c r="D1020" s="17">
        <v>22991231</v>
      </c>
      <c r="E1020" s="25">
        <v>13041.39</v>
      </c>
    </row>
    <row r="1021" spans="1:5" ht="39" x14ac:dyDescent="0.3">
      <c r="A1021" s="17" t="str">
        <f>"24365"</f>
        <v>24365</v>
      </c>
      <c r="B1021" s="5" t="s">
        <v>1178</v>
      </c>
      <c r="C1021" s="17">
        <v>19900101</v>
      </c>
      <c r="D1021" s="17">
        <v>22991231</v>
      </c>
      <c r="E1021" s="25">
        <v>9165.58</v>
      </c>
    </row>
    <row r="1022" spans="1:5" ht="39" x14ac:dyDescent="0.3">
      <c r="A1022" s="17" t="str">
        <f>"24366"</f>
        <v>24366</v>
      </c>
      <c r="B1022" s="5" t="s">
        <v>1179</v>
      </c>
      <c r="C1022" s="17">
        <v>19900101</v>
      </c>
      <c r="D1022" s="17">
        <v>22991231</v>
      </c>
      <c r="E1022" s="25">
        <v>9149.99</v>
      </c>
    </row>
    <row r="1023" spans="1:5" ht="26" x14ac:dyDescent="0.3">
      <c r="A1023" s="17" t="str">
        <f>"24370"</f>
        <v>24370</v>
      </c>
      <c r="B1023" s="5" t="s">
        <v>1180</v>
      </c>
      <c r="C1023" s="17">
        <v>20130101</v>
      </c>
      <c r="D1023" s="17">
        <v>22991231</v>
      </c>
      <c r="E1023" s="25">
        <v>8239.76</v>
      </c>
    </row>
    <row r="1024" spans="1:5" ht="26" x14ac:dyDescent="0.3">
      <c r="A1024" s="17" t="str">
        <f>"24371"</f>
        <v>24371</v>
      </c>
      <c r="B1024" s="5" t="s">
        <v>1181</v>
      </c>
      <c r="C1024" s="17">
        <v>20130101</v>
      </c>
      <c r="D1024" s="17">
        <v>22991231</v>
      </c>
      <c r="E1024" s="25">
        <v>11867.6</v>
      </c>
    </row>
    <row r="1025" spans="1:5" x14ac:dyDescent="0.3">
      <c r="A1025" s="17" t="str">
        <f>"24400"</f>
        <v>24400</v>
      </c>
      <c r="B1025" s="5" t="s">
        <v>1182</v>
      </c>
      <c r="C1025" s="17">
        <v>19900101</v>
      </c>
      <c r="D1025" s="17">
        <v>22991231</v>
      </c>
      <c r="E1025" s="25">
        <v>3240.75</v>
      </c>
    </row>
    <row r="1026" spans="1:5" ht="26" x14ac:dyDescent="0.3">
      <c r="A1026" s="17" t="str">
        <f>"24410"</f>
        <v>24410</v>
      </c>
      <c r="B1026" s="5" t="s">
        <v>1183</v>
      </c>
      <c r="C1026" s="17">
        <v>19900101</v>
      </c>
      <c r="D1026" s="17">
        <v>22991231</v>
      </c>
      <c r="E1026" s="25">
        <v>6208.9</v>
      </c>
    </row>
    <row r="1027" spans="1:5" x14ac:dyDescent="0.3">
      <c r="A1027" s="17" t="str">
        <f>"24420"</f>
        <v>24420</v>
      </c>
      <c r="B1027" s="5" t="s">
        <v>1184</v>
      </c>
      <c r="C1027" s="17">
        <v>19900101</v>
      </c>
      <c r="D1027" s="17">
        <v>22991231</v>
      </c>
      <c r="E1027" s="25">
        <v>3240.75</v>
      </c>
    </row>
    <row r="1028" spans="1:5" x14ac:dyDescent="0.3">
      <c r="A1028" s="17" t="str">
        <f>"24430"</f>
        <v>24430</v>
      </c>
      <c r="B1028" s="5" t="s">
        <v>1185</v>
      </c>
      <c r="C1028" s="17">
        <v>19900101</v>
      </c>
      <c r="D1028" s="17">
        <v>22991231</v>
      </c>
      <c r="E1028" s="25">
        <v>8283.92</v>
      </c>
    </row>
    <row r="1029" spans="1:5" ht="26" x14ac:dyDescent="0.3">
      <c r="A1029" s="17" t="str">
        <f>"24435"</f>
        <v>24435</v>
      </c>
      <c r="B1029" s="5" t="s">
        <v>1186</v>
      </c>
      <c r="C1029" s="17">
        <v>19900101</v>
      </c>
      <c r="D1029" s="17">
        <v>22991231</v>
      </c>
      <c r="E1029" s="25">
        <v>8209.11</v>
      </c>
    </row>
    <row r="1030" spans="1:5" x14ac:dyDescent="0.3">
      <c r="A1030" s="17" t="str">
        <f>"24470"</f>
        <v>24470</v>
      </c>
      <c r="B1030" s="5" t="s">
        <v>1187</v>
      </c>
      <c r="C1030" s="17">
        <v>19900101</v>
      </c>
      <c r="D1030" s="17">
        <v>22991231</v>
      </c>
      <c r="E1030" s="25">
        <v>1450.8</v>
      </c>
    </row>
    <row r="1031" spans="1:5" ht="26" x14ac:dyDescent="0.3">
      <c r="A1031" s="17" t="str">
        <f>"24495"</f>
        <v>24495</v>
      </c>
      <c r="B1031" s="5" t="s">
        <v>1188</v>
      </c>
      <c r="C1031" s="17">
        <v>19900101</v>
      </c>
      <c r="D1031" s="17">
        <v>22991231</v>
      </c>
      <c r="E1031" s="25">
        <v>3240.75</v>
      </c>
    </row>
    <row r="1032" spans="1:5" x14ac:dyDescent="0.3">
      <c r="A1032" s="17" t="str">
        <f>"24498"</f>
        <v>24498</v>
      </c>
      <c r="B1032" s="5" t="s">
        <v>1189</v>
      </c>
      <c r="C1032" s="17">
        <v>19900101</v>
      </c>
      <c r="D1032" s="17">
        <v>22991231</v>
      </c>
      <c r="E1032" s="25">
        <v>8318.2099999999991</v>
      </c>
    </row>
    <row r="1033" spans="1:5" ht="26" x14ac:dyDescent="0.3">
      <c r="A1033" s="17" t="str">
        <f>"24500"</f>
        <v>24500</v>
      </c>
      <c r="B1033" s="5" t="s">
        <v>1190</v>
      </c>
      <c r="C1033" s="17">
        <v>19900101</v>
      </c>
      <c r="D1033" s="17">
        <v>22991231</v>
      </c>
      <c r="E1033" s="25">
        <v>116.84</v>
      </c>
    </row>
    <row r="1034" spans="1:5" ht="26" x14ac:dyDescent="0.3">
      <c r="A1034" s="17" t="str">
        <f>"24505"</f>
        <v>24505</v>
      </c>
      <c r="B1034" s="5" t="s">
        <v>1191</v>
      </c>
      <c r="C1034" s="17">
        <v>19900101</v>
      </c>
      <c r="D1034" s="17">
        <v>22991231</v>
      </c>
      <c r="E1034" s="25">
        <v>782.3</v>
      </c>
    </row>
    <row r="1035" spans="1:5" ht="39" x14ac:dyDescent="0.3">
      <c r="A1035" s="17" t="str">
        <f>"24515"</f>
        <v>24515</v>
      </c>
      <c r="B1035" s="5" t="s">
        <v>1192</v>
      </c>
      <c r="C1035" s="17">
        <v>19900101</v>
      </c>
      <c r="D1035" s="17">
        <v>22991231</v>
      </c>
      <c r="E1035" s="25">
        <v>8076.62</v>
      </c>
    </row>
    <row r="1036" spans="1:5" ht="39" x14ac:dyDescent="0.3">
      <c r="A1036" s="17" t="str">
        <f>"24516"</f>
        <v>24516</v>
      </c>
      <c r="B1036" s="5" t="s">
        <v>1193</v>
      </c>
      <c r="C1036" s="17">
        <v>19930101</v>
      </c>
      <c r="D1036" s="17">
        <v>22991231</v>
      </c>
      <c r="E1036" s="25">
        <v>8215.35</v>
      </c>
    </row>
    <row r="1037" spans="1:5" ht="26" x14ac:dyDescent="0.3">
      <c r="A1037" s="17" t="str">
        <f>"24530"</f>
        <v>24530</v>
      </c>
      <c r="B1037" s="5" t="s">
        <v>1194</v>
      </c>
      <c r="C1037" s="17">
        <v>19900101</v>
      </c>
      <c r="D1037" s="17">
        <v>22991231</v>
      </c>
      <c r="E1037" s="25">
        <v>116.84</v>
      </c>
    </row>
    <row r="1038" spans="1:5" ht="26" x14ac:dyDescent="0.3">
      <c r="A1038" s="17" t="str">
        <f>"24535"</f>
        <v>24535</v>
      </c>
      <c r="B1038" s="5" t="s">
        <v>1195</v>
      </c>
      <c r="C1038" s="17">
        <v>19900101</v>
      </c>
      <c r="D1038" s="17">
        <v>22991231</v>
      </c>
      <c r="E1038" s="25">
        <v>782.3</v>
      </c>
    </row>
    <row r="1039" spans="1:5" ht="26" x14ac:dyDescent="0.3">
      <c r="A1039" s="17" t="str">
        <f>"24538"</f>
        <v>24538</v>
      </c>
      <c r="B1039" s="5" t="s">
        <v>1196</v>
      </c>
      <c r="C1039" s="17">
        <v>19900101</v>
      </c>
      <c r="D1039" s="17">
        <v>22991231</v>
      </c>
      <c r="E1039" s="25">
        <v>3240.75</v>
      </c>
    </row>
    <row r="1040" spans="1:5" x14ac:dyDescent="0.3">
      <c r="A1040" s="17" t="str">
        <f>"24545"</f>
        <v>24545</v>
      </c>
      <c r="B1040" s="5" t="s">
        <v>1197</v>
      </c>
      <c r="C1040" s="17">
        <v>19900101</v>
      </c>
      <c r="D1040" s="17">
        <v>22991231</v>
      </c>
      <c r="E1040" s="25">
        <v>8481.8700000000008</v>
      </c>
    </row>
    <row r="1041" spans="1:5" ht="26" x14ac:dyDescent="0.3">
      <c r="A1041" s="17" t="str">
        <f>"24546"</f>
        <v>24546</v>
      </c>
      <c r="B1041" s="5" t="s">
        <v>1198</v>
      </c>
      <c r="C1041" s="17">
        <v>19930101</v>
      </c>
      <c r="D1041" s="17">
        <v>22991231</v>
      </c>
      <c r="E1041" s="25">
        <v>8646.56</v>
      </c>
    </row>
    <row r="1042" spans="1:5" ht="26" x14ac:dyDescent="0.3">
      <c r="A1042" s="17" t="str">
        <f>"24560"</f>
        <v>24560</v>
      </c>
      <c r="B1042" s="5" t="s">
        <v>1199</v>
      </c>
      <c r="C1042" s="17">
        <v>19900101</v>
      </c>
      <c r="D1042" s="17">
        <v>22991231</v>
      </c>
      <c r="E1042" s="25">
        <v>116.84</v>
      </c>
    </row>
    <row r="1043" spans="1:5" ht="26" x14ac:dyDescent="0.3">
      <c r="A1043" s="17" t="str">
        <f>"24565"</f>
        <v>24565</v>
      </c>
      <c r="B1043" s="5" t="s">
        <v>1200</v>
      </c>
      <c r="C1043" s="17">
        <v>19900101</v>
      </c>
      <c r="D1043" s="17">
        <v>22991231</v>
      </c>
      <c r="E1043" s="25">
        <v>782.3</v>
      </c>
    </row>
    <row r="1044" spans="1:5" ht="26" x14ac:dyDescent="0.3">
      <c r="A1044" s="17" t="str">
        <f>"24566"</f>
        <v>24566</v>
      </c>
      <c r="B1044" s="5" t="s">
        <v>1201</v>
      </c>
      <c r="C1044" s="17">
        <v>19940101</v>
      </c>
      <c r="D1044" s="17">
        <v>22991231</v>
      </c>
      <c r="E1044" s="25">
        <v>782.3</v>
      </c>
    </row>
    <row r="1045" spans="1:5" ht="26" x14ac:dyDescent="0.3">
      <c r="A1045" s="17" t="str">
        <f>"24575"</f>
        <v>24575</v>
      </c>
      <c r="B1045" s="5" t="s">
        <v>1202</v>
      </c>
      <c r="C1045" s="17">
        <v>19900101</v>
      </c>
      <c r="D1045" s="17">
        <v>22991231</v>
      </c>
      <c r="E1045" s="25">
        <v>7839.2</v>
      </c>
    </row>
    <row r="1046" spans="1:5" x14ac:dyDescent="0.3">
      <c r="A1046" s="17" t="str">
        <f>"24576"</f>
        <v>24576</v>
      </c>
      <c r="B1046" s="5" t="s">
        <v>1203</v>
      </c>
      <c r="C1046" s="17">
        <v>19900101</v>
      </c>
      <c r="D1046" s="17">
        <v>22991231</v>
      </c>
      <c r="E1046" s="25">
        <v>116.84</v>
      </c>
    </row>
    <row r="1047" spans="1:5" ht="26" x14ac:dyDescent="0.3">
      <c r="A1047" s="17" t="str">
        <f>"24577"</f>
        <v>24577</v>
      </c>
      <c r="B1047" s="5" t="s">
        <v>1204</v>
      </c>
      <c r="C1047" s="17">
        <v>19900101</v>
      </c>
      <c r="D1047" s="17">
        <v>22991231</v>
      </c>
      <c r="E1047" s="25">
        <v>782.3</v>
      </c>
    </row>
    <row r="1048" spans="1:5" x14ac:dyDescent="0.3">
      <c r="A1048" s="17" t="str">
        <f>"24579"</f>
        <v>24579</v>
      </c>
      <c r="B1048" s="5" t="s">
        <v>1205</v>
      </c>
      <c r="C1048" s="17">
        <v>19900101</v>
      </c>
      <c r="D1048" s="17">
        <v>22991231</v>
      </c>
      <c r="E1048" s="25">
        <v>7853.75</v>
      </c>
    </row>
    <row r="1049" spans="1:5" ht="26" x14ac:dyDescent="0.3">
      <c r="A1049" s="17" t="str">
        <f>"24582"</f>
        <v>24582</v>
      </c>
      <c r="B1049" s="5" t="s">
        <v>1206</v>
      </c>
      <c r="C1049" s="17">
        <v>19940101</v>
      </c>
      <c r="D1049" s="17">
        <v>22991231</v>
      </c>
      <c r="E1049" s="25">
        <v>3240.75</v>
      </c>
    </row>
    <row r="1050" spans="1:5" ht="26" x14ac:dyDescent="0.3">
      <c r="A1050" s="17" t="str">
        <f>"24586"</f>
        <v>24586</v>
      </c>
      <c r="B1050" s="5" t="s">
        <v>1207</v>
      </c>
      <c r="C1050" s="17">
        <v>19900101</v>
      </c>
      <c r="D1050" s="17">
        <v>22991231</v>
      </c>
      <c r="E1050" s="25">
        <v>8304.7000000000007</v>
      </c>
    </row>
    <row r="1051" spans="1:5" ht="26" x14ac:dyDescent="0.3">
      <c r="A1051" s="17" t="str">
        <f>"24587"</f>
        <v>24587</v>
      </c>
      <c r="B1051" s="5" t="s">
        <v>1208</v>
      </c>
      <c r="C1051" s="17">
        <v>19900101</v>
      </c>
      <c r="D1051" s="17">
        <v>22991231</v>
      </c>
      <c r="E1051" s="25">
        <v>8712.5400000000009</v>
      </c>
    </row>
    <row r="1052" spans="1:5" x14ac:dyDescent="0.3">
      <c r="A1052" s="17" t="str">
        <f>"24600"</f>
        <v>24600</v>
      </c>
      <c r="B1052" s="5" t="s">
        <v>1209</v>
      </c>
      <c r="C1052" s="17">
        <v>19900101</v>
      </c>
      <c r="D1052" s="17">
        <v>22991231</v>
      </c>
      <c r="E1052" s="25">
        <v>116.84</v>
      </c>
    </row>
    <row r="1053" spans="1:5" x14ac:dyDescent="0.3">
      <c r="A1053" s="17" t="str">
        <f>"24605"</f>
        <v>24605</v>
      </c>
      <c r="B1053" s="5" t="s">
        <v>1210</v>
      </c>
      <c r="C1053" s="17">
        <v>19900101</v>
      </c>
      <c r="D1053" s="17">
        <v>22991231</v>
      </c>
      <c r="E1053" s="25">
        <v>782.3</v>
      </c>
    </row>
    <row r="1054" spans="1:5" x14ac:dyDescent="0.3">
      <c r="A1054" s="17" t="str">
        <f>"24615"</f>
        <v>24615</v>
      </c>
      <c r="B1054" s="5" t="s">
        <v>1211</v>
      </c>
      <c r="C1054" s="17">
        <v>19900101</v>
      </c>
      <c r="D1054" s="17">
        <v>22991231</v>
      </c>
      <c r="E1054" s="25">
        <v>4719.7299999999996</v>
      </c>
    </row>
    <row r="1055" spans="1:5" ht="26" x14ac:dyDescent="0.3">
      <c r="A1055" s="17" t="str">
        <f>"24620"</f>
        <v>24620</v>
      </c>
      <c r="B1055" s="5" t="s">
        <v>1212</v>
      </c>
      <c r="C1055" s="17">
        <v>19900101</v>
      </c>
      <c r="D1055" s="17">
        <v>22991231</v>
      </c>
      <c r="E1055" s="25">
        <v>782.3</v>
      </c>
    </row>
    <row r="1056" spans="1:5" ht="26" x14ac:dyDescent="0.3">
      <c r="A1056" s="17" t="str">
        <f>"24635"</f>
        <v>24635</v>
      </c>
      <c r="B1056" s="5" t="s">
        <v>1213</v>
      </c>
      <c r="C1056" s="17">
        <v>19900101</v>
      </c>
      <c r="D1056" s="17">
        <v>22991231</v>
      </c>
      <c r="E1056" s="25">
        <v>4206.3900000000003</v>
      </c>
    </row>
    <row r="1057" spans="1:5" ht="26" x14ac:dyDescent="0.3">
      <c r="A1057" s="17" t="str">
        <f>"24640"</f>
        <v>24640</v>
      </c>
      <c r="B1057" s="5" t="s">
        <v>1214</v>
      </c>
      <c r="C1057" s="17">
        <v>19900101</v>
      </c>
      <c r="D1057" s="17">
        <v>22991231</v>
      </c>
      <c r="E1057" s="25">
        <v>56.92</v>
      </c>
    </row>
    <row r="1058" spans="1:5" ht="26" x14ac:dyDescent="0.3">
      <c r="A1058" s="17" t="str">
        <f>"24650"</f>
        <v>24650</v>
      </c>
      <c r="B1058" s="5" t="s">
        <v>1215</v>
      </c>
      <c r="C1058" s="17">
        <v>19900101</v>
      </c>
      <c r="D1058" s="17">
        <v>22991231</v>
      </c>
      <c r="E1058" s="25">
        <v>116.84</v>
      </c>
    </row>
    <row r="1059" spans="1:5" ht="26" x14ac:dyDescent="0.3">
      <c r="A1059" s="17" t="str">
        <f>"24655"</f>
        <v>24655</v>
      </c>
      <c r="B1059" s="5" t="s">
        <v>1216</v>
      </c>
      <c r="C1059" s="17">
        <v>19900101</v>
      </c>
      <c r="D1059" s="17">
        <v>22991231</v>
      </c>
      <c r="E1059" s="25">
        <v>782.3</v>
      </c>
    </row>
    <row r="1060" spans="1:5" ht="26" x14ac:dyDescent="0.3">
      <c r="A1060" s="17" t="str">
        <f>"24665"</f>
        <v>24665</v>
      </c>
      <c r="B1060" s="5" t="s">
        <v>1217</v>
      </c>
      <c r="C1060" s="17">
        <v>19900101</v>
      </c>
      <c r="D1060" s="17">
        <v>22991231</v>
      </c>
      <c r="E1060" s="25">
        <v>3240.75</v>
      </c>
    </row>
    <row r="1061" spans="1:5" ht="26" x14ac:dyDescent="0.3">
      <c r="A1061" s="17" t="str">
        <f>"24666"</f>
        <v>24666</v>
      </c>
      <c r="B1061" s="5" t="s">
        <v>1218</v>
      </c>
      <c r="C1061" s="17">
        <v>19900101</v>
      </c>
      <c r="D1061" s="17">
        <v>22991231</v>
      </c>
      <c r="E1061" s="25">
        <v>9045.57</v>
      </c>
    </row>
    <row r="1062" spans="1:5" ht="26" x14ac:dyDescent="0.3">
      <c r="A1062" s="17" t="str">
        <f>"24670"</f>
        <v>24670</v>
      </c>
      <c r="B1062" s="5" t="s">
        <v>1219</v>
      </c>
      <c r="C1062" s="17">
        <v>19900101</v>
      </c>
      <c r="D1062" s="17">
        <v>22991231</v>
      </c>
      <c r="E1062" s="25">
        <v>116.84</v>
      </c>
    </row>
    <row r="1063" spans="1:5" ht="26" x14ac:dyDescent="0.3">
      <c r="A1063" s="17" t="str">
        <f>"24675"</f>
        <v>24675</v>
      </c>
      <c r="B1063" s="5" t="s">
        <v>1220</v>
      </c>
      <c r="C1063" s="17">
        <v>19900101</v>
      </c>
      <c r="D1063" s="17">
        <v>22991231</v>
      </c>
      <c r="E1063" s="25">
        <v>782.3</v>
      </c>
    </row>
    <row r="1064" spans="1:5" ht="26" x14ac:dyDescent="0.3">
      <c r="A1064" s="17" t="str">
        <f>"24685"</f>
        <v>24685</v>
      </c>
      <c r="B1064" s="5" t="s">
        <v>1221</v>
      </c>
      <c r="C1064" s="17">
        <v>19900101</v>
      </c>
      <c r="D1064" s="17">
        <v>22991231</v>
      </c>
      <c r="E1064" s="25">
        <v>4126.13</v>
      </c>
    </row>
    <row r="1065" spans="1:5" ht="26" x14ac:dyDescent="0.3">
      <c r="A1065" s="17" t="str">
        <f>"24800"</f>
        <v>24800</v>
      </c>
      <c r="B1065" s="5" t="s">
        <v>1222</v>
      </c>
      <c r="C1065" s="17">
        <v>19900101</v>
      </c>
      <c r="D1065" s="17">
        <v>22991231</v>
      </c>
      <c r="E1065" s="25">
        <v>3240.75</v>
      </c>
    </row>
    <row r="1066" spans="1:5" ht="26" x14ac:dyDescent="0.3">
      <c r="A1066" s="17" t="str">
        <f>"24802"</f>
        <v>24802</v>
      </c>
      <c r="B1066" s="5" t="s">
        <v>1223</v>
      </c>
      <c r="C1066" s="17">
        <v>19900101</v>
      </c>
      <c r="D1066" s="17">
        <v>22991231</v>
      </c>
      <c r="E1066" s="25">
        <v>6208.9</v>
      </c>
    </row>
    <row r="1067" spans="1:5" ht="26" x14ac:dyDescent="0.3">
      <c r="A1067" s="17" t="str">
        <f>"24925"</f>
        <v>24925</v>
      </c>
      <c r="B1067" s="5" t="s">
        <v>1224</v>
      </c>
      <c r="C1067" s="17">
        <v>19900101</v>
      </c>
      <c r="D1067" s="17">
        <v>22991231</v>
      </c>
      <c r="E1067" s="25">
        <v>1450.8</v>
      </c>
    </row>
    <row r="1068" spans="1:5" x14ac:dyDescent="0.3">
      <c r="A1068" s="17" t="str">
        <f>"24935"</f>
        <v>24935</v>
      </c>
      <c r="B1068" s="5" t="s">
        <v>1225</v>
      </c>
      <c r="C1068" s="17">
        <v>19900101</v>
      </c>
      <c r="D1068" s="17">
        <v>22991231</v>
      </c>
      <c r="E1068" s="24" t="s">
        <v>7128</v>
      </c>
    </row>
    <row r="1069" spans="1:5" ht="26" x14ac:dyDescent="0.3">
      <c r="A1069" s="17" t="str">
        <f>"25000"</f>
        <v>25000</v>
      </c>
      <c r="B1069" s="5" t="s">
        <v>1226</v>
      </c>
      <c r="C1069" s="17">
        <v>19900101</v>
      </c>
      <c r="D1069" s="17">
        <v>22991231</v>
      </c>
      <c r="E1069" s="25">
        <v>782.3</v>
      </c>
    </row>
    <row r="1070" spans="1:5" ht="26" x14ac:dyDescent="0.3">
      <c r="A1070" s="17" t="str">
        <f>"25001"</f>
        <v>25001</v>
      </c>
      <c r="B1070" s="5" t="s">
        <v>1227</v>
      </c>
      <c r="C1070" s="17">
        <v>20230101</v>
      </c>
      <c r="D1070" s="17">
        <v>22991231</v>
      </c>
      <c r="E1070" s="25">
        <v>1450.8</v>
      </c>
    </row>
    <row r="1071" spans="1:5" ht="39" x14ac:dyDescent="0.3">
      <c r="A1071" s="17" t="str">
        <f>"25020"</f>
        <v>25020</v>
      </c>
      <c r="B1071" s="5" t="s">
        <v>1228</v>
      </c>
      <c r="C1071" s="17">
        <v>19900101</v>
      </c>
      <c r="D1071" s="17">
        <v>22991231</v>
      </c>
      <c r="E1071" s="25">
        <v>782.3</v>
      </c>
    </row>
    <row r="1072" spans="1:5" ht="39" x14ac:dyDescent="0.3">
      <c r="A1072" s="17" t="str">
        <f>"25023"</f>
        <v>25023</v>
      </c>
      <c r="B1072" s="5" t="s">
        <v>1229</v>
      </c>
      <c r="C1072" s="17">
        <v>19900101</v>
      </c>
      <c r="D1072" s="17">
        <v>22991231</v>
      </c>
      <c r="E1072" s="25">
        <v>1450.8</v>
      </c>
    </row>
    <row r="1073" spans="1:5" ht="39" x14ac:dyDescent="0.3">
      <c r="A1073" s="17" t="str">
        <f>"25024"</f>
        <v>25024</v>
      </c>
      <c r="B1073" s="5" t="s">
        <v>1230</v>
      </c>
      <c r="C1073" s="17">
        <v>20030401</v>
      </c>
      <c r="D1073" s="17">
        <v>22991231</v>
      </c>
      <c r="E1073" s="25">
        <v>1450.8</v>
      </c>
    </row>
    <row r="1074" spans="1:5" ht="39" x14ac:dyDescent="0.3">
      <c r="A1074" s="17" t="str">
        <f>"25025"</f>
        <v>25025</v>
      </c>
      <c r="B1074" s="5" t="s">
        <v>1231</v>
      </c>
      <c r="C1074" s="17">
        <v>20030401</v>
      </c>
      <c r="D1074" s="17">
        <v>22991231</v>
      </c>
      <c r="E1074" s="25">
        <v>782.3</v>
      </c>
    </row>
    <row r="1075" spans="1:5" ht="26" x14ac:dyDescent="0.3">
      <c r="A1075" s="17" t="str">
        <f>"25028"</f>
        <v>25028</v>
      </c>
      <c r="B1075" s="5" t="s">
        <v>1232</v>
      </c>
      <c r="C1075" s="17">
        <v>19900101</v>
      </c>
      <c r="D1075" s="17">
        <v>22991231</v>
      </c>
      <c r="E1075" s="25">
        <v>1450.8</v>
      </c>
    </row>
    <row r="1076" spans="1:5" x14ac:dyDescent="0.3">
      <c r="A1076" s="17" t="str">
        <f>"25031"</f>
        <v>25031</v>
      </c>
      <c r="B1076" s="5" t="s">
        <v>1233</v>
      </c>
      <c r="C1076" s="17">
        <v>19900101</v>
      </c>
      <c r="D1076" s="17">
        <v>22991231</v>
      </c>
      <c r="E1076" s="25">
        <v>782.3</v>
      </c>
    </row>
    <row r="1077" spans="1:5" x14ac:dyDescent="0.3">
      <c r="A1077" s="17" t="str">
        <f>"25035"</f>
        <v>25035</v>
      </c>
      <c r="B1077" s="5" t="s">
        <v>1234</v>
      </c>
      <c r="C1077" s="17">
        <v>19900101</v>
      </c>
      <c r="D1077" s="17">
        <v>22991231</v>
      </c>
      <c r="E1077" s="25">
        <v>3240.75</v>
      </c>
    </row>
    <row r="1078" spans="1:5" ht="26" x14ac:dyDescent="0.3">
      <c r="A1078" s="17" t="str">
        <f>"25040"</f>
        <v>25040</v>
      </c>
      <c r="B1078" s="5" t="s">
        <v>1235</v>
      </c>
      <c r="C1078" s="17">
        <v>19900101</v>
      </c>
      <c r="D1078" s="17">
        <v>22991231</v>
      </c>
      <c r="E1078" s="25">
        <v>1450.8</v>
      </c>
    </row>
    <row r="1079" spans="1:5" x14ac:dyDescent="0.3">
      <c r="A1079" s="17" t="str">
        <f>"25065"</f>
        <v>25065</v>
      </c>
      <c r="B1079" s="5" t="s">
        <v>1236</v>
      </c>
      <c r="C1079" s="17">
        <v>19900101</v>
      </c>
      <c r="D1079" s="17">
        <v>22991231</v>
      </c>
      <c r="E1079" s="25">
        <v>168.57</v>
      </c>
    </row>
    <row r="1080" spans="1:5" x14ac:dyDescent="0.3">
      <c r="A1080" s="17" t="str">
        <f>"25066"</f>
        <v>25066</v>
      </c>
      <c r="B1080" s="5" t="s">
        <v>1237</v>
      </c>
      <c r="C1080" s="17">
        <v>19900101</v>
      </c>
      <c r="D1080" s="17">
        <v>22991231</v>
      </c>
      <c r="E1080" s="25">
        <v>1105.24</v>
      </c>
    </row>
    <row r="1081" spans="1:5" ht="26" x14ac:dyDescent="0.3">
      <c r="A1081" s="17" t="str">
        <f>"25071"</f>
        <v>25071</v>
      </c>
      <c r="B1081" s="5" t="s">
        <v>1238</v>
      </c>
      <c r="C1081" s="17">
        <v>20100101</v>
      </c>
      <c r="D1081" s="17">
        <v>22991231</v>
      </c>
      <c r="E1081" s="25">
        <v>652.27</v>
      </c>
    </row>
    <row r="1082" spans="1:5" ht="26" x14ac:dyDescent="0.3">
      <c r="A1082" s="17" t="str">
        <f>"25073"</f>
        <v>25073</v>
      </c>
      <c r="B1082" s="5" t="s">
        <v>1239</v>
      </c>
      <c r="C1082" s="17">
        <v>20100101</v>
      </c>
      <c r="D1082" s="17">
        <v>22991231</v>
      </c>
      <c r="E1082" s="25">
        <v>1105.24</v>
      </c>
    </row>
    <row r="1083" spans="1:5" ht="26" x14ac:dyDescent="0.3">
      <c r="A1083" s="17" t="str">
        <f>"25075"</f>
        <v>25075</v>
      </c>
      <c r="B1083" s="5" t="s">
        <v>1240</v>
      </c>
      <c r="C1083" s="17">
        <v>19900101</v>
      </c>
      <c r="D1083" s="17">
        <v>22991231</v>
      </c>
      <c r="E1083" s="25">
        <v>652.27</v>
      </c>
    </row>
    <row r="1084" spans="1:5" ht="26" x14ac:dyDescent="0.3">
      <c r="A1084" s="17" t="str">
        <f>"25076"</f>
        <v>25076</v>
      </c>
      <c r="B1084" s="5" t="s">
        <v>1241</v>
      </c>
      <c r="C1084" s="17">
        <v>19900101</v>
      </c>
      <c r="D1084" s="17">
        <v>22991231</v>
      </c>
      <c r="E1084" s="25">
        <v>652.27</v>
      </c>
    </row>
    <row r="1085" spans="1:5" ht="26" x14ac:dyDescent="0.3">
      <c r="A1085" s="17" t="str">
        <f>"25077"</f>
        <v>25077</v>
      </c>
      <c r="B1085" s="5" t="s">
        <v>1242</v>
      </c>
      <c r="C1085" s="17">
        <v>19970801</v>
      </c>
      <c r="D1085" s="17">
        <v>22991231</v>
      </c>
      <c r="E1085" s="25">
        <v>1105.24</v>
      </c>
    </row>
    <row r="1086" spans="1:5" ht="26" x14ac:dyDescent="0.3">
      <c r="A1086" s="17" t="str">
        <f>"25078"</f>
        <v>25078</v>
      </c>
      <c r="B1086" s="5" t="s">
        <v>1243</v>
      </c>
      <c r="C1086" s="17">
        <v>20100101</v>
      </c>
      <c r="D1086" s="17">
        <v>22991231</v>
      </c>
      <c r="E1086" s="25">
        <v>1105.24</v>
      </c>
    </row>
    <row r="1087" spans="1:5" ht="26" x14ac:dyDescent="0.3">
      <c r="A1087" s="17" t="str">
        <f>"25085"</f>
        <v>25085</v>
      </c>
      <c r="B1087" s="5" t="s">
        <v>1244</v>
      </c>
      <c r="C1087" s="17">
        <v>19900101</v>
      </c>
      <c r="D1087" s="17">
        <v>22991231</v>
      </c>
      <c r="E1087" s="25">
        <v>1450.8</v>
      </c>
    </row>
    <row r="1088" spans="1:5" x14ac:dyDescent="0.3">
      <c r="A1088" s="17" t="str">
        <f>"25100"</f>
        <v>25100</v>
      </c>
      <c r="B1088" s="5" t="s">
        <v>1245</v>
      </c>
      <c r="C1088" s="17">
        <v>19900101</v>
      </c>
      <c r="D1088" s="17">
        <v>22991231</v>
      </c>
      <c r="E1088" s="25">
        <v>1450.8</v>
      </c>
    </row>
    <row r="1089" spans="1:5" x14ac:dyDescent="0.3">
      <c r="A1089" s="17" t="str">
        <f>"25101"</f>
        <v>25101</v>
      </c>
      <c r="B1089" s="5" t="s">
        <v>1246</v>
      </c>
      <c r="C1089" s="17">
        <v>19900101</v>
      </c>
      <c r="D1089" s="17">
        <v>22991231</v>
      </c>
      <c r="E1089" s="25">
        <v>1450.8</v>
      </c>
    </row>
    <row r="1090" spans="1:5" ht="26" x14ac:dyDescent="0.3">
      <c r="A1090" s="17" t="str">
        <f>"25105"</f>
        <v>25105</v>
      </c>
      <c r="B1090" s="5" t="s">
        <v>1247</v>
      </c>
      <c r="C1090" s="17">
        <v>19900101</v>
      </c>
      <c r="D1090" s="17">
        <v>22991231</v>
      </c>
      <c r="E1090" s="25">
        <v>1450.8</v>
      </c>
    </row>
    <row r="1091" spans="1:5" ht="26" x14ac:dyDescent="0.3">
      <c r="A1091" s="17" t="str">
        <f>"25107"</f>
        <v>25107</v>
      </c>
      <c r="B1091" s="5" t="s">
        <v>1248</v>
      </c>
      <c r="C1091" s="17">
        <v>19900101</v>
      </c>
      <c r="D1091" s="17">
        <v>22991231</v>
      </c>
      <c r="E1091" s="25">
        <v>1450.8</v>
      </c>
    </row>
    <row r="1092" spans="1:5" x14ac:dyDescent="0.3">
      <c r="A1092" s="17" t="str">
        <f>"25109"</f>
        <v>25109</v>
      </c>
      <c r="B1092" s="5" t="s">
        <v>1249</v>
      </c>
      <c r="C1092" s="17">
        <v>20230101</v>
      </c>
      <c r="D1092" s="17">
        <v>22991231</v>
      </c>
      <c r="E1092" s="25">
        <v>1450.8</v>
      </c>
    </row>
    <row r="1093" spans="1:5" ht="26" x14ac:dyDescent="0.3">
      <c r="A1093" s="17" t="str">
        <f>"25110"</f>
        <v>25110</v>
      </c>
      <c r="B1093" s="5" t="s">
        <v>1250</v>
      </c>
      <c r="C1093" s="17">
        <v>19900101</v>
      </c>
      <c r="D1093" s="17">
        <v>22991231</v>
      </c>
      <c r="E1093" s="25">
        <v>782.3</v>
      </c>
    </row>
    <row r="1094" spans="1:5" x14ac:dyDescent="0.3">
      <c r="A1094" s="17" t="str">
        <f>"25111"</f>
        <v>25111</v>
      </c>
      <c r="B1094" s="5" t="s">
        <v>1251</v>
      </c>
      <c r="C1094" s="17">
        <v>19900101</v>
      </c>
      <c r="D1094" s="17">
        <v>22991231</v>
      </c>
      <c r="E1094" s="25">
        <v>782.3</v>
      </c>
    </row>
    <row r="1095" spans="1:5" x14ac:dyDescent="0.3">
      <c r="A1095" s="17" t="str">
        <f>"25112"</f>
        <v>25112</v>
      </c>
      <c r="B1095" s="5" t="s">
        <v>1252</v>
      </c>
      <c r="C1095" s="17">
        <v>19900101</v>
      </c>
      <c r="D1095" s="17">
        <v>22991231</v>
      </c>
      <c r="E1095" s="25">
        <v>782.3</v>
      </c>
    </row>
    <row r="1096" spans="1:5" ht="26" x14ac:dyDescent="0.3">
      <c r="A1096" s="17" t="str">
        <f>"25115"</f>
        <v>25115</v>
      </c>
      <c r="B1096" s="5" t="s">
        <v>1253</v>
      </c>
      <c r="C1096" s="17">
        <v>19900101</v>
      </c>
      <c r="D1096" s="17">
        <v>22991231</v>
      </c>
      <c r="E1096" s="25">
        <v>782.3</v>
      </c>
    </row>
    <row r="1097" spans="1:5" ht="26" x14ac:dyDescent="0.3">
      <c r="A1097" s="17" t="str">
        <f>"25116"</f>
        <v>25116</v>
      </c>
      <c r="B1097" s="5" t="s">
        <v>1254</v>
      </c>
      <c r="C1097" s="17">
        <v>19900101</v>
      </c>
      <c r="D1097" s="17">
        <v>22991231</v>
      </c>
      <c r="E1097" s="25">
        <v>1450.8</v>
      </c>
    </row>
    <row r="1098" spans="1:5" x14ac:dyDescent="0.3">
      <c r="A1098" s="17" t="str">
        <f>"25118"</f>
        <v>25118</v>
      </c>
      <c r="B1098" s="5" t="s">
        <v>1255</v>
      </c>
      <c r="C1098" s="17">
        <v>19900101</v>
      </c>
      <c r="D1098" s="17">
        <v>22991231</v>
      </c>
      <c r="E1098" s="25">
        <v>782.3</v>
      </c>
    </row>
    <row r="1099" spans="1:5" ht="26" x14ac:dyDescent="0.3">
      <c r="A1099" s="17" t="str">
        <f>"25119"</f>
        <v>25119</v>
      </c>
      <c r="B1099" s="5" t="s">
        <v>1256</v>
      </c>
      <c r="C1099" s="17">
        <v>19900101</v>
      </c>
      <c r="D1099" s="17">
        <v>22991231</v>
      </c>
      <c r="E1099" s="25">
        <v>1450.8</v>
      </c>
    </row>
    <row r="1100" spans="1:5" ht="26" x14ac:dyDescent="0.3">
      <c r="A1100" s="17" t="str">
        <f>"25120"</f>
        <v>25120</v>
      </c>
      <c r="B1100" s="5" t="s">
        <v>1257</v>
      </c>
      <c r="C1100" s="17">
        <v>19900101</v>
      </c>
      <c r="D1100" s="17">
        <v>22991231</v>
      </c>
      <c r="E1100" s="25">
        <v>1450.8</v>
      </c>
    </row>
    <row r="1101" spans="1:5" ht="26" x14ac:dyDescent="0.3">
      <c r="A1101" s="17" t="str">
        <f>"25125"</f>
        <v>25125</v>
      </c>
      <c r="B1101" s="5" t="s">
        <v>1258</v>
      </c>
      <c r="C1101" s="17">
        <v>19900101</v>
      </c>
      <c r="D1101" s="17">
        <v>22991231</v>
      </c>
      <c r="E1101" s="25">
        <v>782.3</v>
      </c>
    </row>
    <row r="1102" spans="1:5" ht="26" x14ac:dyDescent="0.3">
      <c r="A1102" s="17" t="str">
        <f>"25126"</f>
        <v>25126</v>
      </c>
      <c r="B1102" s="5" t="s">
        <v>1259</v>
      </c>
      <c r="C1102" s="17">
        <v>19900101</v>
      </c>
      <c r="D1102" s="17">
        <v>22991231</v>
      </c>
      <c r="E1102" s="25">
        <v>1827.13</v>
      </c>
    </row>
    <row r="1103" spans="1:5" x14ac:dyDescent="0.3">
      <c r="A1103" s="17" t="str">
        <f>"25130"</f>
        <v>25130</v>
      </c>
      <c r="B1103" s="5" t="s">
        <v>1260</v>
      </c>
      <c r="C1103" s="17">
        <v>19900101</v>
      </c>
      <c r="D1103" s="17">
        <v>22991231</v>
      </c>
      <c r="E1103" s="25">
        <v>1450.8</v>
      </c>
    </row>
    <row r="1104" spans="1:5" ht="26" x14ac:dyDescent="0.3">
      <c r="A1104" s="17" t="str">
        <f>"25135"</f>
        <v>25135</v>
      </c>
      <c r="B1104" s="5" t="s">
        <v>1261</v>
      </c>
      <c r="C1104" s="17">
        <v>19900101</v>
      </c>
      <c r="D1104" s="17">
        <v>22991231</v>
      </c>
      <c r="E1104" s="25">
        <v>3240.75</v>
      </c>
    </row>
    <row r="1105" spans="1:5" ht="26" x14ac:dyDescent="0.3">
      <c r="A1105" s="17" t="str">
        <f>"25136"</f>
        <v>25136</v>
      </c>
      <c r="B1105" s="5" t="s">
        <v>1262</v>
      </c>
      <c r="C1105" s="17">
        <v>19900101</v>
      </c>
      <c r="D1105" s="17">
        <v>22991231</v>
      </c>
      <c r="E1105" s="25">
        <v>3240.75</v>
      </c>
    </row>
    <row r="1106" spans="1:5" ht="26" x14ac:dyDescent="0.3">
      <c r="A1106" s="17" t="str">
        <f>"25145"</f>
        <v>25145</v>
      </c>
      <c r="B1106" s="5" t="s">
        <v>1263</v>
      </c>
      <c r="C1106" s="17">
        <v>19900101</v>
      </c>
      <c r="D1106" s="17">
        <v>22991231</v>
      </c>
      <c r="E1106" s="25">
        <v>1450.8</v>
      </c>
    </row>
    <row r="1107" spans="1:5" ht="26" x14ac:dyDescent="0.3">
      <c r="A1107" s="17" t="str">
        <f>"25150"</f>
        <v>25150</v>
      </c>
      <c r="B1107" s="5" t="s">
        <v>1264</v>
      </c>
      <c r="C1107" s="17">
        <v>19900101</v>
      </c>
      <c r="D1107" s="17">
        <v>22991231</v>
      </c>
      <c r="E1107" s="25">
        <v>1450.8</v>
      </c>
    </row>
    <row r="1108" spans="1:5" ht="26" x14ac:dyDescent="0.3">
      <c r="A1108" s="17" t="str">
        <f>"25151"</f>
        <v>25151</v>
      </c>
      <c r="B1108" s="5" t="s">
        <v>1265</v>
      </c>
      <c r="C1108" s="17">
        <v>19900101</v>
      </c>
      <c r="D1108" s="17">
        <v>22991231</v>
      </c>
      <c r="E1108" s="25">
        <v>1450.8</v>
      </c>
    </row>
    <row r="1109" spans="1:5" ht="26" x14ac:dyDescent="0.3">
      <c r="A1109" s="17" t="str">
        <f>"25170"</f>
        <v>25170</v>
      </c>
      <c r="B1109" s="5" t="s">
        <v>1266</v>
      </c>
      <c r="C1109" s="17">
        <v>19900101</v>
      </c>
      <c r="D1109" s="17">
        <v>22991231</v>
      </c>
      <c r="E1109" s="24" t="s">
        <v>7128</v>
      </c>
    </row>
    <row r="1110" spans="1:5" x14ac:dyDescent="0.3">
      <c r="A1110" s="17" t="str">
        <f>"25210"</f>
        <v>25210</v>
      </c>
      <c r="B1110" s="5" t="s">
        <v>1267</v>
      </c>
      <c r="C1110" s="17">
        <v>19900101</v>
      </c>
      <c r="D1110" s="17">
        <v>22991231</v>
      </c>
      <c r="E1110" s="25">
        <v>1450.8</v>
      </c>
    </row>
    <row r="1111" spans="1:5" x14ac:dyDescent="0.3">
      <c r="A1111" s="17" t="str">
        <f>"25215"</f>
        <v>25215</v>
      </c>
      <c r="B1111" s="5" t="s">
        <v>1268</v>
      </c>
      <c r="C1111" s="17">
        <v>19900101</v>
      </c>
      <c r="D1111" s="17">
        <v>22991231</v>
      </c>
      <c r="E1111" s="25">
        <v>1450.8</v>
      </c>
    </row>
    <row r="1112" spans="1:5" x14ac:dyDescent="0.3">
      <c r="A1112" s="17" t="str">
        <f>"25230"</f>
        <v>25230</v>
      </c>
      <c r="B1112" s="5" t="s">
        <v>1269</v>
      </c>
      <c r="C1112" s="17">
        <v>19900101</v>
      </c>
      <c r="D1112" s="17">
        <v>22991231</v>
      </c>
      <c r="E1112" s="25">
        <v>1450.8</v>
      </c>
    </row>
    <row r="1113" spans="1:5" ht="26" x14ac:dyDescent="0.3">
      <c r="A1113" s="17" t="str">
        <f>"25240"</f>
        <v>25240</v>
      </c>
      <c r="B1113" s="5" t="s">
        <v>1270</v>
      </c>
      <c r="C1113" s="17">
        <v>19900101</v>
      </c>
      <c r="D1113" s="17">
        <v>22991231</v>
      </c>
      <c r="E1113" s="25">
        <v>1450.8</v>
      </c>
    </row>
    <row r="1114" spans="1:5" x14ac:dyDescent="0.3">
      <c r="A1114" s="17" t="str">
        <f>"25246"</f>
        <v>25246</v>
      </c>
      <c r="B1114" s="5" t="s">
        <v>1271</v>
      </c>
      <c r="C1114" s="17">
        <v>19900101</v>
      </c>
      <c r="D1114" s="17">
        <v>22991231</v>
      </c>
      <c r="E1114" s="25">
        <v>0</v>
      </c>
    </row>
    <row r="1115" spans="1:5" ht="26" x14ac:dyDescent="0.3">
      <c r="A1115" s="17" t="str">
        <f>"25248"</f>
        <v>25248</v>
      </c>
      <c r="B1115" s="5" t="s">
        <v>1272</v>
      </c>
      <c r="C1115" s="17">
        <v>19900101</v>
      </c>
      <c r="D1115" s="17">
        <v>22991231</v>
      </c>
      <c r="E1115" s="25">
        <v>782.3</v>
      </c>
    </row>
    <row r="1116" spans="1:5" x14ac:dyDescent="0.3">
      <c r="A1116" s="17" t="str">
        <f>"25250"</f>
        <v>25250</v>
      </c>
      <c r="B1116" s="5" t="s">
        <v>1273</v>
      </c>
      <c r="C1116" s="17">
        <v>19900101</v>
      </c>
      <c r="D1116" s="17">
        <v>22991231</v>
      </c>
      <c r="E1116" s="25">
        <v>782.3</v>
      </c>
    </row>
    <row r="1117" spans="1:5" x14ac:dyDescent="0.3">
      <c r="A1117" s="17" t="str">
        <f>"25251"</f>
        <v>25251</v>
      </c>
      <c r="B1117" s="5" t="s">
        <v>1274</v>
      </c>
      <c r="C1117" s="17">
        <v>19900101</v>
      </c>
      <c r="D1117" s="17">
        <v>22991231</v>
      </c>
      <c r="E1117" s="25">
        <v>1450.8</v>
      </c>
    </row>
    <row r="1118" spans="1:5" x14ac:dyDescent="0.3">
      <c r="A1118" s="17" t="str">
        <f>"25259"</f>
        <v>25259</v>
      </c>
      <c r="B1118" s="5" t="s">
        <v>1275</v>
      </c>
      <c r="C1118" s="17">
        <v>20230101</v>
      </c>
      <c r="D1118" s="17">
        <v>22991231</v>
      </c>
      <c r="E1118" s="25">
        <v>782.3</v>
      </c>
    </row>
    <row r="1119" spans="1:5" ht="26" x14ac:dyDescent="0.3">
      <c r="A1119" s="17" t="str">
        <f>"25260"</f>
        <v>25260</v>
      </c>
      <c r="B1119" s="5" t="s">
        <v>1276</v>
      </c>
      <c r="C1119" s="17">
        <v>19900101</v>
      </c>
      <c r="D1119" s="17">
        <v>22991231</v>
      </c>
      <c r="E1119" s="25">
        <v>1450.8</v>
      </c>
    </row>
    <row r="1120" spans="1:5" ht="26" x14ac:dyDescent="0.3">
      <c r="A1120" s="17" t="str">
        <f>"25263"</f>
        <v>25263</v>
      </c>
      <c r="B1120" s="5" t="s">
        <v>1277</v>
      </c>
      <c r="C1120" s="17">
        <v>19900101</v>
      </c>
      <c r="D1120" s="17">
        <v>22991231</v>
      </c>
      <c r="E1120" s="25">
        <v>3240.75</v>
      </c>
    </row>
    <row r="1121" spans="1:5" ht="26" x14ac:dyDescent="0.3">
      <c r="A1121" s="17" t="str">
        <f>"25265"</f>
        <v>25265</v>
      </c>
      <c r="B1121" s="5" t="s">
        <v>1278</v>
      </c>
      <c r="C1121" s="17">
        <v>19900101</v>
      </c>
      <c r="D1121" s="17">
        <v>22991231</v>
      </c>
      <c r="E1121" s="25">
        <v>1450.8</v>
      </c>
    </row>
    <row r="1122" spans="1:5" ht="26" x14ac:dyDescent="0.3">
      <c r="A1122" s="17" t="str">
        <f>"25270"</f>
        <v>25270</v>
      </c>
      <c r="B1122" s="5" t="s">
        <v>1279</v>
      </c>
      <c r="C1122" s="17">
        <v>19900101</v>
      </c>
      <c r="D1122" s="17">
        <v>22991231</v>
      </c>
      <c r="E1122" s="25">
        <v>1450.8</v>
      </c>
    </row>
    <row r="1123" spans="1:5" ht="26" x14ac:dyDescent="0.3">
      <c r="A1123" s="17" t="str">
        <f>"25272"</f>
        <v>25272</v>
      </c>
      <c r="B1123" s="5" t="s">
        <v>1280</v>
      </c>
      <c r="C1123" s="17">
        <v>19900101</v>
      </c>
      <c r="D1123" s="17">
        <v>22991231</v>
      </c>
      <c r="E1123" s="25">
        <v>1450.8</v>
      </c>
    </row>
    <row r="1124" spans="1:5" ht="26" x14ac:dyDescent="0.3">
      <c r="A1124" s="17" t="str">
        <f>"25274"</f>
        <v>25274</v>
      </c>
      <c r="B1124" s="5" t="s">
        <v>1281</v>
      </c>
      <c r="C1124" s="17">
        <v>19900101</v>
      </c>
      <c r="D1124" s="17">
        <v>22991231</v>
      </c>
      <c r="E1124" s="25">
        <v>1450.8</v>
      </c>
    </row>
    <row r="1125" spans="1:5" ht="26" x14ac:dyDescent="0.3">
      <c r="A1125" s="17" t="str">
        <f>"25275"</f>
        <v>25275</v>
      </c>
      <c r="B1125" s="5" t="s">
        <v>1282</v>
      </c>
      <c r="C1125" s="17">
        <v>20030401</v>
      </c>
      <c r="D1125" s="17">
        <v>22991231</v>
      </c>
      <c r="E1125" s="25">
        <v>1450.8</v>
      </c>
    </row>
    <row r="1126" spans="1:5" ht="26" x14ac:dyDescent="0.3">
      <c r="A1126" s="17" t="str">
        <f>"25280"</f>
        <v>25280</v>
      </c>
      <c r="B1126" s="5" t="s">
        <v>1283</v>
      </c>
      <c r="C1126" s="17">
        <v>19900101</v>
      </c>
      <c r="D1126" s="17">
        <v>22991231</v>
      </c>
      <c r="E1126" s="25">
        <v>1450.8</v>
      </c>
    </row>
    <row r="1127" spans="1:5" ht="26" x14ac:dyDescent="0.3">
      <c r="A1127" s="17" t="str">
        <f>"25290"</f>
        <v>25290</v>
      </c>
      <c r="B1127" s="5" t="s">
        <v>1284</v>
      </c>
      <c r="C1127" s="17">
        <v>19900101</v>
      </c>
      <c r="D1127" s="17">
        <v>22991231</v>
      </c>
      <c r="E1127" s="25">
        <v>1450.8</v>
      </c>
    </row>
    <row r="1128" spans="1:5" ht="26" x14ac:dyDescent="0.3">
      <c r="A1128" s="17" t="str">
        <f>"25295"</f>
        <v>25295</v>
      </c>
      <c r="B1128" s="5" t="s">
        <v>1285</v>
      </c>
      <c r="C1128" s="17">
        <v>19900101</v>
      </c>
      <c r="D1128" s="17">
        <v>22991231</v>
      </c>
      <c r="E1128" s="25">
        <v>1450.8</v>
      </c>
    </row>
    <row r="1129" spans="1:5" ht="26" x14ac:dyDescent="0.3">
      <c r="A1129" s="17" t="str">
        <f>"25300"</f>
        <v>25300</v>
      </c>
      <c r="B1129" s="5" t="s">
        <v>1286</v>
      </c>
      <c r="C1129" s="17">
        <v>19900101</v>
      </c>
      <c r="D1129" s="17">
        <v>22991231</v>
      </c>
      <c r="E1129" s="25">
        <v>1450.8</v>
      </c>
    </row>
    <row r="1130" spans="1:5" ht="26" x14ac:dyDescent="0.3">
      <c r="A1130" s="17" t="str">
        <f>"25301"</f>
        <v>25301</v>
      </c>
      <c r="B1130" s="5" t="s">
        <v>1287</v>
      </c>
      <c r="C1130" s="17">
        <v>19900101</v>
      </c>
      <c r="D1130" s="17">
        <v>22991231</v>
      </c>
      <c r="E1130" s="25">
        <v>1450.8</v>
      </c>
    </row>
    <row r="1131" spans="1:5" x14ac:dyDescent="0.3">
      <c r="A1131" s="17" t="str">
        <f>"25310"</f>
        <v>25310</v>
      </c>
      <c r="B1131" s="5" t="s">
        <v>1288</v>
      </c>
      <c r="C1131" s="17">
        <v>19900101</v>
      </c>
      <c r="D1131" s="17">
        <v>22991231</v>
      </c>
      <c r="E1131" s="25">
        <v>1450.8</v>
      </c>
    </row>
    <row r="1132" spans="1:5" ht="26" x14ac:dyDescent="0.3">
      <c r="A1132" s="17" t="str">
        <f>"25312"</f>
        <v>25312</v>
      </c>
      <c r="B1132" s="5" t="s">
        <v>1289</v>
      </c>
      <c r="C1132" s="17">
        <v>19900101</v>
      </c>
      <c r="D1132" s="17">
        <v>22991231</v>
      </c>
      <c r="E1132" s="25">
        <v>1450.8</v>
      </c>
    </row>
    <row r="1133" spans="1:5" x14ac:dyDescent="0.3">
      <c r="A1133" s="17" t="str">
        <f>"25315"</f>
        <v>25315</v>
      </c>
      <c r="B1133" s="5" t="s">
        <v>1290</v>
      </c>
      <c r="C1133" s="17">
        <v>19900101</v>
      </c>
      <c r="D1133" s="17">
        <v>22991231</v>
      </c>
      <c r="E1133" s="25">
        <v>3240.75</v>
      </c>
    </row>
    <row r="1134" spans="1:5" ht="26" x14ac:dyDescent="0.3">
      <c r="A1134" s="17" t="str">
        <f>"25316"</f>
        <v>25316</v>
      </c>
      <c r="B1134" s="5" t="s">
        <v>1291</v>
      </c>
      <c r="C1134" s="17">
        <v>19900101</v>
      </c>
      <c r="D1134" s="17">
        <v>22991231</v>
      </c>
      <c r="E1134" s="25">
        <v>3240.75</v>
      </c>
    </row>
    <row r="1135" spans="1:5" x14ac:dyDescent="0.3">
      <c r="A1135" s="17" t="str">
        <f>"25320"</f>
        <v>25320</v>
      </c>
      <c r="B1135" s="5" t="s">
        <v>1292</v>
      </c>
      <c r="C1135" s="17">
        <v>19900101</v>
      </c>
      <c r="D1135" s="17">
        <v>22991231</v>
      </c>
      <c r="E1135" s="25">
        <v>3240.75</v>
      </c>
    </row>
    <row r="1136" spans="1:5" x14ac:dyDescent="0.3">
      <c r="A1136" s="17" t="str">
        <f>"25332"</f>
        <v>25332</v>
      </c>
      <c r="B1136" s="5" t="s">
        <v>1293</v>
      </c>
      <c r="C1136" s="17">
        <v>19900101</v>
      </c>
      <c r="D1136" s="17">
        <v>22991231</v>
      </c>
      <c r="E1136" s="25">
        <v>1867.67</v>
      </c>
    </row>
    <row r="1137" spans="1:5" ht="26" x14ac:dyDescent="0.3">
      <c r="A1137" s="17" t="str">
        <f>"25335"</f>
        <v>25335</v>
      </c>
      <c r="B1137" s="5" t="s">
        <v>1294</v>
      </c>
      <c r="C1137" s="17">
        <v>19900101</v>
      </c>
      <c r="D1137" s="17">
        <v>22991231</v>
      </c>
      <c r="E1137" s="25">
        <v>1450.8</v>
      </c>
    </row>
    <row r="1138" spans="1:5" x14ac:dyDescent="0.3">
      <c r="A1138" s="17" t="str">
        <f>"25337"</f>
        <v>25337</v>
      </c>
      <c r="B1138" s="5" t="s">
        <v>1295</v>
      </c>
      <c r="C1138" s="17">
        <v>19900101</v>
      </c>
      <c r="D1138" s="17">
        <v>22991231</v>
      </c>
      <c r="E1138" s="25">
        <v>3240.75</v>
      </c>
    </row>
    <row r="1139" spans="1:5" ht="26" x14ac:dyDescent="0.3">
      <c r="A1139" s="17" t="str">
        <f>"25350"</f>
        <v>25350</v>
      </c>
      <c r="B1139" s="5" t="s">
        <v>1296</v>
      </c>
      <c r="C1139" s="17">
        <v>19900101</v>
      </c>
      <c r="D1139" s="17">
        <v>22991231</v>
      </c>
      <c r="E1139" s="25">
        <v>4631.6000000000004</v>
      </c>
    </row>
    <row r="1140" spans="1:5" ht="26" x14ac:dyDescent="0.3">
      <c r="A1140" s="17" t="str">
        <f>"25355"</f>
        <v>25355</v>
      </c>
      <c r="B1140" s="5" t="s">
        <v>1297</v>
      </c>
      <c r="C1140" s="17">
        <v>19900101</v>
      </c>
      <c r="D1140" s="17">
        <v>22991231</v>
      </c>
      <c r="E1140" s="25">
        <v>1450.8</v>
      </c>
    </row>
    <row r="1141" spans="1:5" ht="26" x14ac:dyDescent="0.3">
      <c r="A1141" s="17" t="str">
        <f>"25360"</f>
        <v>25360</v>
      </c>
      <c r="B1141" s="5" t="s">
        <v>1298</v>
      </c>
      <c r="C1141" s="17">
        <v>19900101</v>
      </c>
      <c r="D1141" s="17">
        <v>22991231</v>
      </c>
      <c r="E1141" s="25">
        <v>4180.09</v>
      </c>
    </row>
    <row r="1142" spans="1:5" ht="26" x14ac:dyDescent="0.3">
      <c r="A1142" s="17" t="str">
        <f>"25365"</f>
        <v>25365</v>
      </c>
      <c r="B1142" s="5" t="s">
        <v>1299</v>
      </c>
      <c r="C1142" s="17">
        <v>19900101</v>
      </c>
      <c r="D1142" s="17">
        <v>22991231</v>
      </c>
      <c r="E1142" s="25">
        <v>6208.9</v>
      </c>
    </row>
    <row r="1143" spans="1:5" ht="26" x14ac:dyDescent="0.3">
      <c r="A1143" s="17" t="str">
        <f>"25370"</f>
        <v>25370</v>
      </c>
      <c r="B1143" s="5" t="s">
        <v>1300</v>
      </c>
      <c r="C1143" s="17">
        <v>19900101</v>
      </c>
      <c r="D1143" s="17">
        <v>22991231</v>
      </c>
      <c r="E1143" s="25">
        <v>1450.8</v>
      </c>
    </row>
    <row r="1144" spans="1:5" ht="26" x14ac:dyDescent="0.3">
      <c r="A1144" s="17" t="str">
        <f>"25375"</f>
        <v>25375</v>
      </c>
      <c r="B1144" s="5" t="s">
        <v>1301</v>
      </c>
      <c r="C1144" s="17">
        <v>19900101</v>
      </c>
      <c r="D1144" s="17">
        <v>22991231</v>
      </c>
      <c r="E1144" s="25">
        <v>1450.8</v>
      </c>
    </row>
    <row r="1145" spans="1:5" x14ac:dyDescent="0.3">
      <c r="A1145" s="17" t="str">
        <f>"25390"</f>
        <v>25390</v>
      </c>
      <c r="B1145" s="5" t="s">
        <v>1302</v>
      </c>
      <c r="C1145" s="17">
        <v>19900101</v>
      </c>
      <c r="D1145" s="17">
        <v>22991231</v>
      </c>
      <c r="E1145" s="25">
        <v>4290.46</v>
      </c>
    </row>
    <row r="1146" spans="1:5" ht="26" x14ac:dyDescent="0.3">
      <c r="A1146" s="17" t="str">
        <f>"25391"</f>
        <v>25391</v>
      </c>
      <c r="B1146" s="5" t="s">
        <v>1303</v>
      </c>
      <c r="C1146" s="17">
        <v>19900101</v>
      </c>
      <c r="D1146" s="17">
        <v>22991231</v>
      </c>
      <c r="E1146" s="25">
        <v>8384.7199999999993</v>
      </c>
    </row>
    <row r="1147" spans="1:5" x14ac:dyDescent="0.3">
      <c r="A1147" s="17" t="str">
        <f>"25392"</f>
        <v>25392</v>
      </c>
      <c r="B1147" s="5" t="s">
        <v>1304</v>
      </c>
      <c r="C1147" s="17">
        <v>19900101</v>
      </c>
      <c r="D1147" s="17">
        <v>22991231</v>
      </c>
      <c r="E1147" s="25">
        <v>3240.75</v>
      </c>
    </row>
    <row r="1148" spans="1:5" ht="26" x14ac:dyDescent="0.3">
      <c r="A1148" s="17" t="str">
        <f>"25393"</f>
        <v>25393</v>
      </c>
      <c r="B1148" s="5" t="s">
        <v>1305</v>
      </c>
      <c r="C1148" s="17">
        <v>19900101</v>
      </c>
      <c r="D1148" s="17">
        <v>22991231</v>
      </c>
      <c r="E1148" s="25">
        <v>4119.62</v>
      </c>
    </row>
    <row r="1149" spans="1:5" x14ac:dyDescent="0.3">
      <c r="A1149" s="17" t="str">
        <f>"25394"</f>
        <v>25394</v>
      </c>
      <c r="B1149" s="5" t="s">
        <v>1306</v>
      </c>
      <c r="C1149" s="17">
        <v>20230101</v>
      </c>
      <c r="D1149" s="17">
        <v>22991231</v>
      </c>
      <c r="E1149" s="25">
        <v>1450.8</v>
      </c>
    </row>
    <row r="1150" spans="1:5" x14ac:dyDescent="0.3">
      <c r="A1150" s="17" t="str">
        <f>"25400"</f>
        <v>25400</v>
      </c>
      <c r="B1150" s="5" t="s">
        <v>1307</v>
      </c>
      <c r="C1150" s="17">
        <v>19900101</v>
      </c>
      <c r="D1150" s="17">
        <v>22991231</v>
      </c>
      <c r="E1150" s="25">
        <v>4318.9399999999996</v>
      </c>
    </row>
    <row r="1151" spans="1:5" ht="26" x14ac:dyDescent="0.3">
      <c r="A1151" s="17" t="str">
        <f>"25405"</f>
        <v>25405</v>
      </c>
      <c r="B1151" s="5" t="s">
        <v>1308</v>
      </c>
      <c r="C1151" s="17">
        <v>19900101</v>
      </c>
      <c r="D1151" s="17">
        <v>22991231</v>
      </c>
      <c r="E1151" s="25">
        <v>4276.6400000000003</v>
      </c>
    </row>
    <row r="1152" spans="1:5" ht="26" x14ac:dyDescent="0.3">
      <c r="A1152" s="17" t="str">
        <f>"25415"</f>
        <v>25415</v>
      </c>
      <c r="B1152" s="5" t="s">
        <v>1309</v>
      </c>
      <c r="C1152" s="17">
        <v>19900101</v>
      </c>
      <c r="D1152" s="17">
        <v>22991231</v>
      </c>
      <c r="E1152" s="25">
        <v>4081.38</v>
      </c>
    </row>
    <row r="1153" spans="1:5" ht="26" x14ac:dyDescent="0.3">
      <c r="A1153" s="17" t="str">
        <f>"25420"</f>
        <v>25420</v>
      </c>
      <c r="B1153" s="5" t="s">
        <v>1310</v>
      </c>
      <c r="C1153" s="17">
        <v>19900101</v>
      </c>
      <c r="D1153" s="17">
        <v>22991231</v>
      </c>
      <c r="E1153" s="25">
        <v>4081.38</v>
      </c>
    </row>
    <row r="1154" spans="1:5" x14ac:dyDescent="0.3">
      <c r="A1154" s="17" t="str">
        <f>"25425"</f>
        <v>25425</v>
      </c>
      <c r="B1154" s="5" t="s">
        <v>1311</v>
      </c>
      <c r="C1154" s="17">
        <v>19900101</v>
      </c>
      <c r="D1154" s="17">
        <v>22991231</v>
      </c>
      <c r="E1154" s="25">
        <v>4127.21</v>
      </c>
    </row>
    <row r="1155" spans="1:5" ht="26" x14ac:dyDescent="0.3">
      <c r="A1155" s="17" t="str">
        <f>"25426"</f>
        <v>25426</v>
      </c>
      <c r="B1155" s="5" t="s">
        <v>1312</v>
      </c>
      <c r="C1155" s="17">
        <v>19900101</v>
      </c>
      <c r="D1155" s="17">
        <v>22991231</v>
      </c>
      <c r="E1155" s="25">
        <v>1900.09</v>
      </c>
    </row>
    <row r="1156" spans="1:5" x14ac:dyDescent="0.3">
      <c r="A1156" s="17" t="str">
        <f>"25430"</f>
        <v>25430</v>
      </c>
      <c r="B1156" s="5" t="s">
        <v>1313</v>
      </c>
      <c r="C1156" s="17">
        <v>20230101</v>
      </c>
      <c r="D1156" s="17">
        <v>22991231</v>
      </c>
      <c r="E1156" s="25">
        <v>1450.8</v>
      </c>
    </row>
    <row r="1157" spans="1:5" ht="26" x14ac:dyDescent="0.3">
      <c r="A1157" s="17" t="str">
        <f>"25431"</f>
        <v>25431</v>
      </c>
      <c r="B1157" s="5" t="s">
        <v>1314</v>
      </c>
      <c r="C1157" s="17">
        <v>20230101</v>
      </c>
      <c r="D1157" s="17">
        <v>22991231</v>
      </c>
      <c r="E1157" s="25">
        <v>4471.33</v>
      </c>
    </row>
    <row r="1158" spans="1:5" ht="26" x14ac:dyDescent="0.3">
      <c r="A1158" s="17" t="str">
        <f>"25440"</f>
        <v>25440</v>
      </c>
      <c r="B1158" s="5" t="s">
        <v>1315</v>
      </c>
      <c r="C1158" s="17">
        <v>19900101</v>
      </c>
      <c r="D1158" s="17">
        <v>22991231</v>
      </c>
      <c r="E1158" s="25">
        <v>4243.82</v>
      </c>
    </row>
    <row r="1159" spans="1:5" ht="26" x14ac:dyDescent="0.3">
      <c r="A1159" s="17" t="str">
        <f>"25441"</f>
        <v>25441</v>
      </c>
      <c r="B1159" s="5" t="s">
        <v>1316</v>
      </c>
      <c r="C1159" s="17">
        <v>19900101</v>
      </c>
      <c r="D1159" s="17">
        <v>22991231</v>
      </c>
      <c r="E1159" s="25">
        <v>9910.07</v>
      </c>
    </row>
    <row r="1160" spans="1:5" ht="39" x14ac:dyDescent="0.3">
      <c r="A1160" s="17" t="str">
        <f>"25442"</f>
        <v>25442</v>
      </c>
      <c r="B1160" s="5" t="s">
        <v>1317</v>
      </c>
      <c r="C1160" s="17">
        <v>19900101</v>
      </c>
      <c r="D1160" s="17">
        <v>22991231</v>
      </c>
      <c r="E1160" s="25">
        <v>13406.95</v>
      </c>
    </row>
    <row r="1161" spans="1:5" ht="26" x14ac:dyDescent="0.3">
      <c r="A1161" s="17" t="str">
        <f>"25443"</f>
        <v>25443</v>
      </c>
      <c r="B1161" s="5" t="s">
        <v>1318</v>
      </c>
      <c r="C1161" s="17">
        <v>19900101</v>
      </c>
      <c r="D1161" s="17">
        <v>22991231</v>
      </c>
      <c r="E1161" s="25">
        <v>4618.58</v>
      </c>
    </row>
    <row r="1162" spans="1:5" ht="26" x14ac:dyDescent="0.3">
      <c r="A1162" s="17" t="str">
        <f>"25444"</f>
        <v>25444</v>
      </c>
      <c r="B1162" s="5" t="s">
        <v>1319</v>
      </c>
      <c r="C1162" s="17">
        <v>19900101</v>
      </c>
      <c r="D1162" s="17">
        <v>22991231</v>
      </c>
      <c r="E1162" s="25">
        <v>9571.85</v>
      </c>
    </row>
    <row r="1163" spans="1:5" ht="26" x14ac:dyDescent="0.3">
      <c r="A1163" s="17" t="str">
        <f>"25445"</f>
        <v>25445</v>
      </c>
      <c r="B1163" s="5" t="s">
        <v>1320</v>
      </c>
      <c r="C1163" s="17">
        <v>19900101</v>
      </c>
      <c r="D1163" s="17">
        <v>22991231</v>
      </c>
      <c r="E1163" s="25">
        <v>4456.1499999999996</v>
      </c>
    </row>
    <row r="1164" spans="1:5" ht="26" x14ac:dyDescent="0.3">
      <c r="A1164" s="17" t="str">
        <f>"25446"</f>
        <v>25446</v>
      </c>
      <c r="B1164" s="5" t="s">
        <v>1321</v>
      </c>
      <c r="C1164" s="17">
        <v>19900101</v>
      </c>
      <c r="D1164" s="17">
        <v>22991231</v>
      </c>
      <c r="E1164" s="25">
        <v>13707.26</v>
      </c>
    </row>
    <row r="1165" spans="1:5" ht="26" x14ac:dyDescent="0.3">
      <c r="A1165" s="17" t="str">
        <f>"25447"</f>
        <v>25447</v>
      </c>
      <c r="B1165" s="5" t="s">
        <v>1322</v>
      </c>
      <c r="C1165" s="17">
        <v>19900101</v>
      </c>
      <c r="D1165" s="17">
        <v>22991231</v>
      </c>
      <c r="E1165" s="25">
        <v>1450.8</v>
      </c>
    </row>
    <row r="1166" spans="1:5" ht="26" x14ac:dyDescent="0.3">
      <c r="A1166" s="17" t="str">
        <f>"25449"</f>
        <v>25449</v>
      </c>
      <c r="B1166" s="5" t="s">
        <v>1323</v>
      </c>
      <c r="C1166" s="17">
        <v>19900101</v>
      </c>
      <c r="D1166" s="17">
        <v>22991231</v>
      </c>
      <c r="E1166" s="25">
        <v>3240.75</v>
      </c>
    </row>
    <row r="1167" spans="1:5" ht="26" x14ac:dyDescent="0.3">
      <c r="A1167" s="17" t="str">
        <f>"25450"</f>
        <v>25450</v>
      </c>
      <c r="B1167" s="5" t="s">
        <v>1324</v>
      </c>
      <c r="C1167" s="17">
        <v>19900101</v>
      </c>
      <c r="D1167" s="17">
        <v>22991231</v>
      </c>
      <c r="E1167" s="25">
        <v>1450.8</v>
      </c>
    </row>
    <row r="1168" spans="1:5" ht="26" x14ac:dyDescent="0.3">
      <c r="A1168" s="17" t="str">
        <f>"25455"</f>
        <v>25455</v>
      </c>
      <c r="B1168" s="5" t="s">
        <v>1325</v>
      </c>
      <c r="C1168" s="17">
        <v>19900101</v>
      </c>
      <c r="D1168" s="17">
        <v>22991231</v>
      </c>
      <c r="E1168" s="25">
        <v>1450.8</v>
      </c>
    </row>
    <row r="1169" spans="1:5" ht="26" x14ac:dyDescent="0.3">
      <c r="A1169" s="17" t="str">
        <f>"25490"</f>
        <v>25490</v>
      </c>
      <c r="B1169" s="5" t="s">
        <v>1326</v>
      </c>
      <c r="C1169" s="17">
        <v>19900101</v>
      </c>
      <c r="D1169" s="17">
        <v>22991231</v>
      </c>
      <c r="E1169" s="25">
        <v>3240.75</v>
      </c>
    </row>
    <row r="1170" spans="1:5" ht="26" x14ac:dyDescent="0.3">
      <c r="A1170" s="17" t="str">
        <f>"25491"</f>
        <v>25491</v>
      </c>
      <c r="B1170" s="5" t="s">
        <v>1327</v>
      </c>
      <c r="C1170" s="17">
        <v>19900101</v>
      </c>
      <c r="D1170" s="17">
        <v>22991231</v>
      </c>
      <c r="E1170" s="25">
        <v>6208.9</v>
      </c>
    </row>
    <row r="1171" spans="1:5" x14ac:dyDescent="0.3">
      <c r="A1171" s="17" t="str">
        <f>"25492"</f>
        <v>25492</v>
      </c>
      <c r="B1171" s="5" t="s">
        <v>1328</v>
      </c>
      <c r="C1171" s="17">
        <v>19900101</v>
      </c>
      <c r="D1171" s="17">
        <v>22991231</v>
      </c>
      <c r="E1171" s="25">
        <v>1450.8</v>
      </c>
    </row>
    <row r="1172" spans="1:5" ht="26" x14ac:dyDescent="0.3">
      <c r="A1172" s="17" t="str">
        <f>"25500"</f>
        <v>25500</v>
      </c>
      <c r="B1172" s="5" t="s">
        <v>1329</v>
      </c>
      <c r="C1172" s="17">
        <v>19900101</v>
      </c>
      <c r="D1172" s="17">
        <v>22991231</v>
      </c>
      <c r="E1172" s="25">
        <v>116.84</v>
      </c>
    </row>
    <row r="1173" spans="1:5" ht="26" x14ac:dyDescent="0.3">
      <c r="A1173" s="17" t="str">
        <f>"25505"</f>
        <v>25505</v>
      </c>
      <c r="B1173" s="5" t="s">
        <v>1330</v>
      </c>
      <c r="C1173" s="17">
        <v>19900101</v>
      </c>
      <c r="D1173" s="17">
        <v>22991231</v>
      </c>
      <c r="E1173" s="25">
        <v>782.3</v>
      </c>
    </row>
    <row r="1174" spans="1:5" ht="26" x14ac:dyDescent="0.3">
      <c r="A1174" s="17" t="str">
        <f>"25515"</f>
        <v>25515</v>
      </c>
      <c r="B1174" s="5" t="s">
        <v>1331</v>
      </c>
      <c r="C1174" s="17">
        <v>19900101</v>
      </c>
      <c r="D1174" s="17">
        <v>22991231</v>
      </c>
      <c r="E1174" s="25">
        <v>4222.9399999999996</v>
      </c>
    </row>
    <row r="1175" spans="1:5" ht="26" x14ac:dyDescent="0.3">
      <c r="A1175" s="17" t="str">
        <f>"25520"</f>
        <v>25520</v>
      </c>
      <c r="B1175" s="5" t="s">
        <v>1332</v>
      </c>
      <c r="C1175" s="17">
        <v>19930101</v>
      </c>
      <c r="D1175" s="17">
        <v>22991231</v>
      </c>
      <c r="E1175" s="25">
        <v>782.3</v>
      </c>
    </row>
    <row r="1176" spans="1:5" ht="39" x14ac:dyDescent="0.3">
      <c r="A1176" s="17" t="str">
        <f>"25525"</f>
        <v>25525</v>
      </c>
      <c r="B1176" s="5" t="s">
        <v>1333</v>
      </c>
      <c r="C1176" s="17">
        <v>19930101</v>
      </c>
      <c r="D1176" s="17">
        <v>22991231</v>
      </c>
      <c r="E1176" s="25">
        <v>4280.43</v>
      </c>
    </row>
    <row r="1177" spans="1:5" ht="39" x14ac:dyDescent="0.3">
      <c r="A1177" s="17" t="str">
        <f>"25526"</f>
        <v>25526</v>
      </c>
      <c r="B1177" s="5" t="s">
        <v>1334</v>
      </c>
      <c r="C1177" s="17">
        <v>19930101</v>
      </c>
      <c r="D1177" s="17">
        <v>22991231</v>
      </c>
      <c r="E1177" s="25">
        <v>3240.75</v>
      </c>
    </row>
    <row r="1178" spans="1:5" ht="26" x14ac:dyDescent="0.3">
      <c r="A1178" s="17" t="str">
        <f>"25530"</f>
        <v>25530</v>
      </c>
      <c r="B1178" s="5" t="s">
        <v>1335</v>
      </c>
      <c r="C1178" s="17">
        <v>19900101</v>
      </c>
      <c r="D1178" s="17">
        <v>22991231</v>
      </c>
      <c r="E1178" s="25">
        <v>116.84</v>
      </c>
    </row>
    <row r="1179" spans="1:5" ht="26" x14ac:dyDescent="0.3">
      <c r="A1179" s="17" t="str">
        <f>"25535"</f>
        <v>25535</v>
      </c>
      <c r="B1179" s="5" t="s">
        <v>1336</v>
      </c>
      <c r="C1179" s="17">
        <v>19900101</v>
      </c>
      <c r="D1179" s="17">
        <v>22991231</v>
      </c>
      <c r="E1179" s="25">
        <v>116.84</v>
      </c>
    </row>
    <row r="1180" spans="1:5" ht="26" x14ac:dyDescent="0.3">
      <c r="A1180" s="17" t="str">
        <f>"25545"</f>
        <v>25545</v>
      </c>
      <c r="B1180" s="5" t="s">
        <v>1337</v>
      </c>
      <c r="C1180" s="17">
        <v>19900101</v>
      </c>
      <c r="D1180" s="17">
        <v>22991231</v>
      </c>
      <c r="E1180" s="25">
        <v>4067.29</v>
      </c>
    </row>
    <row r="1181" spans="1:5" ht="26" x14ac:dyDescent="0.3">
      <c r="A1181" s="17" t="str">
        <f>"25560"</f>
        <v>25560</v>
      </c>
      <c r="B1181" s="5" t="s">
        <v>1338</v>
      </c>
      <c r="C1181" s="17">
        <v>19900101</v>
      </c>
      <c r="D1181" s="17">
        <v>22991231</v>
      </c>
      <c r="E1181" s="25">
        <v>116.84</v>
      </c>
    </row>
    <row r="1182" spans="1:5" ht="26" x14ac:dyDescent="0.3">
      <c r="A1182" s="17" t="str">
        <f>"25565"</f>
        <v>25565</v>
      </c>
      <c r="B1182" s="5" t="s">
        <v>1339</v>
      </c>
      <c r="C1182" s="17">
        <v>19900101</v>
      </c>
      <c r="D1182" s="17">
        <v>22991231</v>
      </c>
      <c r="E1182" s="25">
        <v>782.3</v>
      </c>
    </row>
    <row r="1183" spans="1:5" ht="39" x14ac:dyDescent="0.3">
      <c r="A1183" s="17" t="str">
        <f>"25574"</f>
        <v>25574</v>
      </c>
      <c r="B1183" s="5" t="s">
        <v>1340</v>
      </c>
      <c r="C1183" s="17">
        <v>19930101</v>
      </c>
      <c r="D1183" s="17">
        <v>22991231</v>
      </c>
      <c r="E1183" s="25">
        <v>4081.38</v>
      </c>
    </row>
    <row r="1184" spans="1:5" ht="39" x14ac:dyDescent="0.3">
      <c r="A1184" s="17" t="str">
        <f>"25575"</f>
        <v>25575</v>
      </c>
      <c r="B1184" s="5" t="s">
        <v>1341</v>
      </c>
      <c r="C1184" s="17">
        <v>19900101</v>
      </c>
      <c r="D1184" s="17">
        <v>22991231</v>
      </c>
      <c r="E1184" s="25">
        <v>4357.17</v>
      </c>
    </row>
    <row r="1185" spans="1:5" ht="39" x14ac:dyDescent="0.3">
      <c r="A1185" s="17" t="str">
        <f>"25600"</f>
        <v>25600</v>
      </c>
      <c r="B1185" s="5" t="s">
        <v>1342</v>
      </c>
      <c r="C1185" s="17">
        <v>19900101</v>
      </c>
      <c r="D1185" s="17">
        <v>22991231</v>
      </c>
      <c r="E1185" s="25">
        <v>116.84</v>
      </c>
    </row>
    <row r="1186" spans="1:5" ht="39" x14ac:dyDescent="0.3">
      <c r="A1186" s="17" t="str">
        <f>"25605"</f>
        <v>25605</v>
      </c>
      <c r="B1186" s="5" t="s">
        <v>1343</v>
      </c>
      <c r="C1186" s="17">
        <v>19900101</v>
      </c>
      <c r="D1186" s="17">
        <v>22991231</v>
      </c>
      <c r="E1186" s="25">
        <v>782.3</v>
      </c>
    </row>
    <row r="1187" spans="1:5" ht="26" x14ac:dyDescent="0.3">
      <c r="A1187" s="17" t="str">
        <f>"25606"</f>
        <v>25606</v>
      </c>
      <c r="B1187" s="5" t="s">
        <v>1344</v>
      </c>
      <c r="C1187" s="17">
        <v>20070101</v>
      </c>
      <c r="D1187" s="17">
        <v>22991231</v>
      </c>
      <c r="E1187" s="25">
        <v>1450.8</v>
      </c>
    </row>
    <row r="1188" spans="1:5" ht="39" x14ac:dyDescent="0.3">
      <c r="A1188" s="17" t="str">
        <f>"25607"</f>
        <v>25607</v>
      </c>
      <c r="B1188" s="5" t="s">
        <v>1345</v>
      </c>
      <c r="C1188" s="17">
        <v>20070101</v>
      </c>
      <c r="D1188" s="17">
        <v>22991231</v>
      </c>
      <c r="E1188" s="25">
        <v>4345.24</v>
      </c>
    </row>
    <row r="1189" spans="1:5" ht="39" x14ac:dyDescent="0.3">
      <c r="A1189" s="17" t="str">
        <f>"25608"</f>
        <v>25608</v>
      </c>
      <c r="B1189" s="5" t="s">
        <v>1346</v>
      </c>
      <c r="C1189" s="17">
        <v>20070101</v>
      </c>
      <c r="D1189" s="17">
        <v>22991231</v>
      </c>
      <c r="E1189" s="25">
        <v>4391.6099999999997</v>
      </c>
    </row>
    <row r="1190" spans="1:5" ht="39" x14ac:dyDescent="0.3">
      <c r="A1190" s="17" t="str">
        <f>"25609"</f>
        <v>25609</v>
      </c>
      <c r="B1190" s="5" t="s">
        <v>1347</v>
      </c>
      <c r="C1190" s="17">
        <v>20070101</v>
      </c>
      <c r="D1190" s="17">
        <v>22991231</v>
      </c>
      <c r="E1190" s="25">
        <v>4397.3</v>
      </c>
    </row>
    <row r="1191" spans="1:5" ht="26" x14ac:dyDescent="0.3">
      <c r="A1191" s="17" t="str">
        <f>"25622"</f>
        <v>25622</v>
      </c>
      <c r="B1191" s="5" t="s">
        <v>1348</v>
      </c>
      <c r="C1191" s="17">
        <v>19900101</v>
      </c>
      <c r="D1191" s="17">
        <v>22991231</v>
      </c>
      <c r="E1191" s="25">
        <v>116.84</v>
      </c>
    </row>
    <row r="1192" spans="1:5" ht="26" x14ac:dyDescent="0.3">
      <c r="A1192" s="17" t="str">
        <f>"25624"</f>
        <v>25624</v>
      </c>
      <c r="B1192" s="5" t="s">
        <v>1349</v>
      </c>
      <c r="C1192" s="17">
        <v>19900101</v>
      </c>
      <c r="D1192" s="17">
        <v>22991231</v>
      </c>
      <c r="E1192" s="25">
        <v>782.3</v>
      </c>
    </row>
    <row r="1193" spans="1:5" ht="26" x14ac:dyDescent="0.3">
      <c r="A1193" s="17" t="str">
        <f>"25628"</f>
        <v>25628</v>
      </c>
      <c r="B1193" s="5" t="s">
        <v>1350</v>
      </c>
      <c r="C1193" s="17">
        <v>19900101</v>
      </c>
      <c r="D1193" s="17">
        <v>22991231</v>
      </c>
      <c r="E1193" s="25">
        <v>3240.75</v>
      </c>
    </row>
    <row r="1194" spans="1:5" x14ac:dyDescent="0.3">
      <c r="A1194" s="17" t="str">
        <f>"25630"</f>
        <v>25630</v>
      </c>
      <c r="B1194" s="5" t="s">
        <v>1351</v>
      </c>
      <c r="C1194" s="17">
        <v>19900101</v>
      </c>
      <c r="D1194" s="17">
        <v>22991231</v>
      </c>
      <c r="E1194" s="25">
        <v>116.84</v>
      </c>
    </row>
    <row r="1195" spans="1:5" ht="26" x14ac:dyDescent="0.3">
      <c r="A1195" s="17" t="str">
        <f>"25635"</f>
        <v>25635</v>
      </c>
      <c r="B1195" s="5" t="s">
        <v>1352</v>
      </c>
      <c r="C1195" s="17">
        <v>19900101</v>
      </c>
      <c r="D1195" s="17">
        <v>22991231</v>
      </c>
      <c r="E1195" s="25">
        <v>782.3</v>
      </c>
    </row>
    <row r="1196" spans="1:5" x14ac:dyDescent="0.3">
      <c r="A1196" s="17" t="str">
        <f>"25645"</f>
        <v>25645</v>
      </c>
      <c r="B1196" s="5" t="s">
        <v>1353</v>
      </c>
      <c r="C1196" s="17">
        <v>19900101</v>
      </c>
      <c r="D1196" s="17">
        <v>22991231</v>
      </c>
      <c r="E1196" s="25">
        <v>1450.8</v>
      </c>
    </row>
    <row r="1197" spans="1:5" ht="26" x14ac:dyDescent="0.3">
      <c r="A1197" s="17" t="str">
        <f>"25650"</f>
        <v>25650</v>
      </c>
      <c r="B1197" s="5" t="s">
        <v>1354</v>
      </c>
      <c r="C1197" s="17">
        <v>19900101</v>
      </c>
      <c r="D1197" s="17">
        <v>22991231</v>
      </c>
      <c r="E1197" s="25">
        <v>116.84</v>
      </c>
    </row>
    <row r="1198" spans="1:5" ht="26" x14ac:dyDescent="0.3">
      <c r="A1198" s="17" t="str">
        <f>"25651"</f>
        <v>25651</v>
      </c>
      <c r="B1198" s="5" t="s">
        <v>1355</v>
      </c>
      <c r="C1198" s="17">
        <v>20230101</v>
      </c>
      <c r="D1198" s="17">
        <v>22991231</v>
      </c>
      <c r="E1198" s="25">
        <v>1450.8</v>
      </c>
    </row>
    <row r="1199" spans="1:5" ht="26" x14ac:dyDescent="0.3">
      <c r="A1199" s="17" t="str">
        <f>"25652"</f>
        <v>25652</v>
      </c>
      <c r="B1199" s="5" t="s">
        <v>1356</v>
      </c>
      <c r="C1199" s="17">
        <v>20230101</v>
      </c>
      <c r="D1199" s="17">
        <v>22991231</v>
      </c>
      <c r="E1199" s="25">
        <v>4081.38</v>
      </c>
    </row>
    <row r="1200" spans="1:5" ht="26" x14ac:dyDescent="0.3">
      <c r="A1200" s="17" t="str">
        <f>"25660"</f>
        <v>25660</v>
      </c>
      <c r="B1200" s="5" t="s">
        <v>1357</v>
      </c>
      <c r="C1200" s="17">
        <v>19900101</v>
      </c>
      <c r="D1200" s="17">
        <v>22991231</v>
      </c>
      <c r="E1200" s="25">
        <v>116.84</v>
      </c>
    </row>
    <row r="1201" spans="1:5" x14ac:dyDescent="0.3">
      <c r="A1201" s="17" t="str">
        <f>"25670"</f>
        <v>25670</v>
      </c>
      <c r="B1201" s="5" t="s">
        <v>1358</v>
      </c>
      <c r="C1201" s="17">
        <v>19900101</v>
      </c>
      <c r="D1201" s="17">
        <v>22991231</v>
      </c>
      <c r="E1201" s="25">
        <v>3240.75</v>
      </c>
    </row>
    <row r="1202" spans="1:5" ht="26" x14ac:dyDescent="0.3">
      <c r="A1202" s="17" t="str">
        <f>"25671"</f>
        <v>25671</v>
      </c>
      <c r="B1202" s="5" t="s">
        <v>1359</v>
      </c>
      <c r="C1202" s="17">
        <v>20030401</v>
      </c>
      <c r="D1202" s="17">
        <v>22991231</v>
      </c>
      <c r="E1202" s="25">
        <v>1450.8</v>
      </c>
    </row>
    <row r="1203" spans="1:5" ht="26" x14ac:dyDescent="0.3">
      <c r="A1203" s="17" t="str">
        <f>"25675"</f>
        <v>25675</v>
      </c>
      <c r="B1203" s="5" t="s">
        <v>1360</v>
      </c>
      <c r="C1203" s="17">
        <v>19900101</v>
      </c>
      <c r="D1203" s="17">
        <v>22991231</v>
      </c>
      <c r="E1203" s="25">
        <v>116.84</v>
      </c>
    </row>
    <row r="1204" spans="1:5" x14ac:dyDescent="0.3">
      <c r="A1204" s="17" t="str">
        <f>"25676"</f>
        <v>25676</v>
      </c>
      <c r="B1204" s="5" t="s">
        <v>1361</v>
      </c>
      <c r="C1204" s="17">
        <v>19900101</v>
      </c>
      <c r="D1204" s="17">
        <v>22991231</v>
      </c>
      <c r="E1204" s="25">
        <v>3240.75</v>
      </c>
    </row>
    <row r="1205" spans="1:5" ht="26" x14ac:dyDescent="0.3">
      <c r="A1205" s="17" t="str">
        <f>"25680"</f>
        <v>25680</v>
      </c>
      <c r="B1205" s="5" t="s">
        <v>1362</v>
      </c>
      <c r="C1205" s="17">
        <v>19900101</v>
      </c>
      <c r="D1205" s="17">
        <v>22991231</v>
      </c>
      <c r="E1205" s="25">
        <v>116.84</v>
      </c>
    </row>
    <row r="1206" spans="1:5" x14ac:dyDescent="0.3">
      <c r="A1206" s="17" t="str">
        <f>"25685"</f>
        <v>25685</v>
      </c>
      <c r="B1206" s="5" t="s">
        <v>1363</v>
      </c>
      <c r="C1206" s="17">
        <v>19900101</v>
      </c>
      <c r="D1206" s="17">
        <v>22991231</v>
      </c>
      <c r="E1206" s="25">
        <v>3240.75</v>
      </c>
    </row>
    <row r="1207" spans="1:5" ht="26" x14ac:dyDescent="0.3">
      <c r="A1207" s="17" t="str">
        <f>"25690"</f>
        <v>25690</v>
      </c>
      <c r="B1207" s="5" t="s">
        <v>1364</v>
      </c>
      <c r="C1207" s="17">
        <v>19900101</v>
      </c>
      <c r="D1207" s="17">
        <v>22991231</v>
      </c>
      <c r="E1207" s="25">
        <v>782.3</v>
      </c>
    </row>
    <row r="1208" spans="1:5" x14ac:dyDescent="0.3">
      <c r="A1208" s="17" t="str">
        <f>"25695"</f>
        <v>25695</v>
      </c>
      <c r="B1208" s="5" t="s">
        <v>1365</v>
      </c>
      <c r="C1208" s="17">
        <v>19900101</v>
      </c>
      <c r="D1208" s="17">
        <v>22991231</v>
      </c>
      <c r="E1208" s="25">
        <v>3240.75</v>
      </c>
    </row>
    <row r="1209" spans="1:5" x14ac:dyDescent="0.3">
      <c r="A1209" s="17" t="str">
        <f>"25800"</f>
        <v>25800</v>
      </c>
      <c r="B1209" s="5" t="s">
        <v>1366</v>
      </c>
      <c r="C1209" s="17">
        <v>19900101</v>
      </c>
      <c r="D1209" s="17">
        <v>22991231</v>
      </c>
      <c r="E1209" s="25">
        <v>4485.9799999999996</v>
      </c>
    </row>
    <row r="1210" spans="1:5" x14ac:dyDescent="0.3">
      <c r="A1210" s="17" t="str">
        <f>"25805"</f>
        <v>25805</v>
      </c>
      <c r="B1210" s="5" t="s">
        <v>1367</v>
      </c>
      <c r="C1210" s="17">
        <v>19900101</v>
      </c>
      <c r="D1210" s="17">
        <v>22991231</v>
      </c>
      <c r="E1210" s="25">
        <v>4449.6400000000003</v>
      </c>
    </row>
    <row r="1211" spans="1:5" ht="26" x14ac:dyDescent="0.3">
      <c r="A1211" s="17" t="str">
        <f>"25810"</f>
        <v>25810</v>
      </c>
      <c r="B1211" s="5" t="s">
        <v>1368</v>
      </c>
      <c r="C1211" s="17">
        <v>19900101</v>
      </c>
      <c r="D1211" s="17">
        <v>22991231</v>
      </c>
      <c r="E1211" s="25">
        <v>8315.1</v>
      </c>
    </row>
    <row r="1212" spans="1:5" x14ac:dyDescent="0.3">
      <c r="A1212" s="17" t="str">
        <f>"25820"</f>
        <v>25820</v>
      </c>
      <c r="B1212" s="5" t="s">
        <v>1369</v>
      </c>
      <c r="C1212" s="17">
        <v>19900101</v>
      </c>
      <c r="D1212" s="17">
        <v>22991231</v>
      </c>
      <c r="E1212" s="25">
        <v>4415.74</v>
      </c>
    </row>
    <row r="1213" spans="1:5" ht="26" x14ac:dyDescent="0.3">
      <c r="A1213" s="17" t="str">
        <f>"25825"</f>
        <v>25825</v>
      </c>
      <c r="B1213" s="5" t="s">
        <v>1370</v>
      </c>
      <c r="C1213" s="17">
        <v>19900101</v>
      </c>
      <c r="D1213" s="17">
        <v>22991231</v>
      </c>
      <c r="E1213" s="25">
        <v>4199.3500000000004</v>
      </c>
    </row>
    <row r="1214" spans="1:5" x14ac:dyDescent="0.3">
      <c r="A1214" s="17" t="str">
        <f>"25830"</f>
        <v>25830</v>
      </c>
      <c r="B1214" s="5" t="s">
        <v>1371</v>
      </c>
      <c r="C1214" s="17">
        <v>19950101</v>
      </c>
      <c r="D1214" s="17">
        <v>22991231</v>
      </c>
      <c r="E1214" s="25">
        <v>3240.75</v>
      </c>
    </row>
    <row r="1215" spans="1:5" ht="26" x14ac:dyDescent="0.3">
      <c r="A1215" s="17" t="str">
        <f>"25907"</f>
        <v>25907</v>
      </c>
      <c r="B1215" s="5" t="s">
        <v>1372</v>
      </c>
      <c r="C1215" s="17">
        <v>19900101</v>
      </c>
      <c r="D1215" s="17">
        <v>22991231</v>
      </c>
      <c r="E1215" s="25">
        <v>1450.8</v>
      </c>
    </row>
    <row r="1216" spans="1:5" x14ac:dyDescent="0.3">
      <c r="A1216" s="17" t="str">
        <f>"25909"</f>
        <v>25909</v>
      </c>
      <c r="B1216" s="5" t="s">
        <v>1373</v>
      </c>
      <c r="C1216" s="17">
        <v>19900101</v>
      </c>
      <c r="D1216" s="17">
        <v>22991231</v>
      </c>
      <c r="E1216" s="24" t="s">
        <v>7128</v>
      </c>
    </row>
    <row r="1217" spans="1:5" ht="26" x14ac:dyDescent="0.3">
      <c r="A1217" s="17" t="str">
        <f>"25922"</f>
        <v>25922</v>
      </c>
      <c r="B1217" s="5" t="s">
        <v>1374</v>
      </c>
      <c r="C1217" s="17">
        <v>19900101</v>
      </c>
      <c r="D1217" s="17">
        <v>22991231</v>
      </c>
      <c r="E1217" s="25">
        <v>782.3</v>
      </c>
    </row>
    <row r="1218" spans="1:5" ht="26" x14ac:dyDescent="0.3">
      <c r="A1218" s="17" t="str">
        <f>"25929"</f>
        <v>25929</v>
      </c>
      <c r="B1218" s="5" t="s">
        <v>1375</v>
      </c>
      <c r="C1218" s="17">
        <v>19900101</v>
      </c>
      <c r="D1218" s="17">
        <v>22991231</v>
      </c>
      <c r="E1218" s="25">
        <v>903.54</v>
      </c>
    </row>
    <row r="1219" spans="1:5" ht="26" x14ac:dyDescent="0.3">
      <c r="A1219" s="17" t="str">
        <f>"25931"</f>
        <v>25931</v>
      </c>
      <c r="B1219" s="5" t="s">
        <v>1376</v>
      </c>
      <c r="C1219" s="17">
        <v>19900101</v>
      </c>
      <c r="D1219" s="17">
        <v>22991231</v>
      </c>
      <c r="E1219" s="25">
        <v>1450.8</v>
      </c>
    </row>
    <row r="1220" spans="1:5" x14ac:dyDescent="0.3">
      <c r="A1220" s="17" t="str">
        <f>"26010"</f>
        <v>26010</v>
      </c>
      <c r="B1220" s="5" t="s">
        <v>1377</v>
      </c>
      <c r="C1220" s="17">
        <v>19900101</v>
      </c>
      <c r="D1220" s="17">
        <v>22991231</v>
      </c>
      <c r="E1220" s="25">
        <v>99.19</v>
      </c>
    </row>
    <row r="1221" spans="1:5" x14ac:dyDescent="0.3">
      <c r="A1221" s="17" t="str">
        <f>"26011"</f>
        <v>26011</v>
      </c>
      <c r="B1221" s="5" t="s">
        <v>1378</v>
      </c>
      <c r="C1221" s="17">
        <v>19900101</v>
      </c>
      <c r="D1221" s="17">
        <v>22991231</v>
      </c>
      <c r="E1221" s="25">
        <v>652.27</v>
      </c>
    </row>
    <row r="1222" spans="1:5" x14ac:dyDescent="0.3">
      <c r="A1222" s="17" t="str">
        <f>"26020"</f>
        <v>26020</v>
      </c>
      <c r="B1222" s="5" t="s">
        <v>1379</v>
      </c>
      <c r="C1222" s="17">
        <v>19900101</v>
      </c>
      <c r="D1222" s="17">
        <v>22991231</v>
      </c>
      <c r="E1222" s="25">
        <v>1450.8</v>
      </c>
    </row>
    <row r="1223" spans="1:5" x14ac:dyDescent="0.3">
      <c r="A1223" s="17" t="str">
        <f>"26025"</f>
        <v>26025</v>
      </c>
      <c r="B1223" s="5" t="s">
        <v>1380</v>
      </c>
      <c r="C1223" s="17">
        <v>19900101</v>
      </c>
      <c r="D1223" s="17">
        <v>22991231</v>
      </c>
      <c r="E1223" s="25">
        <v>1450.8</v>
      </c>
    </row>
    <row r="1224" spans="1:5" x14ac:dyDescent="0.3">
      <c r="A1224" s="17" t="str">
        <f>"26030"</f>
        <v>26030</v>
      </c>
      <c r="B1224" s="5" t="s">
        <v>1381</v>
      </c>
      <c r="C1224" s="17">
        <v>19900101</v>
      </c>
      <c r="D1224" s="17">
        <v>22991231</v>
      </c>
      <c r="E1224" s="25">
        <v>1450.8</v>
      </c>
    </row>
    <row r="1225" spans="1:5" x14ac:dyDescent="0.3">
      <c r="A1225" s="17" t="str">
        <f>"26034"</f>
        <v>26034</v>
      </c>
      <c r="B1225" s="5" t="s">
        <v>1382</v>
      </c>
      <c r="C1225" s="17">
        <v>19900101</v>
      </c>
      <c r="D1225" s="17">
        <v>22991231</v>
      </c>
      <c r="E1225" s="25">
        <v>782.3</v>
      </c>
    </row>
    <row r="1226" spans="1:5" ht="26" x14ac:dyDescent="0.3">
      <c r="A1226" s="17" t="str">
        <f>"26035"</f>
        <v>26035</v>
      </c>
      <c r="B1226" s="5" t="s">
        <v>1383</v>
      </c>
      <c r="C1226" s="17">
        <v>19900101</v>
      </c>
      <c r="D1226" s="17">
        <v>22991231</v>
      </c>
      <c r="E1226" s="25">
        <v>1450.8</v>
      </c>
    </row>
    <row r="1227" spans="1:5" x14ac:dyDescent="0.3">
      <c r="A1227" s="17" t="str">
        <f>"26037"</f>
        <v>26037</v>
      </c>
      <c r="B1227" s="5" t="s">
        <v>1384</v>
      </c>
      <c r="C1227" s="17">
        <v>19900401</v>
      </c>
      <c r="D1227" s="17">
        <v>22991231</v>
      </c>
      <c r="E1227" s="25">
        <v>1450.8</v>
      </c>
    </row>
    <row r="1228" spans="1:5" x14ac:dyDescent="0.3">
      <c r="A1228" s="17" t="str">
        <f>"26040"</f>
        <v>26040</v>
      </c>
      <c r="B1228" s="5" t="s">
        <v>1385</v>
      </c>
      <c r="C1228" s="17">
        <v>19900101</v>
      </c>
      <c r="D1228" s="17">
        <v>22991231</v>
      </c>
      <c r="E1228" s="25">
        <v>782.3</v>
      </c>
    </row>
    <row r="1229" spans="1:5" x14ac:dyDescent="0.3">
      <c r="A1229" s="17" t="str">
        <f>"26045"</f>
        <v>26045</v>
      </c>
      <c r="B1229" s="5" t="s">
        <v>1386</v>
      </c>
      <c r="C1229" s="17">
        <v>19900101</v>
      </c>
      <c r="D1229" s="17">
        <v>22991231</v>
      </c>
      <c r="E1229" s="25">
        <v>1450.8</v>
      </c>
    </row>
    <row r="1230" spans="1:5" x14ac:dyDescent="0.3">
      <c r="A1230" s="17" t="str">
        <f>"26055"</f>
        <v>26055</v>
      </c>
      <c r="B1230" s="5" t="s">
        <v>1387</v>
      </c>
      <c r="C1230" s="17">
        <v>19900101</v>
      </c>
      <c r="D1230" s="17">
        <v>22991231</v>
      </c>
      <c r="E1230" s="25">
        <v>782.3</v>
      </c>
    </row>
    <row r="1231" spans="1:5" x14ac:dyDescent="0.3">
      <c r="A1231" s="17" t="str">
        <f>"26060"</f>
        <v>26060</v>
      </c>
      <c r="B1231" s="5" t="s">
        <v>1388</v>
      </c>
      <c r="C1231" s="17">
        <v>19900101</v>
      </c>
      <c r="D1231" s="17">
        <v>22991231</v>
      </c>
      <c r="E1231" s="25">
        <v>782.3</v>
      </c>
    </row>
    <row r="1232" spans="1:5" ht="26" x14ac:dyDescent="0.3">
      <c r="A1232" s="17" t="str">
        <f>"26070"</f>
        <v>26070</v>
      </c>
      <c r="B1232" s="5" t="s">
        <v>1389</v>
      </c>
      <c r="C1232" s="17">
        <v>19900101</v>
      </c>
      <c r="D1232" s="17">
        <v>22991231</v>
      </c>
      <c r="E1232" s="25">
        <v>782.3</v>
      </c>
    </row>
    <row r="1233" spans="1:5" ht="26" x14ac:dyDescent="0.3">
      <c r="A1233" s="17" t="str">
        <f>"26075"</f>
        <v>26075</v>
      </c>
      <c r="B1233" s="5" t="s">
        <v>1390</v>
      </c>
      <c r="C1233" s="17">
        <v>19900101</v>
      </c>
      <c r="D1233" s="17">
        <v>22991231</v>
      </c>
      <c r="E1233" s="25">
        <v>1450.8</v>
      </c>
    </row>
    <row r="1234" spans="1:5" ht="26" x14ac:dyDescent="0.3">
      <c r="A1234" s="17" t="str">
        <f>"26080"</f>
        <v>26080</v>
      </c>
      <c r="B1234" s="5" t="s">
        <v>1391</v>
      </c>
      <c r="C1234" s="17">
        <v>19900101</v>
      </c>
      <c r="D1234" s="17">
        <v>22991231</v>
      </c>
      <c r="E1234" s="25">
        <v>782.3</v>
      </c>
    </row>
    <row r="1235" spans="1:5" x14ac:dyDescent="0.3">
      <c r="A1235" s="17" t="str">
        <f>"26100"</f>
        <v>26100</v>
      </c>
      <c r="B1235" s="5" t="s">
        <v>1392</v>
      </c>
      <c r="C1235" s="17">
        <v>19900101</v>
      </c>
      <c r="D1235" s="17">
        <v>22991231</v>
      </c>
      <c r="E1235" s="25">
        <v>1450.8</v>
      </c>
    </row>
    <row r="1236" spans="1:5" x14ac:dyDescent="0.3">
      <c r="A1236" s="17" t="str">
        <f>"26105"</f>
        <v>26105</v>
      </c>
      <c r="B1236" s="5" t="s">
        <v>1393</v>
      </c>
      <c r="C1236" s="17">
        <v>19900101</v>
      </c>
      <c r="D1236" s="17">
        <v>22991231</v>
      </c>
      <c r="E1236" s="25">
        <v>1450.8</v>
      </c>
    </row>
    <row r="1237" spans="1:5" x14ac:dyDescent="0.3">
      <c r="A1237" s="17" t="str">
        <f>"26110"</f>
        <v>26110</v>
      </c>
      <c r="B1237" s="5" t="s">
        <v>1394</v>
      </c>
      <c r="C1237" s="17">
        <v>19900101</v>
      </c>
      <c r="D1237" s="17">
        <v>22991231</v>
      </c>
      <c r="E1237" s="25">
        <v>782.3</v>
      </c>
    </row>
    <row r="1238" spans="1:5" ht="26" x14ac:dyDescent="0.3">
      <c r="A1238" s="17" t="str">
        <f>"26111"</f>
        <v>26111</v>
      </c>
      <c r="B1238" s="5" t="s">
        <v>1395</v>
      </c>
      <c r="C1238" s="17">
        <v>20100101</v>
      </c>
      <c r="D1238" s="17">
        <v>22991231</v>
      </c>
      <c r="E1238" s="25">
        <v>652.27</v>
      </c>
    </row>
    <row r="1239" spans="1:5" ht="26" x14ac:dyDescent="0.3">
      <c r="A1239" s="17" t="str">
        <f>"26113"</f>
        <v>26113</v>
      </c>
      <c r="B1239" s="5" t="s">
        <v>1396</v>
      </c>
      <c r="C1239" s="17">
        <v>20100101</v>
      </c>
      <c r="D1239" s="17">
        <v>22991231</v>
      </c>
      <c r="E1239" s="25">
        <v>652.27</v>
      </c>
    </row>
    <row r="1240" spans="1:5" ht="26" x14ac:dyDescent="0.3">
      <c r="A1240" s="17" t="str">
        <f>"26115"</f>
        <v>26115</v>
      </c>
      <c r="B1240" s="5" t="s">
        <v>1397</v>
      </c>
      <c r="C1240" s="17">
        <v>19900101</v>
      </c>
      <c r="D1240" s="17">
        <v>22991231</v>
      </c>
      <c r="E1240" s="25">
        <v>652.27</v>
      </c>
    </row>
    <row r="1241" spans="1:5" ht="26" x14ac:dyDescent="0.3">
      <c r="A1241" s="17" t="str">
        <f>"26116"</f>
        <v>26116</v>
      </c>
      <c r="B1241" s="5" t="s">
        <v>1398</v>
      </c>
      <c r="C1241" s="17">
        <v>19900101</v>
      </c>
      <c r="D1241" s="17">
        <v>22991231</v>
      </c>
      <c r="E1241" s="25">
        <v>652.27</v>
      </c>
    </row>
    <row r="1242" spans="1:5" ht="26" x14ac:dyDescent="0.3">
      <c r="A1242" s="17" t="str">
        <f>"26117"</f>
        <v>26117</v>
      </c>
      <c r="B1242" s="5" t="s">
        <v>1399</v>
      </c>
      <c r="C1242" s="17">
        <v>19970801</v>
      </c>
      <c r="D1242" s="17">
        <v>22991231</v>
      </c>
      <c r="E1242" s="25">
        <v>1105.24</v>
      </c>
    </row>
    <row r="1243" spans="1:5" ht="26" x14ac:dyDescent="0.3">
      <c r="A1243" s="17" t="str">
        <f>"26118"</f>
        <v>26118</v>
      </c>
      <c r="B1243" s="5" t="s">
        <v>1400</v>
      </c>
      <c r="C1243" s="17">
        <v>20100101</v>
      </c>
      <c r="D1243" s="17">
        <v>22991231</v>
      </c>
      <c r="E1243" s="25">
        <v>1105.24</v>
      </c>
    </row>
    <row r="1244" spans="1:5" x14ac:dyDescent="0.3">
      <c r="A1244" s="17" t="str">
        <f>"26121"</f>
        <v>26121</v>
      </c>
      <c r="B1244" s="5" t="s">
        <v>1401</v>
      </c>
      <c r="C1244" s="17">
        <v>19900401</v>
      </c>
      <c r="D1244" s="17">
        <v>22991231</v>
      </c>
      <c r="E1244" s="25">
        <v>1450.8</v>
      </c>
    </row>
    <row r="1245" spans="1:5" ht="26" x14ac:dyDescent="0.3">
      <c r="A1245" s="17" t="str">
        <f>"26123"</f>
        <v>26123</v>
      </c>
      <c r="B1245" s="5" t="s">
        <v>1402</v>
      </c>
      <c r="C1245" s="17">
        <v>19900401</v>
      </c>
      <c r="D1245" s="17">
        <v>22991231</v>
      </c>
      <c r="E1245" s="25">
        <v>1450.8</v>
      </c>
    </row>
    <row r="1246" spans="1:5" ht="26" x14ac:dyDescent="0.3">
      <c r="A1246" s="17" t="str">
        <f>"26125"</f>
        <v>26125</v>
      </c>
      <c r="B1246" s="5" t="s">
        <v>1403</v>
      </c>
      <c r="C1246" s="17">
        <v>19900401</v>
      </c>
      <c r="D1246" s="17">
        <v>22991231</v>
      </c>
      <c r="E1246" s="25">
        <v>0</v>
      </c>
    </row>
    <row r="1247" spans="1:5" x14ac:dyDescent="0.3">
      <c r="A1247" s="17" t="str">
        <f>"26130"</f>
        <v>26130</v>
      </c>
      <c r="B1247" s="5" t="s">
        <v>1404</v>
      </c>
      <c r="C1247" s="17">
        <v>19900101</v>
      </c>
      <c r="D1247" s="17">
        <v>22991231</v>
      </c>
      <c r="E1247" s="25">
        <v>1450.8</v>
      </c>
    </row>
    <row r="1248" spans="1:5" x14ac:dyDescent="0.3">
      <c r="A1248" s="17" t="str">
        <f>"26135"</f>
        <v>26135</v>
      </c>
      <c r="B1248" s="5" t="s">
        <v>1405</v>
      </c>
      <c r="C1248" s="17">
        <v>19900101</v>
      </c>
      <c r="D1248" s="17">
        <v>22991231</v>
      </c>
      <c r="E1248" s="25">
        <v>1450.8</v>
      </c>
    </row>
    <row r="1249" spans="1:5" ht="26" x14ac:dyDescent="0.3">
      <c r="A1249" s="17" t="str">
        <f>"26140"</f>
        <v>26140</v>
      </c>
      <c r="B1249" s="5" t="s">
        <v>1406</v>
      </c>
      <c r="C1249" s="17">
        <v>19900101</v>
      </c>
      <c r="D1249" s="17">
        <v>22991231</v>
      </c>
      <c r="E1249" s="25">
        <v>782.3</v>
      </c>
    </row>
    <row r="1250" spans="1:5" x14ac:dyDescent="0.3">
      <c r="A1250" s="17" t="str">
        <f>"26145"</f>
        <v>26145</v>
      </c>
      <c r="B1250" s="5" t="s">
        <v>1407</v>
      </c>
      <c r="C1250" s="17">
        <v>19900101</v>
      </c>
      <c r="D1250" s="17">
        <v>22991231</v>
      </c>
      <c r="E1250" s="25">
        <v>782.3</v>
      </c>
    </row>
    <row r="1251" spans="1:5" x14ac:dyDescent="0.3">
      <c r="A1251" s="17" t="str">
        <f>"26160"</f>
        <v>26160</v>
      </c>
      <c r="B1251" s="5" t="s">
        <v>1408</v>
      </c>
      <c r="C1251" s="17">
        <v>19900101</v>
      </c>
      <c r="D1251" s="17">
        <v>22991231</v>
      </c>
      <c r="E1251" s="25">
        <v>782.3</v>
      </c>
    </row>
    <row r="1252" spans="1:5" x14ac:dyDescent="0.3">
      <c r="A1252" s="17" t="str">
        <f>"26170"</f>
        <v>26170</v>
      </c>
      <c r="B1252" s="5" t="s">
        <v>1409</v>
      </c>
      <c r="C1252" s="17">
        <v>19900101</v>
      </c>
      <c r="D1252" s="17">
        <v>22991231</v>
      </c>
      <c r="E1252" s="25">
        <v>782.3</v>
      </c>
    </row>
    <row r="1253" spans="1:5" x14ac:dyDescent="0.3">
      <c r="A1253" s="17" t="str">
        <f>"26180"</f>
        <v>26180</v>
      </c>
      <c r="B1253" s="5" t="s">
        <v>1410</v>
      </c>
      <c r="C1253" s="17">
        <v>19900101</v>
      </c>
      <c r="D1253" s="17">
        <v>22991231</v>
      </c>
      <c r="E1253" s="25">
        <v>782.3</v>
      </c>
    </row>
    <row r="1254" spans="1:5" x14ac:dyDescent="0.3">
      <c r="A1254" s="17" t="str">
        <f>"26185"</f>
        <v>26185</v>
      </c>
      <c r="B1254" s="5" t="s">
        <v>1411</v>
      </c>
      <c r="C1254" s="17">
        <v>19970101</v>
      </c>
      <c r="D1254" s="17">
        <v>22991231</v>
      </c>
      <c r="E1254" s="25">
        <v>782.3</v>
      </c>
    </row>
    <row r="1255" spans="1:5" x14ac:dyDescent="0.3">
      <c r="A1255" s="17" t="str">
        <f>"26200"</f>
        <v>26200</v>
      </c>
      <c r="B1255" s="5" t="s">
        <v>1412</v>
      </c>
      <c r="C1255" s="17">
        <v>19900101</v>
      </c>
      <c r="D1255" s="17">
        <v>22991231</v>
      </c>
      <c r="E1255" s="25">
        <v>782.3</v>
      </c>
    </row>
    <row r="1256" spans="1:5" ht="26" x14ac:dyDescent="0.3">
      <c r="A1256" s="17" t="str">
        <f>"26205"</f>
        <v>26205</v>
      </c>
      <c r="B1256" s="5" t="s">
        <v>1413</v>
      </c>
      <c r="C1256" s="17">
        <v>19900101</v>
      </c>
      <c r="D1256" s="17">
        <v>22991231</v>
      </c>
      <c r="E1256" s="25">
        <v>3240.75</v>
      </c>
    </row>
    <row r="1257" spans="1:5" x14ac:dyDescent="0.3">
      <c r="A1257" s="17" t="str">
        <f>"26210"</f>
        <v>26210</v>
      </c>
      <c r="B1257" s="5" t="s">
        <v>1414</v>
      </c>
      <c r="C1257" s="17">
        <v>19900101</v>
      </c>
      <c r="D1257" s="17">
        <v>22991231</v>
      </c>
      <c r="E1257" s="25">
        <v>782.3</v>
      </c>
    </row>
    <row r="1258" spans="1:5" ht="26" x14ac:dyDescent="0.3">
      <c r="A1258" s="17" t="str">
        <f>"26215"</f>
        <v>26215</v>
      </c>
      <c r="B1258" s="5" t="s">
        <v>1415</v>
      </c>
      <c r="C1258" s="17">
        <v>19900101</v>
      </c>
      <c r="D1258" s="17">
        <v>22991231</v>
      </c>
      <c r="E1258" s="25">
        <v>1450.8</v>
      </c>
    </row>
    <row r="1259" spans="1:5" x14ac:dyDescent="0.3">
      <c r="A1259" s="17" t="str">
        <f>"26230"</f>
        <v>26230</v>
      </c>
      <c r="B1259" s="5" t="s">
        <v>1416</v>
      </c>
      <c r="C1259" s="17">
        <v>19900101</v>
      </c>
      <c r="D1259" s="17">
        <v>22991231</v>
      </c>
      <c r="E1259" s="25">
        <v>1450.8</v>
      </c>
    </row>
    <row r="1260" spans="1:5" ht="26" x14ac:dyDescent="0.3">
      <c r="A1260" s="17" t="str">
        <f>"26235"</f>
        <v>26235</v>
      </c>
      <c r="B1260" s="5" t="s">
        <v>1417</v>
      </c>
      <c r="C1260" s="17">
        <v>19900101</v>
      </c>
      <c r="D1260" s="17">
        <v>22991231</v>
      </c>
      <c r="E1260" s="25">
        <v>782.3</v>
      </c>
    </row>
    <row r="1261" spans="1:5" x14ac:dyDescent="0.3">
      <c r="A1261" s="17" t="str">
        <f>"26236"</f>
        <v>26236</v>
      </c>
      <c r="B1261" s="5" t="s">
        <v>1418</v>
      </c>
      <c r="C1261" s="17">
        <v>19900101</v>
      </c>
      <c r="D1261" s="17">
        <v>22991231</v>
      </c>
      <c r="E1261" s="25">
        <v>782.3</v>
      </c>
    </row>
    <row r="1262" spans="1:5" x14ac:dyDescent="0.3">
      <c r="A1262" s="17" t="str">
        <f>"26250"</f>
        <v>26250</v>
      </c>
      <c r="B1262" s="5" t="s">
        <v>1419</v>
      </c>
      <c r="C1262" s="17">
        <v>19900101</v>
      </c>
      <c r="D1262" s="17">
        <v>22991231</v>
      </c>
      <c r="E1262" s="25">
        <v>1450.8</v>
      </c>
    </row>
    <row r="1263" spans="1:5" x14ac:dyDescent="0.3">
      <c r="A1263" s="17" t="str">
        <f>"26260"</f>
        <v>26260</v>
      </c>
      <c r="B1263" s="5" t="s">
        <v>1420</v>
      </c>
      <c r="C1263" s="17">
        <v>19900101</v>
      </c>
      <c r="D1263" s="17">
        <v>22991231</v>
      </c>
      <c r="E1263" s="25">
        <v>1450.8</v>
      </c>
    </row>
    <row r="1264" spans="1:5" ht="26" x14ac:dyDescent="0.3">
      <c r="A1264" s="17" t="str">
        <f>"26262"</f>
        <v>26262</v>
      </c>
      <c r="B1264" s="5" t="s">
        <v>1421</v>
      </c>
      <c r="C1264" s="17">
        <v>19900101</v>
      </c>
      <c r="D1264" s="17">
        <v>22991231</v>
      </c>
      <c r="E1264" s="25">
        <v>782.3</v>
      </c>
    </row>
    <row r="1265" spans="1:5" x14ac:dyDescent="0.3">
      <c r="A1265" s="17" t="str">
        <f>"26320"</f>
        <v>26320</v>
      </c>
      <c r="B1265" s="5" t="s">
        <v>1422</v>
      </c>
      <c r="C1265" s="17">
        <v>19900101</v>
      </c>
      <c r="D1265" s="17">
        <v>22991231</v>
      </c>
      <c r="E1265" s="25">
        <v>652.27</v>
      </c>
    </row>
    <row r="1266" spans="1:5" x14ac:dyDescent="0.3">
      <c r="A1266" s="17" t="str">
        <f>"26340"</f>
        <v>26340</v>
      </c>
      <c r="B1266" s="5" t="s">
        <v>1423</v>
      </c>
      <c r="C1266" s="17">
        <v>20230101</v>
      </c>
      <c r="D1266" s="17">
        <v>22991231</v>
      </c>
      <c r="E1266" s="25">
        <v>782.3</v>
      </c>
    </row>
    <row r="1267" spans="1:5" ht="26" x14ac:dyDescent="0.3">
      <c r="A1267" s="17" t="str">
        <f>"26341"</f>
        <v>26341</v>
      </c>
      <c r="B1267" s="5" t="s">
        <v>1424</v>
      </c>
      <c r="C1267" s="17">
        <v>20120101</v>
      </c>
      <c r="D1267" s="17">
        <v>22991231</v>
      </c>
      <c r="E1267" s="25">
        <v>77.569999999999993</v>
      </c>
    </row>
    <row r="1268" spans="1:5" ht="26" x14ac:dyDescent="0.3">
      <c r="A1268" s="17" t="str">
        <f>"26350"</f>
        <v>26350</v>
      </c>
      <c r="B1268" s="5" t="s">
        <v>1425</v>
      </c>
      <c r="C1268" s="17">
        <v>19900101</v>
      </c>
      <c r="D1268" s="17">
        <v>22991231</v>
      </c>
      <c r="E1268" s="25">
        <v>1450.8</v>
      </c>
    </row>
    <row r="1269" spans="1:5" ht="26" x14ac:dyDescent="0.3">
      <c r="A1269" s="17" t="str">
        <f>"26352"</f>
        <v>26352</v>
      </c>
      <c r="B1269" s="5" t="s">
        <v>1426</v>
      </c>
      <c r="C1269" s="17">
        <v>19900101</v>
      </c>
      <c r="D1269" s="17">
        <v>22991231</v>
      </c>
      <c r="E1269" s="25">
        <v>3240.75</v>
      </c>
    </row>
    <row r="1270" spans="1:5" ht="26" x14ac:dyDescent="0.3">
      <c r="A1270" s="17" t="str">
        <f>"26356"</f>
        <v>26356</v>
      </c>
      <c r="B1270" s="5" t="s">
        <v>1427</v>
      </c>
      <c r="C1270" s="17">
        <v>19900101</v>
      </c>
      <c r="D1270" s="17">
        <v>22991231</v>
      </c>
      <c r="E1270" s="25">
        <v>1450.8</v>
      </c>
    </row>
    <row r="1271" spans="1:5" ht="26" x14ac:dyDescent="0.3">
      <c r="A1271" s="17" t="str">
        <f>"26357"</f>
        <v>26357</v>
      </c>
      <c r="B1271" s="5" t="s">
        <v>1428</v>
      </c>
      <c r="C1271" s="17">
        <v>19970801</v>
      </c>
      <c r="D1271" s="17">
        <v>22991231</v>
      </c>
      <c r="E1271" s="25">
        <v>1450.8</v>
      </c>
    </row>
    <row r="1272" spans="1:5" ht="26" x14ac:dyDescent="0.3">
      <c r="A1272" s="17" t="str">
        <f>"26358"</f>
        <v>26358</v>
      </c>
      <c r="B1272" s="5" t="s">
        <v>1429</v>
      </c>
      <c r="C1272" s="17">
        <v>19900101</v>
      </c>
      <c r="D1272" s="17">
        <v>22991231</v>
      </c>
      <c r="E1272" s="25">
        <v>3240.75</v>
      </c>
    </row>
    <row r="1273" spans="1:5" x14ac:dyDescent="0.3">
      <c r="A1273" s="17" t="str">
        <f>"26370"</f>
        <v>26370</v>
      </c>
      <c r="B1273" s="5" t="s">
        <v>1430</v>
      </c>
      <c r="C1273" s="17">
        <v>19900101</v>
      </c>
      <c r="D1273" s="17">
        <v>22991231</v>
      </c>
      <c r="E1273" s="25">
        <v>1450.8</v>
      </c>
    </row>
    <row r="1274" spans="1:5" ht="26" x14ac:dyDescent="0.3">
      <c r="A1274" s="17" t="str">
        <f>"26372"</f>
        <v>26372</v>
      </c>
      <c r="B1274" s="5" t="s">
        <v>1431</v>
      </c>
      <c r="C1274" s="17">
        <v>19900101</v>
      </c>
      <c r="D1274" s="17">
        <v>22991231</v>
      </c>
      <c r="E1274" s="25">
        <v>3240.75</v>
      </c>
    </row>
    <row r="1275" spans="1:5" ht="26" x14ac:dyDescent="0.3">
      <c r="A1275" s="17" t="str">
        <f>"26373"</f>
        <v>26373</v>
      </c>
      <c r="B1275" s="5" t="s">
        <v>1432</v>
      </c>
      <c r="C1275" s="17">
        <v>19900101</v>
      </c>
      <c r="D1275" s="17">
        <v>22991231</v>
      </c>
      <c r="E1275" s="25">
        <v>1450.8</v>
      </c>
    </row>
    <row r="1276" spans="1:5" ht="26" x14ac:dyDescent="0.3">
      <c r="A1276" s="17" t="str">
        <f>"26390"</f>
        <v>26390</v>
      </c>
      <c r="B1276" s="5" t="s">
        <v>1433</v>
      </c>
      <c r="C1276" s="17">
        <v>19900101</v>
      </c>
      <c r="D1276" s="17">
        <v>22991231</v>
      </c>
      <c r="E1276" s="25">
        <v>4325.17</v>
      </c>
    </row>
    <row r="1277" spans="1:5" ht="26" x14ac:dyDescent="0.3">
      <c r="A1277" s="17" t="str">
        <f>"26392"</f>
        <v>26392</v>
      </c>
      <c r="B1277" s="5" t="s">
        <v>1434</v>
      </c>
      <c r="C1277" s="17">
        <v>19900101</v>
      </c>
      <c r="D1277" s="17">
        <v>22991231</v>
      </c>
      <c r="E1277" s="25">
        <v>3240.75</v>
      </c>
    </row>
    <row r="1278" spans="1:5" x14ac:dyDescent="0.3">
      <c r="A1278" s="17" t="str">
        <f>"26410"</f>
        <v>26410</v>
      </c>
      <c r="B1278" s="5" t="s">
        <v>1435</v>
      </c>
      <c r="C1278" s="17">
        <v>19900101</v>
      </c>
      <c r="D1278" s="17">
        <v>22991231</v>
      </c>
      <c r="E1278" s="25">
        <v>782.3</v>
      </c>
    </row>
    <row r="1279" spans="1:5" x14ac:dyDescent="0.3">
      <c r="A1279" s="17" t="str">
        <f>"26412"</f>
        <v>26412</v>
      </c>
      <c r="B1279" s="5" t="s">
        <v>1436</v>
      </c>
      <c r="C1279" s="17">
        <v>19900101</v>
      </c>
      <c r="D1279" s="17">
        <v>22991231</v>
      </c>
      <c r="E1279" s="25">
        <v>1450.8</v>
      </c>
    </row>
    <row r="1280" spans="1:5" ht="26" x14ac:dyDescent="0.3">
      <c r="A1280" s="17" t="str">
        <f>"26415"</f>
        <v>26415</v>
      </c>
      <c r="B1280" s="5" t="s">
        <v>1437</v>
      </c>
      <c r="C1280" s="17">
        <v>19900101</v>
      </c>
      <c r="D1280" s="17">
        <v>22991231</v>
      </c>
      <c r="E1280" s="25">
        <v>1450.8</v>
      </c>
    </row>
    <row r="1281" spans="1:5" ht="26" x14ac:dyDescent="0.3">
      <c r="A1281" s="17" t="str">
        <f>"26416"</f>
        <v>26416</v>
      </c>
      <c r="B1281" s="5" t="s">
        <v>1438</v>
      </c>
      <c r="C1281" s="17">
        <v>19900101</v>
      </c>
      <c r="D1281" s="17">
        <v>22991231</v>
      </c>
      <c r="E1281" s="25">
        <v>1450.8</v>
      </c>
    </row>
    <row r="1282" spans="1:5" x14ac:dyDescent="0.3">
      <c r="A1282" s="17" t="str">
        <f>"26418"</f>
        <v>26418</v>
      </c>
      <c r="B1282" s="5" t="s">
        <v>1439</v>
      </c>
      <c r="C1282" s="17">
        <v>19900101</v>
      </c>
      <c r="D1282" s="17">
        <v>22991231</v>
      </c>
      <c r="E1282" s="25">
        <v>782.3</v>
      </c>
    </row>
    <row r="1283" spans="1:5" x14ac:dyDescent="0.3">
      <c r="A1283" s="17" t="str">
        <f>"26420"</f>
        <v>26420</v>
      </c>
      <c r="B1283" s="5" t="s">
        <v>1440</v>
      </c>
      <c r="C1283" s="17">
        <v>19900101</v>
      </c>
      <c r="D1283" s="17">
        <v>22991231</v>
      </c>
      <c r="E1283" s="25">
        <v>1450.8</v>
      </c>
    </row>
    <row r="1284" spans="1:5" ht="26" x14ac:dyDescent="0.3">
      <c r="A1284" s="17" t="str">
        <f>"26426"</f>
        <v>26426</v>
      </c>
      <c r="B1284" s="5" t="s">
        <v>1441</v>
      </c>
      <c r="C1284" s="17">
        <v>19900101</v>
      </c>
      <c r="D1284" s="17">
        <v>22991231</v>
      </c>
      <c r="E1284" s="25">
        <v>1450.8</v>
      </c>
    </row>
    <row r="1285" spans="1:5" ht="26" x14ac:dyDescent="0.3">
      <c r="A1285" s="17" t="str">
        <f>"26428"</f>
        <v>26428</v>
      </c>
      <c r="B1285" s="5" t="s">
        <v>1442</v>
      </c>
      <c r="C1285" s="17">
        <v>19900101</v>
      </c>
      <c r="D1285" s="17">
        <v>22991231</v>
      </c>
      <c r="E1285" s="25">
        <v>1450.8</v>
      </c>
    </row>
    <row r="1286" spans="1:5" ht="26" x14ac:dyDescent="0.3">
      <c r="A1286" s="17" t="str">
        <f>"26432"</f>
        <v>26432</v>
      </c>
      <c r="B1286" s="5" t="s">
        <v>1443</v>
      </c>
      <c r="C1286" s="17">
        <v>19900101</v>
      </c>
      <c r="D1286" s="17">
        <v>22991231</v>
      </c>
      <c r="E1286" s="25">
        <v>782.3</v>
      </c>
    </row>
    <row r="1287" spans="1:5" x14ac:dyDescent="0.3">
      <c r="A1287" s="17" t="str">
        <f>"26433"</f>
        <v>26433</v>
      </c>
      <c r="B1287" s="5" t="s">
        <v>1444</v>
      </c>
      <c r="C1287" s="17">
        <v>19900101</v>
      </c>
      <c r="D1287" s="17">
        <v>22991231</v>
      </c>
      <c r="E1287" s="25">
        <v>1450.8</v>
      </c>
    </row>
    <row r="1288" spans="1:5" ht="26" x14ac:dyDescent="0.3">
      <c r="A1288" s="17" t="str">
        <f>"26434"</f>
        <v>26434</v>
      </c>
      <c r="B1288" s="5" t="s">
        <v>1445</v>
      </c>
      <c r="C1288" s="17">
        <v>19900101</v>
      </c>
      <c r="D1288" s="17">
        <v>22991231</v>
      </c>
      <c r="E1288" s="25">
        <v>1450.8</v>
      </c>
    </row>
    <row r="1289" spans="1:5" x14ac:dyDescent="0.3">
      <c r="A1289" s="17" t="str">
        <f>"26437"</f>
        <v>26437</v>
      </c>
      <c r="B1289" s="5" t="s">
        <v>1446</v>
      </c>
      <c r="C1289" s="17">
        <v>19900101</v>
      </c>
      <c r="D1289" s="17">
        <v>22991231</v>
      </c>
      <c r="E1289" s="25">
        <v>1450.8</v>
      </c>
    </row>
    <row r="1290" spans="1:5" x14ac:dyDescent="0.3">
      <c r="A1290" s="17" t="str">
        <f>"26440"</f>
        <v>26440</v>
      </c>
      <c r="B1290" s="5" t="s">
        <v>1447</v>
      </c>
      <c r="C1290" s="17">
        <v>19900101</v>
      </c>
      <c r="D1290" s="17">
        <v>22991231</v>
      </c>
      <c r="E1290" s="25">
        <v>782.3</v>
      </c>
    </row>
    <row r="1291" spans="1:5" x14ac:dyDescent="0.3">
      <c r="A1291" s="17" t="str">
        <f>"26442"</f>
        <v>26442</v>
      </c>
      <c r="B1291" s="5" t="s">
        <v>1448</v>
      </c>
      <c r="C1291" s="17">
        <v>19900101</v>
      </c>
      <c r="D1291" s="17">
        <v>22991231</v>
      </c>
      <c r="E1291" s="25">
        <v>1450.8</v>
      </c>
    </row>
    <row r="1292" spans="1:5" x14ac:dyDescent="0.3">
      <c r="A1292" s="17" t="str">
        <f>"26445"</f>
        <v>26445</v>
      </c>
      <c r="B1292" s="5" t="s">
        <v>1449</v>
      </c>
      <c r="C1292" s="17">
        <v>19900101</v>
      </c>
      <c r="D1292" s="17">
        <v>22991231</v>
      </c>
      <c r="E1292" s="25">
        <v>1450.8</v>
      </c>
    </row>
    <row r="1293" spans="1:5" ht="26" x14ac:dyDescent="0.3">
      <c r="A1293" s="17" t="str">
        <f>"26449"</f>
        <v>26449</v>
      </c>
      <c r="B1293" s="5" t="s">
        <v>1450</v>
      </c>
      <c r="C1293" s="17">
        <v>19900101</v>
      </c>
      <c r="D1293" s="17">
        <v>22991231</v>
      </c>
      <c r="E1293" s="25">
        <v>1450.8</v>
      </c>
    </row>
    <row r="1294" spans="1:5" x14ac:dyDescent="0.3">
      <c r="A1294" s="17" t="str">
        <f>"26450"</f>
        <v>26450</v>
      </c>
      <c r="B1294" s="5" t="s">
        <v>1451</v>
      </c>
      <c r="C1294" s="17">
        <v>19900101</v>
      </c>
      <c r="D1294" s="17">
        <v>22991231</v>
      </c>
      <c r="E1294" s="25">
        <v>1450.8</v>
      </c>
    </row>
    <row r="1295" spans="1:5" x14ac:dyDescent="0.3">
      <c r="A1295" s="17" t="str">
        <f>"26455"</f>
        <v>26455</v>
      </c>
      <c r="B1295" s="5" t="s">
        <v>1452</v>
      </c>
      <c r="C1295" s="17">
        <v>19900101</v>
      </c>
      <c r="D1295" s="17">
        <v>22991231</v>
      </c>
      <c r="E1295" s="25">
        <v>782.3</v>
      </c>
    </row>
    <row r="1296" spans="1:5" x14ac:dyDescent="0.3">
      <c r="A1296" s="17" t="str">
        <f>"26460"</f>
        <v>26460</v>
      </c>
      <c r="B1296" s="5" t="s">
        <v>1453</v>
      </c>
      <c r="C1296" s="17">
        <v>19900101</v>
      </c>
      <c r="D1296" s="17">
        <v>22991231</v>
      </c>
      <c r="E1296" s="25">
        <v>782.3</v>
      </c>
    </row>
    <row r="1297" spans="1:5" x14ac:dyDescent="0.3">
      <c r="A1297" s="17" t="str">
        <f>"26471"</f>
        <v>26471</v>
      </c>
      <c r="B1297" s="5" t="s">
        <v>1454</v>
      </c>
      <c r="C1297" s="17">
        <v>19900101</v>
      </c>
      <c r="D1297" s="17">
        <v>22991231</v>
      </c>
      <c r="E1297" s="25">
        <v>1450.8</v>
      </c>
    </row>
    <row r="1298" spans="1:5" ht="26" x14ac:dyDescent="0.3">
      <c r="A1298" s="17" t="str">
        <f>"26474"</f>
        <v>26474</v>
      </c>
      <c r="B1298" s="5" t="s">
        <v>1455</v>
      </c>
      <c r="C1298" s="17">
        <v>19900101</v>
      </c>
      <c r="D1298" s="17">
        <v>22991231</v>
      </c>
      <c r="E1298" s="25">
        <v>782.3</v>
      </c>
    </row>
    <row r="1299" spans="1:5" ht="26" x14ac:dyDescent="0.3">
      <c r="A1299" s="17" t="str">
        <f>"26476"</f>
        <v>26476</v>
      </c>
      <c r="B1299" s="5" t="s">
        <v>1456</v>
      </c>
      <c r="C1299" s="17">
        <v>19900101</v>
      </c>
      <c r="D1299" s="17">
        <v>22991231</v>
      </c>
      <c r="E1299" s="25">
        <v>1450.8</v>
      </c>
    </row>
    <row r="1300" spans="1:5" ht="26" x14ac:dyDescent="0.3">
      <c r="A1300" s="17" t="str">
        <f>"26477"</f>
        <v>26477</v>
      </c>
      <c r="B1300" s="5" t="s">
        <v>1457</v>
      </c>
      <c r="C1300" s="17">
        <v>19900101</v>
      </c>
      <c r="D1300" s="17">
        <v>22991231</v>
      </c>
      <c r="E1300" s="25">
        <v>1450.8</v>
      </c>
    </row>
    <row r="1301" spans="1:5" ht="26" x14ac:dyDescent="0.3">
      <c r="A1301" s="17" t="str">
        <f>"26478"</f>
        <v>26478</v>
      </c>
      <c r="B1301" s="5" t="s">
        <v>1458</v>
      </c>
      <c r="C1301" s="17">
        <v>19900101</v>
      </c>
      <c r="D1301" s="17">
        <v>22991231</v>
      </c>
      <c r="E1301" s="25">
        <v>1450.8</v>
      </c>
    </row>
    <row r="1302" spans="1:5" ht="26" x14ac:dyDescent="0.3">
      <c r="A1302" s="17" t="str">
        <f>"26479"</f>
        <v>26479</v>
      </c>
      <c r="B1302" s="5" t="s">
        <v>1459</v>
      </c>
      <c r="C1302" s="17">
        <v>19900101</v>
      </c>
      <c r="D1302" s="17">
        <v>22991231</v>
      </c>
      <c r="E1302" s="25">
        <v>1450.8</v>
      </c>
    </row>
    <row r="1303" spans="1:5" x14ac:dyDescent="0.3">
      <c r="A1303" s="17" t="str">
        <f>"26480"</f>
        <v>26480</v>
      </c>
      <c r="B1303" s="5" t="s">
        <v>1460</v>
      </c>
      <c r="C1303" s="17">
        <v>19900101</v>
      </c>
      <c r="D1303" s="17">
        <v>22991231</v>
      </c>
      <c r="E1303" s="25">
        <v>1450.8</v>
      </c>
    </row>
    <row r="1304" spans="1:5" x14ac:dyDescent="0.3">
      <c r="A1304" s="17" t="str">
        <f>"26483"</f>
        <v>26483</v>
      </c>
      <c r="B1304" s="5" t="s">
        <v>1461</v>
      </c>
      <c r="C1304" s="17">
        <v>19900101</v>
      </c>
      <c r="D1304" s="17">
        <v>22991231</v>
      </c>
      <c r="E1304" s="25">
        <v>1450.8</v>
      </c>
    </row>
    <row r="1305" spans="1:5" x14ac:dyDescent="0.3">
      <c r="A1305" s="17" t="str">
        <f>"26485"</f>
        <v>26485</v>
      </c>
      <c r="B1305" s="5" t="s">
        <v>1462</v>
      </c>
      <c r="C1305" s="17">
        <v>19900101</v>
      </c>
      <c r="D1305" s="17">
        <v>22991231</v>
      </c>
      <c r="E1305" s="25">
        <v>1450.8</v>
      </c>
    </row>
    <row r="1306" spans="1:5" x14ac:dyDescent="0.3">
      <c r="A1306" s="17" t="str">
        <f>"26489"</f>
        <v>26489</v>
      </c>
      <c r="B1306" s="5" t="s">
        <v>1463</v>
      </c>
      <c r="C1306" s="17">
        <v>19900101</v>
      </c>
      <c r="D1306" s="17">
        <v>22991231</v>
      </c>
      <c r="E1306" s="25">
        <v>1450.8</v>
      </c>
    </row>
    <row r="1307" spans="1:5" x14ac:dyDescent="0.3">
      <c r="A1307" s="17" t="str">
        <f>"26490"</f>
        <v>26490</v>
      </c>
      <c r="B1307" s="5" t="s">
        <v>1464</v>
      </c>
      <c r="C1307" s="17">
        <v>19900101</v>
      </c>
      <c r="D1307" s="17">
        <v>22991231</v>
      </c>
      <c r="E1307" s="25">
        <v>1450.8</v>
      </c>
    </row>
    <row r="1308" spans="1:5" x14ac:dyDescent="0.3">
      <c r="A1308" s="17" t="str">
        <f>"26492"</f>
        <v>26492</v>
      </c>
      <c r="B1308" s="5" t="s">
        <v>1465</v>
      </c>
      <c r="C1308" s="17">
        <v>19900101</v>
      </c>
      <c r="D1308" s="17">
        <v>22991231</v>
      </c>
      <c r="E1308" s="25">
        <v>1450.8</v>
      </c>
    </row>
    <row r="1309" spans="1:5" x14ac:dyDescent="0.3">
      <c r="A1309" s="17" t="str">
        <f>"26494"</f>
        <v>26494</v>
      </c>
      <c r="B1309" s="5" t="s">
        <v>1466</v>
      </c>
      <c r="C1309" s="17">
        <v>19900101</v>
      </c>
      <c r="D1309" s="17">
        <v>22991231</v>
      </c>
      <c r="E1309" s="25">
        <v>1450.8</v>
      </c>
    </row>
    <row r="1310" spans="1:5" x14ac:dyDescent="0.3">
      <c r="A1310" s="17" t="str">
        <f>"26496"</f>
        <v>26496</v>
      </c>
      <c r="B1310" s="5" t="s">
        <v>1467</v>
      </c>
      <c r="C1310" s="17">
        <v>19900101</v>
      </c>
      <c r="D1310" s="17">
        <v>22991231</v>
      </c>
      <c r="E1310" s="25">
        <v>1450.8</v>
      </c>
    </row>
    <row r="1311" spans="1:5" x14ac:dyDescent="0.3">
      <c r="A1311" s="17" t="str">
        <f>"26497"</f>
        <v>26497</v>
      </c>
      <c r="B1311" s="5" t="s">
        <v>1468</v>
      </c>
      <c r="C1311" s="17">
        <v>19900101</v>
      </c>
      <c r="D1311" s="17">
        <v>22991231</v>
      </c>
      <c r="E1311" s="25">
        <v>1450.8</v>
      </c>
    </row>
    <row r="1312" spans="1:5" x14ac:dyDescent="0.3">
      <c r="A1312" s="17" t="str">
        <f>"26498"</f>
        <v>26498</v>
      </c>
      <c r="B1312" s="5" t="s">
        <v>1469</v>
      </c>
      <c r="C1312" s="17">
        <v>19900101</v>
      </c>
      <c r="D1312" s="17">
        <v>22991231</v>
      </c>
      <c r="E1312" s="25">
        <v>1450.8</v>
      </c>
    </row>
    <row r="1313" spans="1:5" x14ac:dyDescent="0.3">
      <c r="A1313" s="17" t="str">
        <f>"26499"</f>
        <v>26499</v>
      </c>
      <c r="B1313" s="5" t="s">
        <v>1470</v>
      </c>
      <c r="C1313" s="17">
        <v>19900101</v>
      </c>
      <c r="D1313" s="17">
        <v>22991231</v>
      </c>
      <c r="E1313" s="25">
        <v>1450.8</v>
      </c>
    </row>
    <row r="1314" spans="1:5" x14ac:dyDescent="0.3">
      <c r="A1314" s="17" t="str">
        <f>"26500"</f>
        <v>26500</v>
      </c>
      <c r="B1314" s="5" t="s">
        <v>1471</v>
      </c>
      <c r="C1314" s="17">
        <v>19900101</v>
      </c>
      <c r="D1314" s="17">
        <v>22991231</v>
      </c>
      <c r="E1314" s="25">
        <v>3240.75</v>
      </c>
    </row>
    <row r="1315" spans="1:5" ht="26" x14ac:dyDescent="0.3">
      <c r="A1315" s="17" t="str">
        <f>"26502"</f>
        <v>26502</v>
      </c>
      <c r="B1315" s="5" t="s">
        <v>1472</v>
      </c>
      <c r="C1315" s="17">
        <v>19900101</v>
      </c>
      <c r="D1315" s="17">
        <v>22991231</v>
      </c>
      <c r="E1315" s="25">
        <v>1450.8</v>
      </c>
    </row>
    <row r="1316" spans="1:5" x14ac:dyDescent="0.3">
      <c r="A1316" s="17" t="str">
        <f>"26508"</f>
        <v>26508</v>
      </c>
      <c r="B1316" s="5" t="s">
        <v>1473</v>
      </c>
      <c r="C1316" s="17">
        <v>19900101</v>
      </c>
      <c r="D1316" s="17">
        <v>22991231</v>
      </c>
      <c r="E1316" s="25">
        <v>1450.8</v>
      </c>
    </row>
    <row r="1317" spans="1:5" x14ac:dyDescent="0.3">
      <c r="A1317" s="17" t="str">
        <f>"26510"</f>
        <v>26510</v>
      </c>
      <c r="B1317" s="5" t="s">
        <v>1474</v>
      </c>
      <c r="C1317" s="17">
        <v>19900101</v>
      </c>
      <c r="D1317" s="17">
        <v>22991231</v>
      </c>
      <c r="E1317" s="25">
        <v>1450.8</v>
      </c>
    </row>
    <row r="1318" spans="1:5" ht="26" x14ac:dyDescent="0.3">
      <c r="A1318" s="17" t="str">
        <f>"26516"</f>
        <v>26516</v>
      </c>
      <c r="B1318" s="5" t="s">
        <v>1475</v>
      </c>
      <c r="C1318" s="17">
        <v>19900101</v>
      </c>
      <c r="D1318" s="17">
        <v>22991231</v>
      </c>
      <c r="E1318" s="25">
        <v>1861.97</v>
      </c>
    </row>
    <row r="1319" spans="1:5" ht="26" x14ac:dyDescent="0.3">
      <c r="A1319" s="17" t="str">
        <f>"26517"</f>
        <v>26517</v>
      </c>
      <c r="B1319" s="5" t="s">
        <v>1476</v>
      </c>
      <c r="C1319" s="17">
        <v>19900101</v>
      </c>
      <c r="D1319" s="17">
        <v>22991231</v>
      </c>
      <c r="E1319" s="25">
        <v>1450.8</v>
      </c>
    </row>
    <row r="1320" spans="1:5" ht="26" x14ac:dyDescent="0.3">
      <c r="A1320" s="17" t="str">
        <f>"26518"</f>
        <v>26518</v>
      </c>
      <c r="B1320" s="5" t="s">
        <v>1477</v>
      </c>
      <c r="C1320" s="17">
        <v>19900101</v>
      </c>
      <c r="D1320" s="17">
        <v>22991231</v>
      </c>
      <c r="E1320" s="25">
        <v>3240.75</v>
      </c>
    </row>
    <row r="1321" spans="1:5" ht="26" x14ac:dyDescent="0.3">
      <c r="A1321" s="17" t="str">
        <f>"26520"</f>
        <v>26520</v>
      </c>
      <c r="B1321" s="5" t="s">
        <v>1478</v>
      </c>
      <c r="C1321" s="17">
        <v>19900101</v>
      </c>
      <c r="D1321" s="17">
        <v>22991231</v>
      </c>
      <c r="E1321" s="25">
        <v>1450.8</v>
      </c>
    </row>
    <row r="1322" spans="1:5" x14ac:dyDescent="0.3">
      <c r="A1322" s="17" t="str">
        <f>"26525"</f>
        <v>26525</v>
      </c>
      <c r="B1322" s="5" t="s">
        <v>1479</v>
      </c>
      <c r="C1322" s="17">
        <v>19900101</v>
      </c>
      <c r="D1322" s="17">
        <v>22991231</v>
      </c>
      <c r="E1322" s="25">
        <v>782.3</v>
      </c>
    </row>
    <row r="1323" spans="1:5" ht="26" x14ac:dyDescent="0.3">
      <c r="A1323" s="17" t="str">
        <f>"26530"</f>
        <v>26530</v>
      </c>
      <c r="B1323" s="5" t="s">
        <v>1480</v>
      </c>
      <c r="C1323" s="17">
        <v>19900101</v>
      </c>
      <c r="D1323" s="17">
        <v>22991231</v>
      </c>
      <c r="E1323" s="25">
        <v>4183.3500000000004</v>
      </c>
    </row>
    <row r="1324" spans="1:5" ht="26" x14ac:dyDescent="0.3">
      <c r="A1324" s="17" t="str">
        <f>"26531"</f>
        <v>26531</v>
      </c>
      <c r="B1324" s="5" t="s">
        <v>1481</v>
      </c>
      <c r="C1324" s="17">
        <v>19900101</v>
      </c>
      <c r="D1324" s="17">
        <v>22991231</v>
      </c>
      <c r="E1324" s="25">
        <v>4398.93</v>
      </c>
    </row>
    <row r="1325" spans="1:5" x14ac:dyDescent="0.3">
      <c r="A1325" s="17" t="str">
        <f>"26535"</f>
        <v>26535</v>
      </c>
      <c r="B1325" s="5" t="s">
        <v>1482</v>
      </c>
      <c r="C1325" s="17">
        <v>19900101</v>
      </c>
      <c r="D1325" s="17">
        <v>22991231</v>
      </c>
      <c r="E1325" s="25">
        <v>1450.8</v>
      </c>
    </row>
    <row r="1326" spans="1:5" x14ac:dyDescent="0.3">
      <c r="A1326" s="17" t="str">
        <f>"26536"</f>
        <v>26536</v>
      </c>
      <c r="B1326" s="5" t="s">
        <v>1483</v>
      </c>
      <c r="C1326" s="17">
        <v>19900101</v>
      </c>
      <c r="D1326" s="17">
        <v>22991231</v>
      </c>
      <c r="E1326" s="25">
        <v>4250.05</v>
      </c>
    </row>
    <row r="1327" spans="1:5" ht="26" x14ac:dyDescent="0.3">
      <c r="A1327" s="17" t="str">
        <f>"26540"</f>
        <v>26540</v>
      </c>
      <c r="B1327" s="5" t="s">
        <v>1484</v>
      </c>
      <c r="C1327" s="17">
        <v>19900101</v>
      </c>
      <c r="D1327" s="17">
        <v>22991231</v>
      </c>
      <c r="E1327" s="25">
        <v>1450.8</v>
      </c>
    </row>
    <row r="1328" spans="1:5" ht="26" x14ac:dyDescent="0.3">
      <c r="A1328" s="17" t="str">
        <f>"26541"</f>
        <v>26541</v>
      </c>
      <c r="B1328" s="5" t="s">
        <v>1485</v>
      </c>
      <c r="C1328" s="17">
        <v>19900101</v>
      </c>
      <c r="D1328" s="17">
        <v>22991231</v>
      </c>
      <c r="E1328" s="25">
        <v>1919.99</v>
      </c>
    </row>
    <row r="1329" spans="1:5" ht="26" x14ac:dyDescent="0.3">
      <c r="A1329" s="17" t="str">
        <f>"26542"</f>
        <v>26542</v>
      </c>
      <c r="B1329" s="5" t="s">
        <v>1486</v>
      </c>
      <c r="C1329" s="17">
        <v>19900101</v>
      </c>
      <c r="D1329" s="17">
        <v>22991231</v>
      </c>
      <c r="E1329" s="25">
        <v>1450.8</v>
      </c>
    </row>
    <row r="1330" spans="1:5" x14ac:dyDescent="0.3">
      <c r="A1330" s="17" t="str">
        <f>"26545"</f>
        <v>26545</v>
      </c>
      <c r="B1330" s="5" t="s">
        <v>1487</v>
      </c>
      <c r="C1330" s="17">
        <v>19900101</v>
      </c>
      <c r="D1330" s="17">
        <v>22991231</v>
      </c>
      <c r="E1330" s="25">
        <v>1450.8</v>
      </c>
    </row>
    <row r="1331" spans="1:5" x14ac:dyDescent="0.3">
      <c r="A1331" s="17" t="str">
        <f>"26546"</f>
        <v>26546</v>
      </c>
      <c r="B1331" s="5" t="s">
        <v>1488</v>
      </c>
      <c r="C1331" s="17">
        <v>19970101</v>
      </c>
      <c r="D1331" s="17">
        <v>22991231</v>
      </c>
      <c r="E1331" s="25">
        <v>3240.75</v>
      </c>
    </row>
    <row r="1332" spans="1:5" x14ac:dyDescent="0.3">
      <c r="A1332" s="17" t="str">
        <f>"26548"</f>
        <v>26548</v>
      </c>
      <c r="B1332" s="5" t="s">
        <v>1489</v>
      </c>
      <c r="C1332" s="17">
        <v>20060101</v>
      </c>
      <c r="D1332" s="17">
        <v>22991231</v>
      </c>
      <c r="E1332" s="25">
        <v>1450.8</v>
      </c>
    </row>
    <row r="1333" spans="1:5" x14ac:dyDescent="0.3">
      <c r="A1333" s="17" t="str">
        <f>"26550"</f>
        <v>26550</v>
      </c>
      <c r="B1333" s="5" t="s">
        <v>1490</v>
      </c>
      <c r="C1333" s="17">
        <v>19900101</v>
      </c>
      <c r="D1333" s="17">
        <v>22991231</v>
      </c>
      <c r="E1333" s="25">
        <v>1450.8</v>
      </c>
    </row>
    <row r="1334" spans="1:5" x14ac:dyDescent="0.3">
      <c r="A1334" s="17" t="str">
        <f>"26555"</f>
        <v>26555</v>
      </c>
      <c r="B1334" s="5" t="s">
        <v>1491</v>
      </c>
      <c r="C1334" s="17">
        <v>19900101</v>
      </c>
      <c r="D1334" s="17">
        <v>22991231</v>
      </c>
      <c r="E1334" s="25">
        <v>3240.75</v>
      </c>
    </row>
    <row r="1335" spans="1:5" x14ac:dyDescent="0.3">
      <c r="A1335" s="17" t="str">
        <f>"26560"</f>
        <v>26560</v>
      </c>
      <c r="B1335" s="5" t="s">
        <v>1492</v>
      </c>
      <c r="C1335" s="17">
        <v>19900101</v>
      </c>
      <c r="D1335" s="17">
        <v>22991231</v>
      </c>
      <c r="E1335" s="25">
        <v>782.3</v>
      </c>
    </row>
    <row r="1336" spans="1:5" ht="26" x14ac:dyDescent="0.3">
      <c r="A1336" s="17" t="str">
        <f>"26561"</f>
        <v>26561</v>
      </c>
      <c r="B1336" s="5" t="s">
        <v>1493</v>
      </c>
      <c r="C1336" s="17">
        <v>19900101</v>
      </c>
      <c r="D1336" s="17">
        <v>22991231</v>
      </c>
      <c r="E1336" s="25">
        <v>1450.8</v>
      </c>
    </row>
    <row r="1337" spans="1:5" x14ac:dyDescent="0.3">
      <c r="A1337" s="17" t="str">
        <f>"26562"</f>
        <v>26562</v>
      </c>
      <c r="B1337" s="5" t="s">
        <v>1494</v>
      </c>
      <c r="C1337" s="17">
        <v>19900101</v>
      </c>
      <c r="D1337" s="17">
        <v>22991231</v>
      </c>
      <c r="E1337" s="25">
        <v>1450.8</v>
      </c>
    </row>
    <row r="1338" spans="1:5" x14ac:dyDescent="0.3">
      <c r="A1338" s="17" t="str">
        <f>"26565"</f>
        <v>26565</v>
      </c>
      <c r="B1338" s="5" t="s">
        <v>1495</v>
      </c>
      <c r="C1338" s="17">
        <v>19900101</v>
      </c>
      <c r="D1338" s="17">
        <v>22991231</v>
      </c>
      <c r="E1338" s="25">
        <v>1450.8</v>
      </c>
    </row>
    <row r="1339" spans="1:5" x14ac:dyDescent="0.3">
      <c r="A1339" s="17" t="str">
        <f>"26567"</f>
        <v>26567</v>
      </c>
      <c r="B1339" s="5" t="s">
        <v>1496</v>
      </c>
      <c r="C1339" s="17">
        <v>19900101</v>
      </c>
      <c r="D1339" s="17">
        <v>22991231</v>
      </c>
      <c r="E1339" s="25">
        <v>1450.8</v>
      </c>
    </row>
    <row r="1340" spans="1:5" x14ac:dyDescent="0.3">
      <c r="A1340" s="17" t="str">
        <f>"26568"</f>
        <v>26568</v>
      </c>
      <c r="B1340" s="5" t="s">
        <v>1497</v>
      </c>
      <c r="C1340" s="17">
        <v>19900101</v>
      </c>
      <c r="D1340" s="17">
        <v>22991231</v>
      </c>
      <c r="E1340" s="25">
        <v>4365.04</v>
      </c>
    </row>
    <row r="1341" spans="1:5" x14ac:dyDescent="0.3">
      <c r="A1341" s="17" t="str">
        <f>"26580"</f>
        <v>26580</v>
      </c>
      <c r="B1341" s="5" t="s">
        <v>1498</v>
      </c>
      <c r="C1341" s="17">
        <v>19900101</v>
      </c>
      <c r="D1341" s="17">
        <v>22991231</v>
      </c>
      <c r="E1341" s="25">
        <v>1450.8</v>
      </c>
    </row>
    <row r="1342" spans="1:5" x14ac:dyDescent="0.3">
      <c r="A1342" s="17" t="str">
        <f>"26587"</f>
        <v>26587</v>
      </c>
      <c r="B1342" s="5" t="s">
        <v>1499</v>
      </c>
      <c r="C1342" s="17">
        <v>19900101</v>
      </c>
      <c r="D1342" s="17">
        <v>22991231</v>
      </c>
      <c r="E1342" s="25">
        <v>1450.8</v>
      </c>
    </row>
    <row r="1343" spans="1:5" x14ac:dyDescent="0.3">
      <c r="A1343" s="17" t="str">
        <f>"26590"</f>
        <v>26590</v>
      </c>
      <c r="B1343" s="5" t="s">
        <v>1500</v>
      </c>
      <c r="C1343" s="17">
        <v>19900101</v>
      </c>
      <c r="D1343" s="17">
        <v>22991231</v>
      </c>
      <c r="E1343" s="25">
        <v>782.3</v>
      </c>
    </row>
    <row r="1344" spans="1:5" x14ac:dyDescent="0.3">
      <c r="A1344" s="17" t="str">
        <f>"26591"</f>
        <v>26591</v>
      </c>
      <c r="B1344" s="5" t="s">
        <v>1501</v>
      </c>
      <c r="C1344" s="17">
        <v>19900101</v>
      </c>
      <c r="D1344" s="17">
        <v>22991231</v>
      </c>
      <c r="E1344" s="25">
        <v>1450.8</v>
      </c>
    </row>
    <row r="1345" spans="1:5" x14ac:dyDescent="0.3">
      <c r="A1345" s="17" t="str">
        <f>"26593"</f>
        <v>26593</v>
      </c>
      <c r="B1345" s="5" t="s">
        <v>1502</v>
      </c>
      <c r="C1345" s="17">
        <v>19900101</v>
      </c>
      <c r="D1345" s="17">
        <v>22991231</v>
      </c>
      <c r="E1345" s="25">
        <v>1450.8</v>
      </c>
    </row>
    <row r="1346" spans="1:5" x14ac:dyDescent="0.3">
      <c r="A1346" s="17" t="str">
        <f>"26596"</f>
        <v>26596</v>
      </c>
      <c r="B1346" s="5" t="s">
        <v>1503</v>
      </c>
      <c r="C1346" s="17">
        <v>19900101</v>
      </c>
      <c r="D1346" s="17">
        <v>22991231</v>
      </c>
      <c r="E1346" s="25">
        <v>1450.8</v>
      </c>
    </row>
    <row r="1347" spans="1:5" x14ac:dyDescent="0.3">
      <c r="A1347" s="17" t="str">
        <f>"26600"</f>
        <v>26600</v>
      </c>
      <c r="B1347" s="5" t="s">
        <v>1504</v>
      </c>
      <c r="C1347" s="17">
        <v>19900101</v>
      </c>
      <c r="D1347" s="17">
        <v>22991231</v>
      </c>
      <c r="E1347" s="25">
        <v>116.84</v>
      </c>
    </row>
    <row r="1348" spans="1:5" ht="26" x14ac:dyDescent="0.3">
      <c r="A1348" s="17" t="str">
        <f>"26605"</f>
        <v>26605</v>
      </c>
      <c r="B1348" s="5" t="s">
        <v>1505</v>
      </c>
      <c r="C1348" s="17">
        <v>19900101</v>
      </c>
      <c r="D1348" s="17">
        <v>22991231</v>
      </c>
      <c r="E1348" s="25">
        <v>116.84</v>
      </c>
    </row>
    <row r="1349" spans="1:5" ht="39" x14ac:dyDescent="0.3">
      <c r="A1349" s="17" t="str">
        <f>"26607"</f>
        <v>26607</v>
      </c>
      <c r="B1349" s="5" t="s">
        <v>1506</v>
      </c>
      <c r="C1349" s="17">
        <v>19900101</v>
      </c>
      <c r="D1349" s="17">
        <v>22991231</v>
      </c>
      <c r="E1349" s="25">
        <v>1450.8</v>
      </c>
    </row>
    <row r="1350" spans="1:5" ht="26" x14ac:dyDescent="0.3">
      <c r="A1350" s="17" t="str">
        <f>"26608"</f>
        <v>26608</v>
      </c>
      <c r="B1350" s="5" t="s">
        <v>1507</v>
      </c>
      <c r="C1350" s="17">
        <v>20030801</v>
      </c>
      <c r="D1350" s="17">
        <v>22991231</v>
      </c>
      <c r="E1350" s="25">
        <v>1450.8</v>
      </c>
    </row>
    <row r="1351" spans="1:5" x14ac:dyDescent="0.3">
      <c r="A1351" s="17" t="str">
        <f>"26615"</f>
        <v>26615</v>
      </c>
      <c r="B1351" s="5" t="s">
        <v>1508</v>
      </c>
      <c r="C1351" s="17">
        <v>19900101</v>
      </c>
      <c r="D1351" s="17">
        <v>22991231</v>
      </c>
      <c r="E1351" s="25">
        <v>1450.8</v>
      </c>
    </row>
    <row r="1352" spans="1:5" ht="26" x14ac:dyDescent="0.3">
      <c r="A1352" s="17" t="str">
        <f>"26641"</f>
        <v>26641</v>
      </c>
      <c r="B1352" s="5" t="s">
        <v>1509</v>
      </c>
      <c r="C1352" s="17">
        <v>19900101</v>
      </c>
      <c r="D1352" s="17">
        <v>22991231</v>
      </c>
      <c r="E1352" s="25">
        <v>116.84</v>
      </c>
    </row>
    <row r="1353" spans="1:5" ht="26" x14ac:dyDescent="0.3">
      <c r="A1353" s="17" t="str">
        <f>"26645"</f>
        <v>26645</v>
      </c>
      <c r="B1353" s="5" t="s">
        <v>1510</v>
      </c>
      <c r="C1353" s="17">
        <v>19900101</v>
      </c>
      <c r="D1353" s="17">
        <v>22991231</v>
      </c>
      <c r="E1353" s="25">
        <v>782.3</v>
      </c>
    </row>
    <row r="1354" spans="1:5" ht="26" x14ac:dyDescent="0.3">
      <c r="A1354" s="17" t="str">
        <f>"26650"</f>
        <v>26650</v>
      </c>
      <c r="B1354" s="5" t="s">
        <v>1511</v>
      </c>
      <c r="C1354" s="17">
        <v>19900101</v>
      </c>
      <c r="D1354" s="17">
        <v>22991231</v>
      </c>
      <c r="E1354" s="25">
        <v>1450.8</v>
      </c>
    </row>
    <row r="1355" spans="1:5" x14ac:dyDescent="0.3">
      <c r="A1355" s="17" t="str">
        <f>"26665"</f>
        <v>26665</v>
      </c>
      <c r="B1355" s="5" t="s">
        <v>1512</v>
      </c>
      <c r="C1355" s="17">
        <v>19900101</v>
      </c>
      <c r="D1355" s="17">
        <v>22991231</v>
      </c>
      <c r="E1355" s="25">
        <v>1450.8</v>
      </c>
    </row>
    <row r="1356" spans="1:5" ht="26" x14ac:dyDescent="0.3">
      <c r="A1356" s="17" t="str">
        <f>"26670"</f>
        <v>26670</v>
      </c>
      <c r="B1356" s="5" t="s">
        <v>1513</v>
      </c>
      <c r="C1356" s="17">
        <v>19900101</v>
      </c>
      <c r="D1356" s="17">
        <v>22991231</v>
      </c>
      <c r="E1356" s="25">
        <v>116.84</v>
      </c>
    </row>
    <row r="1357" spans="1:5" ht="26" x14ac:dyDescent="0.3">
      <c r="A1357" s="17" t="str">
        <f>"26675"</f>
        <v>26675</v>
      </c>
      <c r="B1357" s="5" t="s">
        <v>1514</v>
      </c>
      <c r="C1357" s="17">
        <v>19900101</v>
      </c>
      <c r="D1357" s="17">
        <v>22991231</v>
      </c>
      <c r="E1357" s="25">
        <v>782.3</v>
      </c>
    </row>
    <row r="1358" spans="1:5" ht="26" x14ac:dyDescent="0.3">
      <c r="A1358" s="17" t="str">
        <f>"26676"</f>
        <v>26676</v>
      </c>
      <c r="B1358" s="5" t="s">
        <v>1515</v>
      </c>
      <c r="C1358" s="17">
        <v>19900101</v>
      </c>
      <c r="D1358" s="17">
        <v>22991231</v>
      </c>
      <c r="E1358" s="25">
        <v>1450.8</v>
      </c>
    </row>
    <row r="1359" spans="1:5" x14ac:dyDescent="0.3">
      <c r="A1359" s="17" t="str">
        <f>"26685"</f>
        <v>26685</v>
      </c>
      <c r="B1359" s="5" t="s">
        <v>1516</v>
      </c>
      <c r="C1359" s="17">
        <v>19900101</v>
      </c>
      <c r="D1359" s="17">
        <v>22991231</v>
      </c>
      <c r="E1359" s="25">
        <v>1450.8</v>
      </c>
    </row>
    <row r="1360" spans="1:5" ht="26" x14ac:dyDescent="0.3">
      <c r="A1360" s="17" t="str">
        <f>"26686"</f>
        <v>26686</v>
      </c>
      <c r="B1360" s="5" t="s">
        <v>1517</v>
      </c>
      <c r="C1360" s="17">
        <v>19900101</v>
      </c>
      <c r="D1360" s="17">
        <v>22991231</v>
      </c>
      <c r="E1360" s="25">
        <v>1450.8</v>
      </c>
    </row>
    <row r="1361" spans="1:5" ht="26" x14ac:dyDescent="0.3">
      <c r="A1361" s="17" t="str">
        <f>"26700"</f>
        <v>26700</v>
      </c>
      <c r="B1361" s="5" t="s">
        <v>1518</v>
      </c>
      <c r="C1361" s="17">
        <v>19900101</v>
      </c>
      <c r="D1361" s="17">
        <v>22991231</v>
      </c>
      <c r="E1361" s="25">
        <v>116.84</v>
      </c>
    </row>
    <row r="1362" spans="1:5" ht="26" x14ac:dyDescent="0.3">
      <c r="A1362" s="17" t="str">
        <f>"26705"</f>
        <v>26705</v>
      </c>
      <c r="B1362" s="5" t="s">
        <v>1519</v>
      </c>
      <c r="C1362" s="17">
        <v>19900101</v>
      </c>
      <c r="D1362" s="17">
        <v>22991231</v>
      </c>
      <c r="E1362" s="25">
        <v>782.3</v>
      </c>
    </row>
    <row r="1363" spans="1:5" ht="26" x14ac:dyDescent="0.3">
      <c r="A1363" s="17" t="str">
        <f>"26706"</f>
        <v>26706</v>
      </c>
      <c r="B1363" s="5" t="s">
        <v>1520</v>
      </c>
      <c r="C1363" s="17">
        <v>19900101</v>
      </c>
      <c r="D1363" s="17">
        <v>22991231</v>
      </c>
      <c r="E1363" s="25">
        <v>1450.8</v>
      </c>
    </row>
    <row r="1364" spans="1:5" ht="26" x14ac:dyDescent="0.3">
      <c r="A1364" s="17" t="str">
        <f>"26715"</f>
        <v>26715</v>
      </c>
      <c r="B1364" s="5" t="s">
        <v>1521</v>
      </c>
      <c r="C1364" s="17">
        <v>19900101</v>
      </c>
      <c r="D1364" s="17">
        <v>22991231</v>
      </c>
      <c r="E1364" s="25">
        <v>1450.8</v>
      </c>
    </row>
    <row r="1365" spans="1:5" ht="26" x14ac:dyDescent="0.3">
      <c r="A1365" s="17" t="str">
        <f>"26720"</f>
        <v>26720</v>
      </c>
      <c r="B1365" s="5" t="s">
        <v>1522</v>
      </c>
      <c r="C1365" s="17">
        <v>19900101</v>
      </c>
      <c r="D1365" s="17">
        <v>22991231</v>
      </c>
      <c r="E1365" s="25">
        <v>116.84</v>
      </c>
    </row>
    <row r="1366" spans="1:5" ht="26" x14ac:dyDescent="0.3">
      <c r="A1366" s="17" t="str">
        <f>"26725"</f>
        <v>26725</v>
      </c>
      <c r="B1366" s="5" t="s">
        <v>1523</v>
      </c>
      <c r="C1366" s="17">
        <v>19900101</v>
      </c>
      <c r="D1366" s="17">
        <v>22991231</v>
      </c>
      <c r="E1366" s="25">
        <v>116.84</v>
      </c>
    </row>
    <row r="1367" spans="1:5" ht="39" x14ac:dyDescent="0.3">
      <c r="A1367" s="17" t="str">
        <f>"26727"</f>
        <v>26727</v>
      </c>
      <c r="B1367" s="5" t="s">
        <v>1524</v>
      </c>
      <c r="C1367" s="17">
        <v>19900101</v>
      </c>
      <c r="D1367" s="17">
        <v>22991231</v>
      </c>
      <c r="E1367" s="25">
        <v>1450.8</v>
      </c>
    </row>
    <row r="1368" spans="1:5" ht="26" x14ac:dyDescent="0.3">
      <c r="A1368" s="17" t="str">
        <f>"26735"</f>
        <v>26735</v>
      </c>
      <c r="B1368" s="5" t="s">
        <v>1525</v>
      </c>
      <c r="C1368" s="17">
        <v>19900101</v>
      </c>
      <c r="D1368" s="17">
        <v>22991231</v>
      </c>
      <c r="E1368" s="25">
        <v>1450.8</v>
      </c>
    </row>
    <row r="1369" spans="1:5" ht="26" x14ac:dyDescent="0.3">
      <c r="A1369" s="17" t="str">
        <f>"26740"</f>
        <v>26740</v>
      </c>
      <c r="B1369" s="5" t="s">
        <v>1526</v>
      </c>
      <c r="C1369" s="17">
        <v>19900101</v>
      </c>
      <c r="D1369" s="17">
        <v>22991231</v>
      </c>
      <c r="E1369" s="25">
        <v>116.84</v>
      </c>
    </row>
    <row r="1370" spans="1:5" ht="26" x14ac:dyDescent="0.3">
      <c r="A1370" s="17" t="str">
        <f>"26742"</f>
        <v>26742</v>
      </c>
      <c r="B1370" s="5" t="s">
        <v>1527</v>
      </c>
      <c r="C1370" s="17">
        <v>19900101</v>
      </c>
      <c r="D1370" s="17">
        <v>22991231</v>
      </c>
      <c r="E1370" s="25">
        <v>782.3</v>
      </c>
    </row>
    <row r="1371" spans="1:5" ht="26" x14ac:dyDescent="0.3">
      <c r="A1371" s="17" t="str">
        <f>"26746"</f>
        <v>26746</v>
      </c>
      <c r="B1371" s="5" t="s">
        <v>1528</v>
      </c>
      <c r="C1371" s="17">
        <v>19900101</v>
      </c>
      <c r="D1371" s="17">
        <v>22991231</v>
      </c>
      <c r="E1371" s="25">
        <v>1450.8</v>
      </c>
    </row>
    <row r="1372" spans="1:5" ht="26" x14ac:dyDescent="0.3">
      <c r="A1372" s="17" t="str">
        <f>"26750"</f>
        <v>26750</v>
      </c>
      <c r="B1372" s="5" t="s">
        <v>1529</v>
      </c>
      <c r="C1372" s="17">
        <v>19900101</v>
      </c>
      <c r="D1372" s="17">
        <v>22991231</v>
      </c>
      <c r="E1372" s="25">
        <v>116.84</v>
      </c>
    </row>
    <row r="1373" spans="1:5" ht="26" x14ac:dyDescent="0.3">
      <c r="A1373" s="17" t="str">
        <f>"26755"</f>
        <v>26755</v>
      </c>
      <c r="B1373" s="5" t="s">
        <v>1530</v>
      </c>
      <c r="C1373" s="17">
        <v>19900101</v>
      </c>
      <c r="D1373" s="17">
        <v>22991231</v>
      </c>
      <c r="E1373" s="25">
        <v>116.84</v>
      </c>
    </row>
    <row r="1374" spans="1:5" ht="26" x14ac:dyDescent="0.3">
      <c r="A1374" s="17" t="str">
        <f>"26756"</f>
        <v>26756</v>
      </c>
      <c r="B1374" s="5" t="s">
        <v>1531</v>
      </c>
      <c r="C1374" s="17">
        <v>19900101</v>
      </c>
      <c r="D1374" s="17">
        <v>22991231</v>
      </c>
      <c r="E1374" s="25">
        <v>1450.8</v>
      </c>
    </row>
    <row r="1375" spans="1:5" x14ac:dyDescent="0.3">
      <c r="A1375" s="17" t="str">
        <f>"26765"</f>
        <v>26765</v>
      </c>
      <c r="B1375" s="5" t="s">
        <v>1532</v>
      </c>
      <c r="C1375" s="17">
        <v>19900101</v>
      </c>
      <c r="D1375" s="17">
        <v>22991231</v>
      </c>
      <c r="E1375" s="25">
        <v>1450.8</v>
      </c>
    </row>
    <row r="1376" spans="1:5" ht="26" x14ac:dyDescent="0.3">
      <c r="A1376" s="17" t="str">
        <f>"26770"</f>
        <v>26770</v>
      </c>
      <c r="B1376" s="5" t="s">
        <v>1533</v>
      </c>
      <c r="C1376" s="17">
        <v>19900101</v>
      </c>
      <c r="D1376" s="17">
        <v>22991231</v>
      </c>
      <c r="E1376" s="25">
        <v>116.84</v>
      </c>
    </row>
    <row r="1377" spans="1:5" ht="26" x14ac:dyDescent="0.3">
      <c r="A1377" s="17" t="str">
        <f>"26775"</f>
        <v>26775</v>
      </c>
      <c r="B1377" s="5" t="s">
        <v>1534</v>
      </c>
      <c r="C1377" s="17">
        <v>19900101</v>
      </c>
      <c r="D1377" s="17">
        <v>22991231</v>
      </c>
      <c r="E1377" s="25">
        <v>133.06</v>
      </c>
    </row>
    <row r="1378" spans="1:5" ht="26" x14ac:dyDescent="0.3">
      <c r="A1378" s="17" t="str">
        <f>"26776"</f>
        <v>26776</v>
      </c>
      <c r="B1378" s="5" t="s">
        <v>1535</v>
      </c>
      <c r="C1378" s="17">
        <v>19900101</v>
      </c>
      <c r="D1378" s="17">
        <v>22991231</v>
      </c>
      <c r="E1378" s="25">
        <v>1450.8</v>
      </c>
    </row>
    <row r="1379" spans="1:5" x14ac:dyDescent="0.3">
      <c r="A1379" s="17" t="str">
        <f>"26785"</f>
        <v>26785</v>
      </c>
      <c r="B1379" s="5" t="s">
        <v>1536</v>
      </c>
      <c r="C1379" s="17">
        <v>19900101</v>
      </c>
      <c r="D1379" s="17">
        <v>22991231</v>
      </c>
      <c r="E1379" s="25">
        <v>1450.8</v>
      </c>
    </row>
    <row r="1380" spans="1:5" x14ac:dyDescent="0.3">
      <c r="A1380" s="17" t="str">
        <f>"26820"</f>
        <v>26820</v>
      </c>
      <c r="B1380" s="5" t="s">
        <v>1537</v>
      </c>
      <c r="C1380" s="17">
        <v>19900101</v>
      </c>
      <c r="D1380" s="17">
        <v>22991231</v>
      </c>
      <c r="E1380" s="25">
        <v>3240.75</v>
      </c>
    </row>
    <row r="1381" spans="1:5" x14ac:dyDescent="0.3">
      <c r="A1381" s="17" t="str">
        <f>"26841"</f>
        <v>26841</v>
      </c>
      <c r="B1381" s="5" t="s">
        <v>1538</v>
      </c>
      <c r="C1381" s="17">
        <v>19900101</v>
      </c>
      <c r="D1381" s="17">
        <v>22991231</v>
      </c>
      <c r="E1381" s="25">
        <v>3240.75</v>
      </c>
    </row>
    <row r="1382" spans="1:5" x14ac:dyDescent="0.3">
      <c r="A1382" s="17" t="str">
        <f>"26842"</f>
        <v>26842</v>
      </c>
      <c r="B1382" s="5" t="s">
        <v>1539</v>
      </c>
      <c r="C1382" s="17">
        <v>19900101</v>
      </c>
      <c r="D1382" s="17">
        <v>22991231</v>
      </c>
      <c r="E1382" s="25">
        <v>3240.75</v>
      </c>
    </row>
    <row r="1383" spans="1:5" x14ac:dyDescent="0.3">
      <c r="A1383" s="17" t="str">
        <f>"26843"</f>
        <v>26843</v>
      </c>
      <c r="B1383" s="5" t="s">
        <v>1540</v>
      </c>
      <c r="C1383" s="17">
        <v>19900101</v>
      </c>
      <c r="D1383" s="17">
        <v>22991231</v>
      </c>
      <c r="E1383" s="25">
        <v>3240.75</v>
      </c>
    </row>
    <row r="1384" spans="1:5" x14ac:dyDescent="0.3">
      <c r="A1384" s="17" t="str">
        <f>"26844"</f>
        <v>26844</v>
      </c>
      <c r="B1384" s="5" t="s">
        <v>1541</v>
      </c>
      <c r="C1384" s="17">
        <v>19900101</v>
      </c>
      <c r="D1384" s="17">
        <v>22991231</v>
      </c>
      <c r="E1384" s="25">
        <v>4440.6899999999996</v>
      </c>
    </row>
    <row r="1385" spans="1:5" x14ac:dyDescent="0.3">
      <c r="A1385" s="17" t="str">
        <f>"26850"</f>
        <v>26850</v>
      </c>
      <c r="B1385" s="5" t="s">
        <v>1542</v>
      </c>
      <c r="C1385" s="17">
        <v>19900101</v>
      </c>
      <c r="D1385" s="17">
        <v>22991231</v>
      </c>
      <c r="E1385" s="25">
        <v>3240.75</v>
      </c>
    </row>
    <row r="1386" spans="1:5" x14ac:dyDescent="0.3">
      <c r="A1386" s="17" t="str">
        <f>"26852"</f>
        <v>26852</v>
      </c>
      <c r="B1386" s="5" t="s">
        <v>1543</v>
      </c>
      <c r="C1386" s="17">
        <v>19900101</v>
      </c>
      <c r="D1386" s="17">
        <v>22991231</v>
      </c>
      <c r="E1386" s="25">
        <v>3240.75</v>
      </c>
    </row>
    <row r="1387" spans="1:5" x14ac:dyDescent="0.3">
      <c r="A1387" s="17" t="str">
        <f>"26860"</f>
        <v>26860</v>
      </c>
      <c r="B1387" s="5" t="s">
        <v>1544</v>
      </c>
      <c r="C1387" s="17">
        <v>19900101</v>
      </c>
      <c r="D1387" s="17">
        <v>22991231</v>
      </c>
      <c r="E1387" s="25">
        <v>1450.8</v>
      </c>
    </row>
    <row r="1388" spans="1:5" x14ac:dyDescent="0.3">
      <c r="A1388" s="17" t="str">
        <f>"26861"</f>
        <v>26861</v>
      </c>
      <c r="B1388" s="5" t="s">
        <v>1545</v>
      </c>
      <c r="C1388" s="17">
        <v>19900101</v>
      </c>
      <c r="D1388" s="17">
        <v>22991231</v>
      </c>
      <c r="E1388" s="25">
        <v>0</v>
      </c>
    </row>
    <row r="1389" spans="1:5" ht="26" x14ac:dyDescent="0.3">
      <c r="A1389" s="17" t="str">
        <f>"26862"</f>
        <v>26862</v>
      </c>
      <c r="B1389" s="5" t="s">
        <v>1546</v>
      </c>
      <c r="C1389" s="17">
        <v>19900101</v>
      </c>
      <c r="D1389" s="17">
        <v>22991231</v>
      </c>
      <c r="E1389" s="25">
        <v>1450.8</v>
      </c>
    </row>
    <row r="1390" spans="1:5" ht="26" x14ac:dyDescent="0.3">
      <c r="A1390" s="17" t="str">
        <f>"26863"</f>
        <v>26863</v>
      </c>
      <c r="B1390" s="5" t="s">
        <v>1547</v>
      </c>
      <c r="C1390" s="17">
        <v>19900101</v>
      </c>
      <c r="D1390" s="17">
        <v>22991231</v>
      </c>
      <c r="E1390" s="25">
        <v>0</v>
      </c>
    </row>
    <row r="1391" spans="1:5" x14ac:dyDescent="0.3">
      <c r="A1391" s="17" t="str">
        <f>"26910"</f>
        <v>26910</v>
      </c>
      <c r="B1391" s="5" t="s">
        <v>1548</v>
      </c>
      <c r="C1391" s="17">
        <v>19900101</v>
      </c>
      <c r="D1391" s="17">
        <v>22991231</v>
      </c>
      <c r="E1391" s="25">
        <v>1450.8</v>
      </c>
    </row>
    <row r="1392" spans="1:5" ht="26" x14ac:dyDescent="0.3">
      <c r="A1392" s="17" t="str">
        <f>"26951"</f>
        <v>26951</v>
      </c>
      <c r="B1392" s="5" t="s">
        <v>1549</v>
      </c>
      <c r="C1392" s="17">
        <v>19900101</v>
      </c>
      <c r="D1392" s="17">
        <v>22991231</v>
      </c>
      <c r="E1392" s="25">
        <v>1450.8</v>
      </c>
    </row>
    <row r="1393" spans="1:5" x14ac:dyDescent="0.3">
      <c r="A1393" s="17" t="str">
        <f>"26952"</f>
        <v>26952</v>
      </c>
      <c r="B1393" s="5" t="s">
        <v>1550</v>
      </c>
      <c r="C1393" s="17">
        <v>19900101</v>
      </c>
      <c r="D1393" s="17">
        <v>22991231</v>
      </c>
      <c r="E1393" s="25">
        <v>1450.8</v>
      </c>
    </row>
    <row r="1394" spans="1:5" x14ac:dyDescent="0.3">
      <c r="A1394" s="17" t="str">
        <f>"26989"</f>
        <v>26989</v>
      </c>
      <c r="B1394" s="5" t="s">
        <v>1551</v>
      </c>
      <c r="C1394" s="17">
        <v>19900101</v>
      </c>
      <c r="D1394" s="17">
        <v>22991231</v>
      </c>
      <c r="E1394" s="24" t="s">
        <v>7128</v>
      </c>
    </row>
    <row r="1395" spans="1:5" ht="26" x14ac:dyDescent="0.3">
      <c r="A1395" s="17" t="str">
        <f>"26990"</f>
        <v>26990</v>
      </c>
      <c r="B1395" s="5" t="s">
        <v>1552</v>
      </c>
      <c r="C1395" s="17">
        <v>19900101</v>
      </c>
      <c r="D1395" s="17">
        <v>22991231</v>
      </c>
      <c r="E1395" s="25">
        <v>1450.8</v>
      </c>
    </row>
    <row r="1396" spans="1:5" ht="26" x14ac:dyDescent="0.3">
      <c r="A1396" s="17" t="str">
        <f>"26991"</f>
        <v>26991</v>
      </c>
      <c r="B1396" s="5" t="s">
        <v>1553</v>
      </c>
      <c r="C1396" s="17">
        <v>19900101</v>
      </c>
      <c r="D1396" s="17">
        <v>22991231</v>
      </c>
      <c r="E1396" s="25">
        <v>782.3</v>
      </c>
    </row>
    <row r="1397" spans="1:5" x14ac:dyDescent="0.3">
      <c r="A1397" s="17" t="str">
        <f>"27000"</f>
        <v>27000</v>
      </c>
      <c r="B1397" s="5" t="s">
        <v>1554</v>
      </c>
      <c r="C1397" s="17">
        <v>19900101</v>
      </c>
      <c r="D1397" s="17">
        <v>22991231</v>
      </c>
      <c r="E1397" s="25">
        <v>782.3</v>
      </c>
    </row>
    <row r="1398" spans="1:5" x14ac:dyDescent="0.3">
      <c r="A1398" s="17" t="str">
        <f>"27001"</f>
        <v>27001</v>
      </c>
      <c r="B1398" s="5" t="s">
        <v>1555</v>
      </c>
      <c r="C1398" s="17">
        <v>19900101</v>
      </c>
      <c r="D1398" s="17">
        <v>22991231</v>
      </c>
      <c r="E1398" s="25">
        <v>1450.8</v>
      </c>
    </row>
    <row r="1399" spans="1:5" x14ac:dyDescent="0.3">
      <c r="A1399" s="17" t="str">
        <f>"27003"</f>
        <v>27003</v>
      </c>
      <c r="B1399" s="5" t="s">
        <v>1556</v>
      </c>
      <c r="C1399" s="17">
        <v>19900101</v>
      </c>
      <c r="D1399" s="17">
        <v>22991231</v>
      </c>
      <c r="E1399" s="25">
        <v>3240.75</v>
      </c>
    </row>
    <row r="1400" spans="1:5" ht="26" x14ac:dyDescent="0.3">
      <c r="A1400" s="17" t="str">
        <f>"27006"</f>
        <v>27006</v>
      </c>
      <c r="B1400" s="5" t="s">
        <v>1557</v>
      </c>
      <c r="C1400" s="17">
        <v>19900101</v>
      </c>
      <c r="D1400" s="17">
        <v>22991231</v>
      </c>
      <c r="E1400" s="25">
        <v>1450.8</v>
      </c>
    </row>
    <row r="1401" spans="1:5" ht="26" x14ac:dyDescent="0.3">
      <c r="A1401" s="17" t="str">
        <f>"27033"</f>
        <v>27033</v>
      </c>
      <c r="B1401" s="5" t="s">
        <v>1558</v>
      </c>
      <c r="C1401" s="17">
        <v>19900101</v>
      </c>
      <c r="D1401" s="17">
        <v>22991231</v>
      </c>
      <c r="E1401" s="25">
        <v>3240.75</v>
      </c>
    </row>
    <row r="1402" spans="1:5" x14ac:dyDescent="0.3">
      <c r="A1402" s="17" t="str">
        <f>"27035"</f>
        <v>27035</v>
      </c>
      <c r="B1402" s="5" t="s">
        <v>1559</v>
      </c>
      <c r="C1402" s="17">
        <v>19900101</v>
      </c>
      <c r="D1402" s="17">
        <v>22991231</v>
      </c>
      <c r="E1402" s="25">
        <v>1450.8</v>
      </c>
    </row>
    <row r="1403" spans="1:5" x14ac:dyDescent="0.3">
      <c r="A1403" s="17" t="str">
        <f>"27040"</f>
        <v>27040</v>
      </c>
      <c r="B1403" s="5" t="s">
        <v>1560</v>
      </c>
      <c r="C1403" s="17">
        <v>19900101</v>
      </c>
      <c r="D1403" s="17">
        <v>22991231</v>
      </c>
      <c r="E1403" s="25">
        <v>652.27</v>
      </c>
    </row>
    <row r="1404" spans="1:5" x14ac:dyDescent="0.3">
      <c r="A1404" s="17" t="str">
        <f>"27041"</f>
        <v>27041</v>
      </c>
      <c r="B1404" s="5" t="s">
        <v>1561</v>
      </c>
      <c r="C1404" s="17">
        <v>19900101</v>
      </c>
      <c r="D1404" s="17">
        <v>22991231</v>
      </c>
      <c r="E1404" s="25">
        <v>652.27</v>
      </c>
    </row>
    <row r="1405" spans="1:5" ht="26" x14ac:dyDescent="0.3">
      <c r="A1405" s="17" t="str">
        <f>"27043"</f>
        <v>27043</v>
      </c>
      <c r="B1405" s="5" t="s">
        <v>1562</v>
      </c>
      <c r="C1405" s="17">
        <v>20100101</v>
      </c>
      <c r="D1405" s="17">
        <v>22991231</v>
      </c>
      <c r="E1405" s="25">
        <v>1105.24</v>
      </c>
    </row>
    <row r="1406" spans="1:5" ht="26" x14ac:dyDescent="0.3">
      <c r="A1406" s="17" t="str">
        <f>"27045"</f>
        <v>27045</v>
      </c>
      <c r="B1406" s="5" t="s">
        <v>1563</v>
      </c>
      <c r="C1406" s="17">
        <v>20100101</v>
      </c>
      <c r="D1406" s="17">
        <v>22991231</v>
      </c>
      <c r="E1406" s="25">
        <v>1105.24</v>
      </c>
    </row>
    <row r="1407" spans="1:5" ht="26" x14ac:dyDescent="0.3">
      <c r="A1407" s="17" t="str">
        <f>"27047"</f>
        <v>27047</v>
      </c>
      <c r="B1407" s="5" t="s">
        <v>1564</v>
      </c>
      <c r="C1407" s="17">
        <v>19900101</v>
      </c>
      <c r="D1407" s="17">
        <v>22991231</v>
      </c>
      <c r="E1407" s="25">
        <v>1105.24</v>
      </c>
    </row>
    <row r="1408" spans="1:5" ht="26" x14ac:dyDescent="0.3">
      <c r="A1408" s="17" t="str">
        <f>"27048"</f>
        <v>27048</v>
      </c>
      <c r="B1408" s="5" t="s">
        <v>1565</v>
      </c>
      <c r="C1408" s="17">
        <v>19900101</v>
      </c>
      <c r="D1408" s="17">
        <v>22991231</v>
      </c>
      <c r="E1408" s="25">
        <v>1105.24</v>
      </c>
    </row>
    <row r="1409" spans="1:5" ht="26" x14ac:dyDescent="0.3">
      <c r="A1409" s="17" t="str">
        <f>"27049"</f>
        <v>27049</v>
      </c>
      <c r="B1409" s="5" t="s">
        <v>1566</v>
      </c>
      <c r="C1409" s="17">
        <v>19970801</v>
      </c>
      <c r="D1409" s="17">
        <v>22991231</v>
      </c>
      <c r="E1409" s="25">
        <v>1105.24</v>
      </c>
    </row>
    <row r="1410" spans="1:5" x14ac:dyDescent="0.3">
      <c r="A1410" s="17" t="str">
        <f>"27050"</f>
        <v>27050</v>
      </c>
      <c r="B1410" s="5" t="s">
        <v>1567</v>
      </c>
      <c r="C1410" s="17">
        <v>19900101</v>
      </c>
      <c r="D1410" s="17">
        <v>22991231</v>
      </c>
      <c r="E1410" s="25">
        <v>782.3</v>
      </c>
    </row>
    <row r="1411" spans="1:5" x14ac:dyDescent="0.3">
      <c r="A1411" s="17" t="str">
        <f>"27052"</f>
        <v>27052</v>
      </c>
      <c r="B1411" s="5" t="s">
        <v>1568</v>
      </c>
      <c r="C1411" s="17">
        <v>19900101</v>
      </c>
      <c r="D1411" s="17">
        <v>22991231</v>
      </c>
      <c r="E1411" s="25">
        <v>782.3</v>
      </c>
    </row>
    <row r="1412" spans="1:5" ht="26" x14ac:dyDescent="0.3">
      <c r="A1412" s="17" t="str">
        <f>"27059"</f>
        <v>27059</v>
      </c>
      <c r="B1412" s="5" t="s">
        <v>1569</v>
      </c>
      <c r="C1412" s="17">
        <v>20100101</v>
      </c>
      <c r="D1412" s="17">
        <v>22991231</v>
      </c>
      <c r="E1412" s="25">
        <v>1105.24</v>
      </c>
    </row>
    <row r="1413" spans="1:5" x14ac:dyDescent="0.3">
      <c r="A1413" s="17" t="str">
        <f>"27060"</f>
        <v>27060</v>
      </c>
      <c r="B1413" s="5" t="s">
        <v>1570</v>
      </c>
      <c r="C1413" s="17">
        <v>19900101</v>
      </c>
      <c r="D1413" s="17">
        <v>22991231</v>
      </c>
      <c r="E1413" s="25">
        <v>3240.75</v>
      </c>
    </row>
    <row r="1414" spans="1:5" ht="26" x14ac:dyDescent="0.3">
      <c r="A1414" s="17" t="str">
        <f>"27062"</f>
        <v>27062</v>
      </c>
      <c r="B1414" s="5" t="s">
        <v>1571</v>
      </c>
      <c r="C1414" s="17">
        <v>19900101</v>
      </c>
      <c r="D1414" s="17">
        <v>22991231</v>
      </c>
      <c r="E1414" s="25">
        <v>1450.8</v>
      </c>
    </row>
    <row r="1415" spans="1:5" ht="26" x14ac:dyDescent="0.3">
      <c r="A1415" s="17" t="str">
        <f>"27065"</f>
        <v>27065</v>
      </c>
      <c r="B1415" s="5" t="s">
        <v>1572</v>
      </c>
      <c r="C1415" s="17">
        <v>19900101</v>
      </c>
      <c r="D1415" s="17">
        <v>22991231</v>
      </c>
      <c r="E1415" s="25">
        <v>3240.75</v>
      </c>
    </row>
    <row r="1416" spans="1:5" ht="26" x14ac:dyDescent="0.3">
      <c r="A1416" s="17" t="str">
        <f>"27066"</f>
        <v>27066</v>
      </c>
      <c r="B1416" s="5" t="s">
        <v>1573</v>
      </c>
      <c r="C1416" s="17">
        <v>19900101</v>
      </c>
      <c r="D1416" s="17">
        <v>22991231</v>
      </c>
      <c r="E1416" s="25">
        <v>1450.8</v>
      </c>
    </row>
    <row r="1417" spans="1:5" ht="39" x14ac:dyDescent="0.3">
      <c r="A1417" s="17" t="str">
        <f>"27067"</f>
        <v>27067</v>
      </c>
      <c r="B1417" s="5" t="s">
        <v>1574</v>
      </c>
      <c r="C1417" s="17">
        <v>19900101</v>
      </c>
      <c r="D1417" s="17">
        <v>22991231</v>
      </c>
      <c r="E1417" s="25">
        <v>3240.75</v>
      </c>
    </row>
    <row r="1418" spans="1:5" x14ac:dyDescent="0.3">
      <c r="A1418" s="17" t="str">
        <f>"27080"</f>
        <v>27080</v>
      </c>
      <c r="B1418" s="5" t="s">
        <v>1575</v>
      </c>
      <c r="C1418" s="17">
        <v>19900101</v>
      </c>
      <c r="D1418" s="17">
        <v>22991231</v>
      </c>
      <c r="E1418" s="25">
        <v>1450.8</v>
      </c>
    </row>
    <row r="1419" spans="1:5" ht="26" x14ac:dyDescent="0.3">
      <c r="A1419" s="17" t="str">
        <f>"27086"</f>
        <v>27086</v>
      </c>
      <c r="B1419" s="5" t="s">
        <v>1576</v>
      </c>
      <c r="C1419" s="17">
        <v>19900101</v>
      </c>
      <c r="D1419" s="17">
        <v>22991231</v>
      </c>
      <c r="E1419" s="25">
        <v>1105.24</v>
      </c>
    </row>
    <row r="1420" spans="1:5" ht="26" x14ac:dyDescent="0.3">
      <c r="A1420" s="17" t="str">
        <f>"27087"</f>
        <v>27087</v>
      </c>
      <c r="B1420" s="5" t="s">
        <v>1577</v>
      </c>
      <c r="C1420" s="17">
        <v>19900101</v>
      </c>
      <c r="D1420" s="17">
        <v>22991231</v>
      </c>
      <c r="E1420" s="25">
        <v>1450.8</v>
      </c>
    </row>
    <row r="1421" spans="1:5" x14ac:dyDescent="0.3">
      <c r="A1421" s="17" t="str">
        <f>"27093"</f>
        <v>27093</v>
      </c>
      <c r="B1421" s="5" t="s">
        <v>1578</v>
      </c>
      <c r="C1421" s="17">
        <v>19900101</v>
      </c>
      <c r="D1421" s="17">
        <v>22991231</v>
      </c>
      <c r="E1421" s="25">
        <v>0</v>
      </c>
    </row>
    <row r="1422" spans="1:5" ht="26" x14ac:dyDescent="0.3">
      <c r="A1422" s="17" t="str">
        <f>"27095"</f>
        <v>27095</v>
      </c>
      <c r="B1422" s="5" t="s">
        <v>1579</v>
      </c>
      <c r="C1422" s="17">
        <v>19900101</v>
      </c>
      <c r="D1422" s="17">
        <v>22991231</v>
      </c>
      <c r="E1422" s="25">
        <v>0</v>
      </c>
    </row>
    <row r="1423" spans="1:5" ht="39" x14ac:dyDescent="0.3">
      <c r="A1423" s="17" t="str">
        <f>"27096"</f>
        <v>27096</v>
      </c>
      <c r="B1423" s="5" t="s">
        <v>1580</v>
      </c>
      <c r="C1423" s="17">
        <v>20000101</v>
      </c>
      <c r="D1423" s="17">
        <v>22991231</v>
      </c>
      <c r="E1423" s="24" t="s">
        <v>7128</v>
      </c>
    </row>
    <row r="1424" spans="1:5" x14ac:dyDescent="0.3">
      <c r="A1424" s="17" t="str">
        <f>"27097"</f>
        <v>27097</v>
      </c>
      <c r="B1424" s="5" t="s">
        <v>1581</v>
      </c>
      <c r="C1424" s="17">
        <v>19900101</v>
      </c>
      <c r="D1424" s="17">
        <v>22991231</v>
      </c>
      <c r="E1424" s="25">
        <v>1450.8</v>
      </c>
    </row>
    <row r="1425" spans="1:5" x14ac:dyDescent="0.3">
      <c r="A1425" s="17" t="str">
        <f>"27098"</f>
        <v>27098</v>
      </c>
      <c r="B1425" s="5" t="s">
        <v>1582</v>
      </c>
      <c r="C1425" s="17">
        <v>19900101</v>
      </c>
      <c r="D1425" s="17">
        <v>22991231</v>
      </c>
      <c r="E1425" s="25">
        <v>1450.8</v>
      </c>
    </row>
    <row r="1426" spans="1:5" ht="26" x14ac:dyDescent="0.3">
      <c r="A1426" s="17" t="str">
        <f>"27100"</f>
        <v>27100</v>
      </c>
      <c r="B1426" s="5" t="s">
        <v>1583</v>
      </c>
      <c r="C1426" s="17">
        <v>19900101</v>
      </c>
      <c r="D1426" s="17">
        <v>22991231</v>
      </c>
      <c r="E1426" s="25">
        <v>3240.75</v>
      </c>
    </row>
    <row r="1427" spans="1:5" x14ac:dyDescent="0.3">
      <c r="A1427" s="17" t="str">
        <f>"27105"</f>
        <v>27105</v>
      </c>
      <c r="B1427" s="5" t="s">
        <v>1584</v>
      </c>
      <c r="C1427" s="17">
        <v>19900101</v>
      </c>
      <c r="D1427" s="17">
        <v>22991231</v>
      </c>
      <c r="E1427" s="25">
        <v>1450.8</v>
      </c>
    </row>
    <row r="1428" spans="1:5" x14ac:dyDescent="0.3">
      <c r="A1428" s="17" t="str">
        <f>"27110"</f>
        <v>27110</v>
      </c>
      <c r="B1428" s="5" t="s">
        <v>1585</v>
      </c>
      <c r="C1428" s="17">
        <v>19900101</v>
      </c>
      <c r="D1428" s="17">
        <v>22991231</v>
      </c>
      <c r="E1428" s="25">
        <v>4325.4399999999996</v>
      </c>
    </row>
    <row r="1429" spans="1:5" x14ac:dyDescent="0.3">
      <c r="A1429" s="17" t="str">
        <f>"27111"</f>
        <v>27111</v>
      </c>
      <c r="B1429" s="5" t="s">
        <v>1586</v>
      </c>
      <c r="C1429" s="17">
        <v>19900101</v>
      </c>
      <c r="D1429" s="17">
        <v>22991231</v>
      </c>
      <c r="E1429" s="25">
        <v>1450.8</v>
      </c>
    </row>
    <row r="1430" spans="1:5" ht="26" x14ac:dyDescent="0.3">
      <c r="A1430" s="17" t="str">
        <f>"27130"</f>
        <v>27130</v>
      </c>
      <c r="B1430" s="5" t="s">
        <v>1587</v>
      </c>
      <c r="C1430" s="17">
        <v>19900101</v>
      </c>
      <c r="D1430" s="17">
        <v>22991231</v>
      </c>
      <c r="E1430" s="25">
        <v>8823.7199999999993</v>
      </c>
    </row>
    <row r="1431" spans="1:5" ht="26" x14ac:dyDescent="0.3">
      <c r="A1431" s="17" t="str">
        <f>"27176"</f>
        <v>27176</v>
      </c>
      <c r="B1431" s="5" t="s">
        <v>1588</v>
      </c>
      <c r="C1431" s="17">
        <v>19900101</v>
      </c>
      <c r="D1431" s="17">
        <v>22991231</v>
      </c>
      <c r="E1431" s="24" t="s">
        <v>7128</v>
      </c>
    </row>
    <row r="1432" spans="1:5" x14ac:dyDescent="0.3">
      <c r="A1432" s="17" t="str">
        <f>"27179"</f>
        <v>27179</v>
      </c>
      <c r="B1432" s="5" t="s">
        <v>1589</v>
      </c>
      <c r="C1432" s="17">
        <v>19900101</v>
      </c>
      <c r="D1432" s="17">
        <v>22991231</v>
      </c>
      <c r="E1432" s="24" t="s">
        <v>7128</v>
      </c>
    </row>
    <row r="1433" spans="1:5" ht="26" x14ac:dyDescent="0.3">
      <c r="A1433" s="17" t="str">
        <f>"27197"</f>
        <v>27197</v>
      </c>
      <c r="B1433" s="5" t="s">
        <v>1590</v>
      </c>
      <c r="C1433" s="17">
        <v>20170101</v>
      </c>
      <c r="D1433" s="17">
        <v>22991231</v>
      </c>
      <c r="E1433" s="25">
        <v>116.84</v>
      </c>
    </row>
    <row r="1434" spans="1:5" ht="26" x14ac:dyDescent="0.3">
      <c r="A1434" s="17" t="str">
        <f>"27198"</f>
        <v>27198</v>
      </c>
      <c r="B1434" s="5" t="s">
        <v>1591</v>
      </c>
      <c r="C1434" s="17">
        <v>20170101</v>
      </c>
      <c r="D1434" s="17">
        <v>22991231</v>
      </c>
      <c r="E1434" s="25">
        <v>116.84</v>
      </c>
    </row>
    <row r="1435" spans="1:5" x14ac:dyDescent="0.3">
      <c r="A1435" s="17" t="str">
        <f>"27200"</f>
        <v>27200</v>
      </c>
      <c r="B1435" s="5" t="s">
        <v>1592</v>
      </c>
      <c r="C1435" s="17">
        <v>19900101</v>
      </c>
      <c r="D1435" s="17">
        <v>22991231</v>
      </c>
      <c r="E1435" s="25">
        <v>112.91</v>
      </c>
    </row>
    <row r="1436" spans="1:5" x14ac:dyDescent="0.3">
      <c r="A1436" s="17" t="str">
        <f>"27202"</f>
        <v>27202</v>
      </c>
      <c r="B1436" s="5" t="s">
        <v>1593</v>
      </c>
      <c r="C1436" s="17">
        <v>19900101</v>
      </c>
      <c r="D1436" s="17">
        <v>22991231</v>
      </c>
      <c r="E1436" s="25">
        <v>1450.8</v>
      </c>
    </row>
    <row r="1437" spans="1:5" x14ac:dyDescent="0.3">
      <c r="A1437" s="17" t="str">
        <f>"27220"</f>
        <v>27220</v>
      </c>
      <c r="B1437" s="5" t="s">
        <v>1594</v>
      </c>
      <c r="C1437" s="17">
        <v>19900101</v>
      </c>
      <c r="D1437" s="17">
        <v>22991231</v>
      </c>
      <c r="E1437" s="25">
        <v>116.84</v>
      </c>
    </row>
    <row r="1438" spans="1:5" x14ac:dyDescent="0.3">
      <c r="A1438" s="17" t="str">
        <f>"27230"</f>
        <v>27230</v>
      </c>
      <c r="B1438" s="5" t="s">
        <v>1595</v>
      </c>
      <c r="C1438" s="17">
        <v>19900101</v>
      </c>
      <c r="D1438" s="17">
        <v>22991231</v>
      </c>
      <c r="E1438" s="25">
        <v>116.84</v>
      </c>
    </row>
    <row r="1439" spans="1:5" ht="26" x14ac:dyDescent="0.3">
      <c r="A1439" s="17" t="str">
        <f>"27235"</f>
        <v>27235</v>
      </c>
      <c r="B1439" s="5" t="s">
        <v>1596</v>
      </c>
      <c r="C1439" s="17">
        <v>19900101</v>
      </c>
      <c r="D1439" s="17">
        <v>22991231</v>
      </c>
      <c r="E1439" s="24" t="s">
        <v>7128</v>
      </c>
    </row>
    <row r="1440" spans="1:5" ht="26" x14ac:dyDescent="0.3">
      <c r="A1440" s="17" t="str">
        <f>"27238"</f>
        <v>27238</v>
      </c>
      <c r="B1440" s="5" t="s">
        <v>1597</v>
      </c>
      <c r="C1440" s="17">
        <v>19900101</v>
      </c>
      <c r="D1440" s="17">
        <v>22991231</v>
      </c>
      <c r="E1440" s="25">
        <v>782.3</v>
      </c>
    </row>
    <row r="1441" spans="1:5" ht="26" x14ac:dyDescent="0.3">
      <c r="A1441" s="17" t="str">
        <f>"27246"</f>
        <v>27246</v>
      </c>
      <c r="B1441" s="5" t="s">
        <v>1598</v>
      </c>
      <c r="C1441" s="17">
        <v>19900101</v>
      </c>
      <c r="D1441" s="17">
        <v>22991231</v>
      </c>
      <c r="E1441" s="25">
        <v>116.84</v>
      </c>
    </row>
    <row r="1442" spans="1:5" x14ac:dyDescent="0.3">
      <c r="A1442" s="17" t="str">
        <f>"27250"</f>
        <v>27250</v>
      </c>
      <c r="B1442" s="5" t="s">
        <v>1599</v>
      </c>
      <c r="C1442" s="17">
        <v>19900101</v>
      </c>
      <c r="D1442" s="17">
        <v>22991231</v>
      </c>
      <c r="E1442" s="25">
        <v>116.84</v>
      </c>
    </row>
    <row r="1443" spans="1:5" ht="26" x14ac:dyDescent="0.3">
      <c r="A1443" s="17" t="str">
        <f>"27252"</f>
        <v>27252</v>
      </c>
      <c r="B1443" s="5" t="s">
        <v>1600</v>
      </c>
      <c r="C1443" s="17">
        <v>19900101</v>
      </c>
      <c r="D1443" s="17">
        <v>22991231</v>
      </c>
      <c r="E1443" s="25">
        <v>782.3</v>
      </c>
    </row>
    <row r="1444" spans="1:5" x14ac:dyDescent="0.3">
      <c r="A1444" s="17" t="str">
        <f>"27256"</f>
        <v>27256</v>
      </c>
      <c r="B1444" s="5" t="s">
        <v>1601</v>
      </c>
      <c r="C1444" s="17">
        <v>19900101</v>
      </c>
      <c r="D1444" s="17">
        <v>22991231</v>
      </c>
      <c r="E1444" s="25">
        <v>116.84</v>
      </c>
    </row>
    <row r="1445" spans="1:5" ht="26" x14ac:dyDescent="0.3">
      <c r="A1445" s="17" t="str">
        <f>"27257"</f>
        <v>27257</v>
      </c>
      <c r="B1445" s="5" t="s">
        <v>1602</v>
      </c>
      <c r="C1445" s="17">
        <v>19900101</v>
      </c>
      <c r="D1445" s="17">
        <v>22991231</v>
      </c>
      <c r="E1445" s="25">
        <v>782.3</v>
      </c>
    </row>
    <row r="1446" spans="1:5" x14ac:dyDescent="0.3">
      <c r="A1446" s="17" t="str">
        <f>"27265"</f>
        <v>27265</v>
      </c>
      <c r="B1446" s="5" t="s">
        <v>1603</v>
      </c>
      <c r="C1446" s="17">
        <v>19900101</v>
      </c>
      <c r="D1446" s="17">
        <v>22991231</v>
      </c>
      <c r="E1446" s="25">
        <v>116.84</v>
      </c>
    </row>
    <row r="1447" spans="1:5" ht="26" x14ac:dyDescent="0.3">
      <c r="A1447" s="17" t="str">
        <f>"27266"</f>
        <v>27266</v>
      </c>
      <c r="B1447" s="5" t="s">
        <v>1604</v>
      </c>
      <c r="C1447" s="17">
        <v>19900101</v>
      </c>
      <c r="D1447" s="17">
        <v>22991231</v>
      </c>
      <c r="E1447" s="25">
        <v>782.3</v>
      </c>
    </row>
    <row r="1448" spans="1:5" x14ac:dyDescent="0.3">
      <c r="A1448" s="17" t="str">
        <f>"27267"</f>
        <v>27267</v>
      </c>
      <c r="B1448" s="5" t="s">
        <v>1605</v>
      </c>
      <c r="C1448" s="17">
        <v>20080101</v>
      </c>
      <c r="D1448" s="17">
        <v>22991231</v>
      </c>
      <c r="E1448" s="25">
        <v>1450.8</v>
      </c>
    </row>
    <row r="1449" spans="1:5" ht="26" x14ac:dyDescent="0.3">
      <c r="A1449" s="17" t="str">
        <f>"27275"</f>
        <v>27275</v>
      </c>
      <c r="B1449" s="5" t="s">
        <v>1606</v>
      </c>
      <c r="C1449" s="17">
        <v>19900101</v>
      </c>
      <c r="D1449" s="17">
        <v>22991231</v>
      </c>
      <c r="E1449" s="25">
        <v>782.3</v>
      </c>
    </row>
    <row r="1450" spans="1:5" ht="26" x14ac:dyDescent="0.3">
      <c r="A1450" s="17" t="str">
        <f>"27278"</f>
        <v>27278</v>
      </c>
      <c r="B1450" s="5" t="s">
        <v>1607</v>
      </c>
      <c r="C1450" s="17">
        <v>20240101</v>
      </c>
      <c r="D1450" s="17">
        <v>22991231</v>
      </c>
      <c r="E1450" s="25">
        <v>11160.2</v>
      </c>
    </row>
    <row r="1451" spans="1:5" x14ac:dyDescent="0.3">
      <c r="A1451" s="17" t="str">
        <f>"27279"</f>
        <v>27279</v>
      </c>
      <c r="B1451" s="5" t="s">
        <v>1608</v>
      </c>
      <c r="C1451" s="17">
        <v>20230101</v>
      </c>
      <c r="D1451" s="17">
        <v>22991231</v>
      </c>
      <c r="E1451" s="25">
        <v>14043.9</v>
      </c>
    </row>
    <row r="1452" spans="1:5" x14ac:dyDescent="0.3">
      <c r="A1452" s="17" t="str">
        <f>"27299"</f>
        <v>27299</v>
      </c>
      <c r="B1452" s="5" t="s">
        <v>1609</v>
      </c>
      <c r="C1452" s="17">
        <v>19900101</v>
      </c>
      <c r="D1452" s="17">
        <v>22991231</v>
      </c>
      <c r="E1452" s="24" t="s">
        <v>7128</v>
      </c>
    </row>
    <row r="1453" spans="1:5" ht="26" x14ac:dyDescent="0.3">
      <c r="A1453" s="17" t="str">
        <f>"27301"</f>
        <v>27301</v>
      </c>
      <c r="B1453" s="5" t="s">
        <v>1610</v>
      </c>
      <c r="C1453" s="17">
        <v>19900101</v>
      </c>
      <c r="D1453" s="17">
        <v>22991231</v>
      </c>
      <c r="E1453" s="25">
        <v>1105.24</v>
      </c>
    </row>
    <row r="1454" spans="1:5" ht="26" x14ac:dyDescent="0.3">
      <c r="A1454" s="17" t="str">
        <f>"27305"</f>
        <v>27305</v>
      </c>
      <c r="B1454" s="5" t="s">
        <v>1611</v>
      </c>
      <c r="C1454" s="17">
        <v>19900101</v>
      </c>
      <c r="D1454" s="17">
        <v>22991231</v>
      </c>
      <c r="E1454" s="25">
        <v>1450.8</v>
      </c>
    </row>
    <row r="1455" spans="1:5" x14ac:dyDescent="0.3">
      <c r="A1455" s="17" t="str">
        <f>"27306"</f>
        <v>27306</v>
      </c>
      <c r="B1455" s="5" t="s">
        <v>1612</v>
      </c>
      <c r="C1455" s="17">
        <v>19900101</v>
      </c>
      <c r="D1455" s="17">
        <v>22991231</v>
      </c>
      <c r="E1455" s="25">
        <v>1450.8</v>
      </c>
    </row>
    <row r="1456" spans="1:5" ht="26" x14ac:dyDescent="0.3">
      <c r="A1456" s="17" t="str">
        <f>"27307"</f>
        <v>27307</v>
      </c>
      <c r="B1456" s="5" t="s">
        <v>1613</v>
      </c>
      <c r="C1456" s="17">
        <v>19900101</v>
      </c>
      <c r="D1456" s="17">
        <v>22991231</v>
      </c>
      <c r="E1456" s="25">
        <v>1450.8</v>
      </c>
    </row>
    <row r="1457" spans="1:5" ht="26" x14ac:dyDescent="0.3">
      <c r="A1457" s="17" t="str">
        <f>"27310"</f>
        <v>27310</v>
      </c>
      <c r="B1457" s="5" t="s">
        <v>1614</v>
      </c>
      <c r="C1457" s="17">
        <v>19900101</v>
      </c>
      <c r="D1457" s="17">
        <v>22991231</v>
      </c>
      <c r="E1457" s="25">
        <v>1450.8</v>
      </c>
    </row>
    <row r="1458" spans="1:5" x14ac:dyDescent="0.3">
      <c r="A1458" s="17" t="str">
        <f>"27323"</f>
        <v>27323</v>
      </c>
      <c r="B1458" s="5" t="s">
        <v>1615</v>
      </c>
      <c r="C1458" s="17">
        <v>19900101</v>
      </c>
      <c r="D1458" s="17">
        <v>22991231</v>
      </c>
      <c r="E1458" s="25">
        <v>652.27</v>
      </c>
    </row>
    <row r="1459" spans="1:5" x14ac:dyDescent="0.3">
      <c r="A1459" s="17" t="str">
        <f>"27324"</f>
        <v>27324</v>
      </c>
      <c r="B1459" s="5" t="s">
        <v>1616</v>
      </c>
      <c r="C1459" s="17">
        <v>19900101</v>
      </c>
      <c r="D1459" s="17">
        <v>22991231</v>
      </c>
      <c r="E1459" s="25">
        <v>1105.24</v>
      </c>
    </row>
    <row r="1460" spans="1:5" x14ac:dyDescent="0.3">
      <c r="A1460" s="17" t="str">
        <f>"27325"</f>
        <v>27325</v>
      </c>
      <c r="B1460" s="5" t="s">
        <v>1617</v>
      </c>
      <c r="C1460" s="17">
        <v>20070101</v>
      </c>
      <c r="D1460" s="17">
        <v>22991231</v>
      </c>
      <c r="E1460" s="25">
        <v>857.51</v>
      </c>
    </row>
    <row r="1461" spans="1:5" x14ac:dyDescent="0.3">
      <c r="A1461" s="17" t="str">
        <f>"27326"</f>
        <v>27326</v>
      </c>
      <c r="B1461" s="5" t="s">
        <v>1618</v>
      </c>
      <c r="C1461" s="17">
        <v>20070101</v>
      </c>
      <c r="D1461" s="17">
        <v>22991231</v>
      </c>
      <c r="E1461" s="25">
        <v>857.51</v>
      </c>
    </row>
    <row r="1462" spans="1:5" ht="26" x14ac:dyDescent="0.3">
      <c r="A1462" s="17" t="str">
        <f>"27327"</f>
        <v>27327</v>
      </c>
      <c r="B1462" s="5" t="s">
        <v>1619</v>
      </c>
      <c r="C1462" s="17">
        <v>19900101</v>
      </c>
      <c r="D1462" s="17">
        <v>22991231</v>
      </c>
      <c r="E1462" s="25">
        <v>652.27</v>
      </c>
    </row>
    <row r="1463" spans="1:5" ht="26" x14ac:dyDescent="0.3">
      <c r="A1463" s="17" t="str">
        <f>"27328"</f>
        <v>27328</v>
      </c>
      <c r="B1463" s="5" t="s">
        <v>1620</v>
      </c>
      <c r="C1463" s="17">
        <v>19900101</v>
      </c>
      <c r="D1463" s="17">
        <v>22991231</v>
      </c>
      <c r="E1463" s="25">
        <v>1105.24</v>
      </c>
    </row>
    <row r="1464" spans="1:5" ht="26" x14ac:dyDescent="0.3">
      <c r="A1464" s="17" t="str">
        <f>"27329"</f>
        <v>27329</v>
      </c>
      <c r="B1464" s="5" t="s">
        <v>1621</v>
      </c>
      <c r="C1464" s="17">
        <v>19900101</v>
      </c>
      <c r="D1464" s="17">
        <v>22991231</v>
      </c>
      <c r="E1464" s="25">
        <v>1105.24</v>
      </c>
    </row>
    <row r="1465" spans="1:5" x14ac:dyDescent="0.3">
      <c r="A1465" s="17" t="str">
        <f>"27330"</f>
        <v>27330</v>
      </c>
      <c r="B1465" s="5" t="s">
        <v>1622</v>
      </c>
      <c r="C1465" s="17">
        <v>19900101</v>
      </c>
      <c r="D1465" s="17">
        <v>22991231</v>
      </c>
      <c r="E1465" s="25">
        <v>1450.8</v>
      </c>
    </row>
    <row r="1466" spans="1:5" ht="26" x14ac:dyDescent="0.3">
      <c r="A1466" s="17" t="str">
        <f>"27331"</f>
        <v>27331</v>
      </c>
      <c r="B1466" s="5" t="s">
        <v>1623</v>
      </c>
      <c r="C1466" s="17">
        <v>19900101</v>
      </c>
      <c r="D1466" s="17">
        <v>22991231</v>
      </c>
      <c r="E1466" s="25">
        <v>1450.8</v>
      </c>
    </row>
    <row r="1467" spans="1:5" ht="26" x14ac:dyDescent="0.3">
      <c r="A1467" s="17" t="str">
        <f>"27332"</f>
        <v>27332</v>
      </c>
      <c r="B1467" s="5" t="s">
        <v>1624</v>
      </c>
      <c r="C1467" s="17">
        <v>19900101</v>
      </c>
      <c r="D1467" s="17">
        <v>22991231</v>
      </c>
      <c r="E1467" s="25">
        <v>1450.8</v>
      </c>
    </row>
    <row r="1468" spans="1:5" ht="26" x14ac:dyDescent="0.3">
      <c r="A1468" s="17" t="str">
        <f>"27333"</f>
        <v>27333</v>
      </c>
      <c r="B1468" s="5" t="s">
        <v>1625</v>
      </c>
      <c r="C1468" s="17">
        <v>19900101</v>
      </c>
      <c r="D1468" s="17">
        <v>22991231</v>
      </c>
      <c r="E1468" s="25">
        <v>1450.8</v>
      </c>
    </row>
    <row r="1469" spans="1:5" ht="26" x14ac:dyDescent="0.3">
      <c r="A1469" s="17" t="str">
        <f>"27334"</f>
        <v>27334</v>
      </c>
      <c r="B1469" s="5" t="s">
        <v>1626</v>
      </c>
      <c r="C1469" s="17">
        <v>19900101</v>
      </c>
      <c r="D1469" s="17">
        <v>22991231</v>
      </c>
      <c r="E1469" s="25">
        <v>1450.8</v>
      </c>
    </row>
    <row r="1470" spans="1:5" ht="26" x14ac:dyDescent="0.3">
      <c r="A1470" s="17" t="str">
        <f>"27335"</f>
        <v>27335</v>
      </c>
      <c r="B1470" s="5" t="s">
        <v>1627</v>
      </c>
      <c r="C1470" s="17">
        <v>19900101</v>
      </c>
      <c r="D1470" s="17">
        <v>22991231</v>
      </c>
      <c r="E1470" s="25">
        <v>3240.75</v>
      </c>
    </row>
    <row r="1471" spans="1:5" ht="26" x14ac:dyDescent="0.3">
      <c r="A1471" s="17" t="str">
        <f>"27337"</f>
        <v>27337</v>
      </c>
      <c r="B1471" s="5" t="s">
        <v>1628</v>
      </c>
      <c r="C1471" s="17">
        <v>20100101</v>
      </c>
      <c r="D1471" s="17">
        <v>22991231</v>
      </c>
      <c r="E1471" s="25">
        <v>1105.24</v>
      </c>
    </row>
    <row r="1472" spans="1:5" ht="26" x14ac:dyDescent="0.3">
      <c r="A1472" s="17" t="str">
        <f>"27339"</f>
        <v>27339</v>
      </c>
      <c r="B1472" s="5" t="s">
        <v>1629</v>
      </c>
      <c r="C1472" s="17">
        <v>20100101</v>
      </c>
      <c r="D1472" s="17">
        <v>22991231</v>
      </c>
      <c r="E1472" s="25">
        <v>1105.24</v>
      </c>
    </row>
    <row r="1473" spans="1:5" ht="26" x14ac:dyDescent="0.3">
      <c r="A1473" s="17" t="str">
        <f>"27340"</f>
        <v>27340</v>
      </c>
      <c r="B1473" s="5" t="s">
        <v>1630</v>
      </c>
      <c r="C1473" s="17">
        <v>19900101</v>
      </c>
      <c r="D1473" s="17">
        <v>22991231</v>
      </c>
      <c r="E1473" s="25">
        <v>1450.8</v>
      </c>
    </row>
    <row r="1474" spans="1:5" x14ac:dyDescent="0.3">
      <c r="A1474" s="17" t="str">
        <f>"27345"</f>
        <v>27345</v>
      </c>
      <c r="B1474" s="5" t="s">
        <v>1631</v>
      </c>
      <c r="C1474" s="17">
        <v>19900101</v>
      </c>
      <c r="D1474" s="17">
        <v>22991231</v>
      </c>
      <c r="E1474" s="25">
        <v>1450.8</v>
      </c>
    </row>
    <row r="1475" spans="1:5" x14ac:dyDescent="0.3">
      <c r="A1475" s="17" t="str">
        <f>"27347"</f>
        <v>27347</v>
      </c>
      <c r="B1475" s="5" t="s">
        <v>1632</v>
      </c>
      <c r="C1475" s="17">
        <v>19900101</v>
      </c>
      <c r="D1475" s="17">
        <v>22991231</v>
      </c>
      <c r="E1475" s="25">
        <v>1450.8</v>
      </c>
    </row>
    <row r="1476" spans="1:5" x14ac:dyDescent="0.3">
      <c r="A1476" s="17" t="str">
        <f>"27350"</f>
        <v>27350</v>
      </c>
      <c r="B1476" s="5" t="s">
        <v>1633</v>
      </c>
      <c r="C1476" s="17">
        <v>19900101</v>
      </c>
      <c r="D1476" s="17">
        <v>22991231</v>
      </c>
      <c r="E1476" s="25">
        <v>3240.75</v>
      </c>
    </row>
    <row r="1477" spans="1:5" x14ac:dyDescent="0.3">
      <c r="A1477" s="17" t="str">
        <f>"27355"</f>
        <v>27355</v>
      </c>
      <c r="B1477" s="5" t="s">
        <v>1634</v>
      </c>
      <c r="C1477" s="17">
        <v>19900101</v>
      </c>
      <c r="D1477" s="17">
        <v>22991231</v>
      </c>
      <c r="E1477" s="25">
        <v>1450.8</v>
      </c>
    </row>
    <row r="1478" spans="1:5" ht="26" x14ac:dyDescent="0.3">
      <c r="A1478" s="17" t="str">
        <f>"27356"</f>
        <v>27356</v>
      </c>
      <c r="B1478" s="5" t="s">
        <v>1635</v>
      </c>
      <c r="C1478" s="17">
        <v>19900101</v>
      </c>
      <c r="D1478" s="17">
        <v>22991231</v>
      </c>
      <c r="E1478" s="25">
        <v>7877.65</v>
      </c>
    </row>
    <row r="1479" spans="1:5" ht="26" x14ac:dyDescent="0.3">
      <c r="A1479" s="17" t="str">
        <f>"27357"</f>
        <v>27357</v>
      </c>
      <c r="B1479" s="5" t="s">
        <v>1636</v>
      </c>
      <c r="C1479" s="17">
        <v>19900101</v>
      </c>
      <c r="D1479" s="17">
        <v>22991231</v>
      </c>
      <c r="E1479" s="25">
        <v>4081.38</v>
      </c>
    </row>
    <row r="1480" spans="1:5" ht="26" x14ac:dyDescent="0.3">
      <c r="A1480" s="17" t="str">
        <f>"27358"</f>
        <v>27358</v>
      </c>
      <c r="B1480" s="5" t="s">
        <v>1637</v>
      </c>
      <c r="C1480" s="17">
        <v>19900101</v>
      </c>
      <c r="D1480" s="17">
        <v>22991231</v>
      </c>
      <c r="E1480" s="25">
        <v>0</v>
      </c>
    </row>
    <row r="1481" spans="1:5" x14ac:dyDescent="0.3">
      <c r="A1481" s="17" t="str">
        <f>"27360"</f>
        <v>27360</v>
      </c>
      <c r="B1481" s="5" t="s">
        <v>1638</v>
      </c>
      <c r="C1481" s="17">
        <v>19900101</v>
      </c>
      <c r="D1481" s="17">
        <v>22991231</v>
      </c>
      <c r="E1481" s="25">
        <v>1450.8</v>
      </c>
    </row>
    <row r="1482" spans="1:5" ht="26" x14ac:dyDescent="0.3">
      <c r="A1482" s="17" t="str">
        <f>"27364"</f>
        <v>27364</v>
      </c>
      <c r="B1482" s="5" t="s">
        <v>1639</v>
      </c>
      <c r="C1482" s="17">
        <v>20100101</v>
      </c>
      <c r="D1482" s="17">
        <v>22991231</v>
      </c>
      <c r="E1482" s="25">
        <v>1105.24</v>
      </c>
    </row>
    <row r="1483" spans="1:5" x14ac:dyDescent="0.3">
      <c r="A1483" s="17" t="str">
        <f>"27369"</f>
        <v>27369</v>
      </c>
      <c r="B1483" s="5" t="s">
        <v>1640</v>
      </c>
      <c r="C1483" s="17">
        <v>20190101</v>
      </c>
      <c r="D1483" s="17">
        <v>22991231</v>
      </c>
      <c r="E1483" s="25">
        <v>0</v>
      </c>
    </row>
    <row r="1484" spans="1:5" ht="26" x14ac:dyDescent="0.3">
      <c r="A1484" s="17" t="str">
        <f>"27372"</f>
        <v>27372</v>
      </c>
      <c r="B1484" s="5" t="s">
        <v>1641</v>
      </c>
      <c r="C1484" s="17">
        <v>19900101</v>
      </c>
      <c r="D1484" s="17">
        <v>22991231</v>
      </c>
      <c r="E1484" s="25">
        <v>1105.24</v>
      </c>
    </row>
    <row r="1485" spans="1:5" x14ac:dyDescent="0.3">
      <c r="A1485" s="17" t="str">
        <f>"27380"</f>
        <v>27380</v>
      </c>
      <c r="B1485" s="5" t="s">
        <v>1642</v>
      </c>
      <c r="C1485" s="17">
        <v>19900101</v>
      </c>
      <c r="D1485" s="17">
        <v>22991231</v>
      </c>
      <c r="E1485" s="25">
        <v>3240.75</v>
      </c>
    </row>
    <row r="1486" spans="1:5" x14ac:dyDescent="0.3">
      <c r="A1486" s="17" t="str">
        <f>"27381"</f>
        <v>27381</v>
      </c>
      <c r="B1486" s="5" t="s">
        <v>1643</v>
      </c>
      <c r="C1486" s="17">
        <v>19900101</v>
      </c>
      <c r="D1486" s="17">
        <v>22991231</v>
      </c>
      <c r="E1486" s="25">
        <v>4100.37</v>
      </c>
    </row>
    <row r="1487" spans="1:5" x14ac:dyDescent="0.3">
      <c r="A1487" s="17" t="str">
        <f>"27385"</f>
        <v>27385</v>
      </c>
      <c r="B1487" s="5" t="s">
        <v>1644</v>
      </c>
      <c r="C1487" s="17">
        <v>19900101</v>
      </c>
      <c r="D1487" s="17">
        <v>22991231</v>
      </c>
      <c r="E1487" s="25">
        <v>3240.75</v>
      </c>
    </row>
    <row r="1488" spans="1:5" x14ac:dyDescent="0.3">
      <c r="A1488" s="17" t="str">
        <f>"27386"</f>
        <v>27386</v>
      </c>
      <c r="B1488" s="5" t="s">
        <v>1645</v>
      </c>
      <c r="C1488" s="17">
        <v>19900101</v>
      </c>
      <c r="D1488" s="17">
        <v>22991231</v>
      </c>
      <c r="E1488" s="25">
        <v>3240.75</v>
      </c>
    </row>
    <row r="1489" spans="1:5" x14ac:dyDescent="0.3">
      <c r="A1489" s="17" t="str">
        <f>"27390"</f>
        <v>27390</v>
      </c>
      <c r="B1489" s="5" t="s">
        <v>1646</v>
      </c>
      <c r="C1489" s="17">
        <v>19900101</v>
      </c>
      <c r="D1489" s="17">
        <v>22991231</v>
      </c>
      <c r="E1489" s="25">
        <v>1450.8</v>
      </c>
    </row>
    <row r="1490" spans="1:5" x14ac:dyDescent="0.3">
      <c r="A1490" s="17" t="str">
        <f>"27391"</f>
        <v>27391</v>
      </c>
      <c r="B1490" s="5" t="s">
        <v>1647</v>
      </c>
      <c r="C1490" s="17">
        <v>19900101</v>
      </c>
      <c r="D1490" s="17">
        <v>22991231</v>
      </c>
      <c r="E1490" s="25">
        <v>1450.8</v>
      </c>
    </row>
    <row r="1491" spans="1:5" ht="26" x14ac:dyDescent="0.3">
      <c r="A1491" s="17" t="str">
        <f>"27392"</f>
        <v>27392</v>
      </c>
      <c r="B1491" s="5" t="s">
        <v>1648</v>
      </c>
      <c r="C1491" s="17">
        <v>19900101</v>
      </c>
      <c r="D1491" s="17">
        <v>22991231</v>
      </c>
      <c r="E1491" s="25">
        <v>1450.8</v>
      </c>
    </row>
    <row r="1492" spans="1:5" x14ac:dyDescent="0.3">
      <c r="A1492" s="17" t="str">
        <f>"27393"</f>
        <v>27393</v>
      </c>
      <c r="B1492" s="5" t="s">
        <v>1649</v>
      </c>
      <c r="C1492" s="17">
        <v>19900101</v>
      </c>
      <c r="D1492" s="17">
        <v>22991231</v>
      </c>
      <c r="E1492" s="25">
        <v>3240.75</v>
      </c>
    </row>
    <row r="1493" spans="1:5" x14ac:dyDescent="0.3">
      <c r="A1493" s="17" t="str">
        <f>"27394"</f>
        <v>27394</v>
      </c>
      <c r="B1493" s="5" t="s">
        <v>1650</v>
      </c>
      <c r="C1493" s="17">
        <v>19900101</v>
      </c>
      <c r="D1493" s="17">
        <v>22991231</v>
      </c>
      <c r="E1493" s="25">
        <v>3240.75</v>
      </c>
    </row>
    <row r="1494" spans="1:5" ht="26" x14ac:dyDescent="0.3">
      <c r="A1494" s="17" t="str">
        <f>"27395"</f>
        <v>27395</v>
      </c>
      <c r="B1494" s="5" t="s">
        <v>1651</v>
      </c>
      <c r="C1494" s="17">
        <v>19900101</v>
      </c>
      <c r="D1494" s="17">
        <v>22991231</v>
      </c>
      <c r="E1494" s="25">
        <v>1450.8</v>
      </c>
    </row>
    <row r="1495" spans="1:5" x14ac:dyDescent="0.3">
      <c r="A1495" s="17" t="str">
        <f>"27396"</f>
        <v>27396</v>
      </c>
      <c r="B1495" s="5" t="s">
        <v>1652</v>
      </c>
      <c r="C1495" s="17">
        <v>19900101</v>
      </c>
      <c r="D1495" s="17">
        <v>22991231</v>
      </c>
      <c r="E1495" s="25">
        <v>3240.75</v>
      </c>
    </row>
    <row r="1496" spans="1:5" x14ac:dyDescent="0.3">
      <c r="A1496" s="17" t="str">
        <f>"27397"</f>
        <v>27397</v>
      </c>
      <c r="B1496" s="5" t="s">
        <v>1653</v>
      </c>
      <c r="C1496" s="17">
        <v>19900101</v>
      </c>
      <c r="D1496" s="17">
        <v>22991231</v>
      </c>
      <c r="E1496" s="25">
        <v>3240.75</v>
      </c>
    </row>
    <row r="1497" spans="1:5" ht="26" x14ac:dyDescent="0.3">
      <c r="A1497" s="17" t="str">
        <f>"27400"</f>
        <v>27400</v>
      </c>
      <c r="B1497" s="5" t="s">
        <v>1654</v>
      </c>
      <c r="C1497" s="17">
        <v>19900101</v>
      </c>
      <c r="D1497" s="17">
        <v>22991231</v>
      </c>
      <c r="E1497" s="25">
        <v>3240.75</v>
      </c>
    </row>
    <row r="1498" spans="1:5" x14ac:dyDescent="0.3">
      <c r="A1498" s="17" t="str">
        <f>"27403"</f>
        <v>27403</v>
      </c>
      <c r="B1498" s="5" t="s">
        <v>1655</v>
      </c>
      <c r="C1498" s="17">
        <v>19900101</v>
      </c>
      <c r="D1498" s="17">
        <v>22991231</v>
      </c>
      <c r="E1498" s="25">
        <v>4513.37</v>
      </c>
    </row>
    <row r="1499" spans="1:5" ht="26" x14ac:dyDescent="0.3">
      <c r="A1499" s="17" t="str">
        <f>"27405"</f>
        <v>27405</v>
      </c>
      <c r="B1499" s="5" t="s">
        <v>1656</v>
      </c>
      <c r="C1499" s="17">
        <v>19900101</v>
      </c>
      <c r="D1499" s="17">
        <v>22991231</v>
      </c>
      <c r="E1499" s="25">
        <v>3240.75</v>
      </c>
    </row>
    <row r="1500" spans="1:5" ht="26" x14ac:dyDescent="0.3">
      <c r="A1500" s="17" t="str">
        <f>"27407"</f>
        <v>27407</v>
      </c>
      <c r="B1500" s="5" t="s">
        <v>1657</v>
      </c>
      <c r="C1500" s="17">
        <v>19900101</v>
      </c>
      <c r="D1500" s="17">
        <v>22991231</v>
      </c>
      <c r="E1500" s="25">
        <v>4431.74</v>
      </c>
    </row>
    <row r="1501" spans="1:5" ht="26" x14ac:dyDescent="0.3">
      <c r="A1501" s="17" t="str">
        <f>"27409"</f>
        <v>27409</v>
      </c>
      <c r="B1501" s="5" t="s">
        <v>1658</v>
      </c>
      <c r="C1501" s="17">
        <v>19900101</v>
      </c>
      <c r="D1501" s="17">
        <v>22991231</v>
      </c>
      <c r="E1501" s="25">
        <v>3240.75</v>
      </c>
    </row>
    <row r="1502" spans="1:5" x14ac:dyDescent="0.3">
      <c r="A1502" s="17" t="str">
        <f>"27412"</f>
        <v>27412</v>
      </c>
      <c r="B1502" s="5" t="s">
        <v>1659</v>
      </c>
      <c r="C1502" s="17">
        <v>20230101</v>
      </c>
      <c r="D1502" s="17">
        <v>22991231</v>
      </c>
      <c r="E1502" s="25">
        <v>5607.82</v>
      </c>
    </row>
    <row r="1503" spans="1:5" ht="26" x14ac:dyDescent="0.3">
      <c r="A1503" s="17" t="str">
        <f>"27415"</f>
        <v>27415</v>
      </c>
      <c r="B1503" s="5" t="s">
        <v>1660</v>
      </c>
      <c r="C1503" s="17">
        <v>19900101</v>
      </c>
      <c r="D1503" s="17">
        <v>22991231</v>
      </c>
      <c r="E1503" s="25">
        <v>9148.44</v>
      </c>
    </row>
    <row r="1504" spans="1:5" ht="26" x14ac:dyDescent="0.3">
      <c r="A1504" s="17" t="str">
        <f>"27416"</f>
        <v>27416</v>
      </c>
      <c r="B1504" s="5" t="s">
        <v>1661</v>
      </c>
      <c r="C1504" s="17">
        <v>20080101</v>
      </c>
      <c r="D1504" s="17">
        <v>22991231</v>
      </c>
      <c r="E1504" s="25">
        <v>3240.75</v>
      </c>
    </row>
    <row r="1505" spans="1:5" x14ac:dyDescent="0.3">
      <c r="A1505" s="17" t="str">
        <f>"27418"</f>
        <v>27418</v>
      </c>
      <c r="B1505" s="5" t="s">
        <v>1662</v>
      </c>
      <c r="C1505" s="17">
        <v>19900101</v>
      </c>
      <c r="D1505" s="17">
        <v>22991231</v>
      </c>
      <c r="E1505" s="25">
        <v>3240.75</v>
      </c>
    </row>
    <row r="1506" spans="1:5" x14ac:dyDescent="0.3">
      <c r="A1506" s="17" t="str">
        <f>"27420"</f>
        <v>27420</v>
      </c>
      <c r="B1506" s="5" t="s">
        <v>1663</v>
      </c>
      <c r="C1506" s="17">
        <v>19900101</v>
      </c>
      <c r="D1506" s="17">
        <v>22991231</v>
      </c>
      <c r="E1506" s="25">
        <v>3240.75</v>
      </c>
    </row>
    <row r="1507" spans="1:5" x14ac:dyDescent="0.3">
      <c r="A1507" s="17" t="str">
        <f>"27422"</f>
        <v>27422</v>
      </c>
      <c r="B1507" s="5" t="s">
        <v>1664</v>
      </c>
      <c r="C1507" s="17">
        <v>19900101</v>
      </c>
      <c r="D1507" s="17">
        <v>22991231</v>
      </c>
      <c r="E1507" s="25">
        <v>3240.75</v>
      </c>
    </row>
    <row r="1508" spans="1:5" ht="26" x14ac:dyDescent="0.3">
      <c r="A1508" s="17" t="str">
        <f>"27424"</f>
        <v>27424</v>
      </c>
      <c r="B1508" s="5" t="s">
        <v>1665</v>
      </c>
      <c r="C1508" s="17">
        <v>19900101</v>
      </c>
      <c r="D1508" s="17">
        <v>22991231</v>
      </c>
      <c r="E1508" s="25">
        <v>3240.75</v>
      </c>
    </row>
    <row r="1509" spans="1:5" x14ac:dyDescent="0.3">
      <c r="A1509" s="17" t="str">
        <f>"27425"</f>
        <v>27425</v>
      </c>
      <c r="B1509" s="5" t="s">
        <v>1666</v>
      </c>
      <c r="C1509" s="17">
        <v>19900101</v>
      </c>
      <c r="D1509" s="17">
        <v>22991231</v>
      </c>
      <c r="E1509" s="25">
        <v>1450.8</v>
      </c>
    </row>
    <row r="1510" spans="1:5" x14ac:dyDescent="0.3">
      <c r="A1510" s="17" t="str">
        <f>"27427"</f>
        <v>27427</v>
      </c>
      <c r="B1510" s="5" t="s">
        <v>1667</v>
      </c>
      <c r="C1510" s="17">
        <v>19900101</v>
      </c>
      <c r="D1510" s="17">
        <v>22991231</v>
      </c>
      <c r="E1510" s="25">
        <v>4285.3100000000004</v>
      </c>
    </row>
    <row r="1511" spans="1:5" x14ac:dyDescent="0.3">
      <c r="A1511" s="17" t="str">
        <f>"27428"</f>
        <v>27428</v>
      </c>
      <c r="B1511" s="5" t="s">
        <v>1668</v>
      </c>
      <c r="C1511" s="17">
        <v>19900101</v>
      </c>
      <c r="D1511" s="17">
        <v>22991231</v>
      </c>
      <c r="E1511" s="25">
        <v>7883.88</v>
      </c>
    </row>
    <row r="1512" spans="1:5" ht="26" x14ac:dyDescent="0.3">
      <c r="A1512" s="17" t="str">
        <f>"27429"</f>
        <v>27429</v>
      </c>
      <c r="B1512" s="5" t="s">
        <v>1669</v>
      </c>
      <c r="C1512" s="17">
        <v>19900101</v>
      </c>
      <c r="D1512" s="17">
        <v>22991231</v>
      </c>
      <c r="E1512" s="25">
        <v>8168.07</v>
      </c>
    </row>
    <row r="1513" spans="1:5" x14ac:dyDescent="0.3">
      <c r="A1513" s="17" t="str">
        <f>"27430"</f>
        <v>27430</v>
      </c>
      <c r="B1513" s="5" t="s">
        <v>1670</v>
      </c>
      <c r="C1513" s="17">
        <v>19900101</v>
      </c>
      <c r="D1513" s="17">
        <v>22991231</v>
      </c>
      <c r="E1513" s="25">
        <v>3240.75</v>
      </c>
    </row>
    <row r="1514" spans="1:5" x14ac:dyDescent="0.3">
      <c r="A1514" s="17" t="str">
        <f>"27435"</f>
        <v>27435</v>
      </c>
      <c r="B1514" s="5" t="s">
        <v>1671</v>
      </c>
      <c r="C1514" s="17">
        <v>19900101</v>
      </c>
      <c r="D1514" s="17">
        <v>22991231</v>
      </c>
      <c r="E1514" s="25">
        <v>1450.8</v>
      </c>
    </row>
    <row r="1515" spans="1:5" x14ac:dyDescent="0.3">
      <c r="A1515" s="17" t="str">
        <f>"27437"</f>
        <v>27437</v>
      </c>
      <c r="B1515" s="5" t="s">
        <v>1672</v>
      </c>
      <c r="C1515" s="17">
        <v>19900101</v>
      </c>
      <c r="D1515" s="17">
        <v>22991231</v>
      </c>
      <c r="E1515" s="25">
        <v>3240.75</v>
      </c>
    </row>
    <row r="1516" spans="1:5" x14ac:dyDescent="0.3">
      <c r="A1516" s="17" t="str">
        <f>"27438"</f>
        <v>27438</v>
      </c>
      <c r="B1516" s="5" t="s">
        <v>1673</v>
      </c>
      <c r="C1516" s="17">
        <v>19900101</v>
      </c>
      <c r="D1516" s="17">
        <v>22991231</v>
      </c>
      <c r="E1516" s="25">
        <v>8080.79</v>
      </c>
    </row>
    <row r="1517" spans="1:5" x14ac:dyDescent="0.3">
      <c r="A1517" s="17" t="str">
        <f>"27440"</f>
        <v>27440</v>
      </c>
      <c r="B1517" s="5" t="s">
        <v>1674</v>
      </c>
      <c r="C1517" s="17">
        <v>19900101</v>
      </c>
      <c r="D1517" s="17">
        <v>22991231</v>
      </c>
      <c r="E1517" s="25">
        <v>8068.31</v>
      </c>
    </row>
    <row r="1518" spans="1:5" ht="26" x14ac:dyDescent="0.3">
      <c r="A1518" s="17" t="str">
        <f>"27441"</f>
        <v>27441</v>
      </c>
      <c r="B1518" s="5" t="s">
        <v>1675</v>
      </c>
      <c r="C1518" s="17">
        <v>19900101</v>
      </c>
      <c r="D1518" s="17">
        <v>22991231</v>
      </c>
      <c r="E1518" s="25">
        <v>6208.9</v>
      </c>
    </row>
    <row r="1519" spans="1:5" ht="26" x14ac:dyDescent="0.3">
      <c r="A1519" s="17" t="str">
        <f>"27442"</f>
        <v>27442</v>
      </c>
      <c r="B1519" s="5" t="s">
        <v>1676</v>
      </c>
      <c r="C1519" s="17">
        <v>19900101</v>
      </c>
      <c r="D1519" s="17">
        <v>22991231</v>
      </c>
      <c r="E1519" s="25">
        <v>8308.86</v>
      </c>
    </row>
    <row r="1520" spans="1:5" ht="26" x14ac:dyDescent="0.3">
      <c r="A1520" s="17" t="str">
        <f>"27443"</f>
        <v>27443</v>
      </c>
      <c r="B1520" s="5" t="s">
        <v>1677</v>
      </c>
      <c r="C1520" s="17">
        <v>19900101</v>
      </c>
      <c r="D1520" s="17">
        <v>22991231</v>
      </c>
      <c r="E1520" s="25">
        <v>8320.2900000000009</v>
      </c>
    </row>
    <row r="1521" spans="1:5" x14ac:dyDescent="0.3">
      <c r="A1521" s="17" t="str">
        <f>"27446"</f>
        <v>27446</v>
      </c>
      <c r="B1521" s="5" t="s">
        <v>1678</v>
      </c>
      <c r="C1521" s="17">
        <v>19900101</v>
      </c>
      <c r="D1521" s="17">
        <v>22991231</v>
      </c>
      <c r="E1521" s="25">
        <v>8506.2900000000009</v>
      </c>
    </row>
    <row r="1522" spans="1:5" x14ac:dyDescent="0.3">
      <c r="A1522" s="17" t="str">
        <f>"27447"</f>
        <v>27447</v>
      </c>
      <c r="B1522" s="5" t="s">
        <v>1679</v>
      </c>
      <c r="C1522" s="17">
        <v>19900101</v>
      </c>
      <c r="D1522" s="17">
        <v>22991231</v>
      </c>
      <c r="E1522" s="25">
        <v>8642.92</v>
      </c>
    </row>
    <row r="1523" spans="1:5" ht="26" x14ac:dyDescent="0.3">
      <c r="A1523" s="17" t="str">
        <f>"27475"</f>
        <v>27475</v>
      </c>
      <c r="B1523" s="5" t="s">
        <v>1680</v>
      </c>
      <c r="C1523" s="17">
        <v>19900101</v>
      </c>
      <c r="D1523" s="17">
        <v>22991231</v>
      </c>
      <c r="E1523" s="25">
        <v>3240.75</v>
      </c>
    </row>
    <row r="1524" spans="1:5" ht="26" x14ac:dyDescent="0.3">
      <c r="A1524" s="17" t="str">
        <f>"27477"</f>
        <v>27477</v>
      </c>
      <c r="B1524" s="5" t="s">
        <v>1681</v>
      </c>
      <c r="C1524" s="17">
        <v>19900101</v>
      </c>
      <c r="D1524" s="17">
        <v>22991231</v>
      </c>
      <c r="E1524" s="24" t="s">
        <v>7128</v>
      </c>
    </row>
    <row r="1525" spans="1:5" x14ac:dyDescent="0.3">
      <c r="A1525" s="17" t="str">
        <f>"27479"</f>
        <v>27479</v>
      </c>
      <c r="B1525" s="5" t="s">
        <v>1682</v>
      </c>
      <c r="C1525" s="17">
        <v>19900101</v>
      </c>
      <c r="D1525" s="17">
        <v>22991231</v>
      </c>
      <c r="E1525" s="25">
        <v>3240.75</v>
      </c>
    </row>
    <row r="1526" spans="1:5" x14ac:dyDescent="0.3">
      <c r="A1526" s="17" t="str">
        <f>"27485"</f>
        <v>27485</v>
      </c>
      <c r="B1526" s="5" t="s">
        <v>1683</v>
      </c>
      <c r="C1526" s="17">
        <v>19900101</v>
      </c>
      <c r="D1526" s="17">
        <v>22991231</v>
      </c>
      <c r="E1526" s="24" t="s">
        <v>7128</v>
      </c>
    </row>
    <row r="1527" spans="1:5" ht="26" x14ac:dyDescent="0.3">
      <c r="A1527" s="17" t="str">
        <f>"27496"</f>
        <v>27496</v>
      </c>
      <c r="B1527" s="5" t="s">
        <v>1684</v>
      </c>
      <c r="C1527" s="17">
        <v>20030401</v>
      </c>
      <c r="D1527" s="17">
        <v>22991231</v>
      </c>
      <c r="E1527" s="25">
        <v>1450.8</v>
      </c>
    </row>
    <row r="1528" spans="1:5" ht="26" x14ac:dyDescent="0.3">
      <c r="A1528" s="17" t="str">
        <f>"27497"</f>
        <v>27497</v>
      </c>
      <c r="B1528" s="5" t="s">
        <v>1685</v>
      </c>
      <c r="C1528" s="17">
        <v>20030401</v>
      </c>
      <c r="D1528" s="17">
        <v>22991231</v>
      </c>
      <c r="E1528" s="25">
        <v>1450.8</v>
      </c>
    </row>
    <row r="1529" spans="1:5" ht="26" x14ac:dyDescent="0.3">
      <c r="A1529" s="17" t="str">
        <f>"27498"</f>
        <v>27498</v>
      </c>
      <c r="B1529" s="5" t="s">
        <v>1686</v>
      </c>
      <c r="C1529" s="17">
        <v>20030401</v>
      </c>
      <c r="D1529" s="17">
        <v>22991231</v>
      </c>
      <c r="E1529" s="25">
        <v>782.3</v>
      </c>
    </row>
    <row r="1530" spans="1:5" ht="39" x14ac:dyDescent="0.3">
      <c r="A1530" s="17" t="str">
        <f>"27499"</f>
        <v>27499</v>
      </c>
      <c r="B1530" s="5" t="s">
        <v>1687</v>
      </c>
      <c r="C1530" s="17">
        <v>20030401</v>
      </c>
      <c r="D1530" s="17">
        <v>22991231</v>
      </c>
      <c r="E1530" s="25">
        <v>3240.75</v>
      </c>
    </row>
    <row r="1531" spans="1:5" x14ac:dyDescent="0.3">
      <c r="A1531" s="17" t="str">
        <f>"27500"</f>
        <v>27500</v>
      </c>
      <c r="B1531" s="5" t="s">
        <v>1688</v>
      </c>
      <c r="C1531" s="17">
        <v>19900101</v>
      </c>
      <c r="D1531" s="17">
        <v>22991231</v>
      </c>
      <c r="E1531" s="25">
        <v>116.84</v>
      </c>
    </row>
    <row r="1532" spans="1:5" ht="26" x14ac:dyDescent="0.3">
      <c r="A1532" s="17" t="str">
        <f>"27501"</f>
        <v>27501</v>
      </c>
      <c r="B1532" s="5" t="s">
        <v>1689</v>
      </c>
      <c r="C1532" s="17">
        <v>20230101</v>
      </c>
      <c r="D1532" s="17">
        <v>22991231</v>
      </c>
      <c r="E1532" s="25">
        <v>116.84</v>
      </c>
    </row>
    <row r="1533" spans="1:5" ht="26" x14ac:dyDescent="0.3">
      <c r="A1533" s="17" t="str">
        <f>"27502"</f>
        <v>27502</v>
      </c>
      <c r="B1533" s="5" t="s">
        <v>1690</v>
      </c>
      <c r="C1533" s="17">
        <v>19900101</v>
      </c>
      <c r="D1533" s="17">
        <v>22991231</v>
      </c>
      <c r="E1533" s="25">
        <v>782.3</v>
      </c>
    </row>
    <row r="1534" spans="1:5" ht="26" x14ac:dyDescent="0.3">
      <c r="A1534" s="17" t="str">
        <f>"27503"</f>
        <v>27503</v>
      </c>
      <c r="B1534" s="5" t="s">
        <v>1691</v>
      </c>
      <c r="C1534" s="17">
        <v>20230101</v>
      </c>
      <c r="D1534" s="17">
        <v>22991231</v>
      </c>
      <c r="E1534" s="25">
        <v>782.3</v>
      </c>
    </row>
    <row r="1535" spans="1:5" ht="26" x14ac:dyDescent="0.3">
      <c r="A1535" s="17" t="str">
        <f>"27508"</f>
        <v>27508</v>
      </c>
      <c r="B1535" s="5" t="s">
        <v>1692</v>
      </c>
      <c r="C1535" s="17">
        <v>19900101</v>
      </c>
      <c r="D1535" s="17">
        <v>22991231</v>
      </c>
      <c r="E1535" s="25">
        <v>116.84</v>
      </c>
    </row>
    <row r="1536" spans="1:5" ht="26" x14ac:dyDescent="0.3">
      <c r="A1536" s="17" t="str">
        <f>"27509"</f>
        <v>27509</v>
      </c>
      <c r="B1536" s="5" t="s">
        <v>1693</v>
      </c>
      <c r="C1536" s="17">
        <v>19970801</v>
      </c>
      <c r="D1536" s="17">
        <v>22991231</v>
      </c>
      <c r="E1536" s="25">
        <v>4391.34</v>
      </c>
    </row>
    <row r="1537" spans="1:5" ht="26" x14ac:dyDescent="0.3">
      <c r="A1537" s="17" t="str">
        <f>"27510"</f>
        <v>27510</v>
      </c>
      <c r="B1537" s="5" t="s">
        <v>1694</v>
      </c>
      <c r="C1537" s="17">
        <v>19900101</v>
      </c>
      <c r="D1537" s="17">
        <v>22991231</v>
      </c>
      <c r="E1537" s="25">
        <v>782.3</v>
      </c>
    </row>
    <row r="1538" spans="1:5" ht="26" x14ac:dyDescent="0.3">
      <c r="A1538" s="17" t="str">
        <f>"27514"</f>
        <v>27514</v>
      </c>
      <c r="B1538" s="5" t="s">
        <v>1695</v>
      </c>
      <c r="C1538" s="17">
        <v>19900101</v>
      </c>
      <c r="D1538" s="17">
        <v>22991231</v>
      </c>
      <c r="E1538" s="24" t="s">
        <v>7128</v>
      </c>
    </row>
    <row r="1539" spans="1:5" ht="26" x14ac:dyDescent="0.3">
      <c r="A1539" s="17" t="str">
        <f>"27516"</f>
        <v>27516</v>
      </c>
      <c r="B1539" s="5" t="s">
        <v>1696</v>
      </c>
      <c r="C1539" s="17">
        <v>19900101</v>
      </c>
      <c r="D1539" s="17">
        <v>22991231</v>
      </c>
      <c r="E1539" s="25">
        <v>116.84</v>
      </c>
    </row>
    <row r="1540" spans="1:5" ht="26" x14ac:dyDescent="0.3">
      <c r="A1540" s="17" t="str">
        <f>"27517"</f>
        <v>27517</v>
      </c>
      <c r="B1540" s="5" t="s">
        <v>1697</v>
      </c>
      <c r="C1540" s="17">
        <v>19900101</v>
      </c>
      <c r="D1540" s="17">
        <v>22991231</v>
      </c>
      <c r="E1540" s="25">
        <v>782.3</v>
      </c>
    </row>
    <row r="1541" spans="1:5" x14ac:dyDescent="0.3">
      <c r="A1541" s="17" t="str">
        <f>"27520"</f>
        <v>27520</v>
      </c>
      <c r="B1541" s="5" t="s">
        <v>1698</v>
      </c>
      <c r="C1541" s="17">
        <v>19900101</v>
      </c>
      <c r="D1541" s="17">
        <v>22991231</v>
      </c>
      <c r="E1541" s="25">
        <v>116.84</v>
      </c>
    </row>
    <row r="1542" spans="1:5" ht="26" x14ac:dyDescent="0.3">
      <c r="A1542" s="17" t="str">
        <f>"27524"</f>
        <v>27524</v>
      </c>
      <c r="B1542" s="5" t="s">
        <v>1699</v>
      </c>
      <c r="C1542" s="17">
        <v>19900101</v>
      </c>
      <c r="D1542" s="17">
        <v>22991231</v>
      </c>
      <c r="E1542" s="25">
        <v>3240.75</v>
      </c>
    </row>
    <row r="1543" spans="1:5" x14ac:dyDescent="0.3">
      <c r="A1543" s="17" t="str">
        <f>"27530"</f>
        <v>27530</v>
      </c>
      <c r="B1543" s="5" t="s">
        <v>1700</v>
      </c>
      <c r="C1543" s="17">
        <v>19900101</v>
      </c>
      <c r="D1543" s="17">
        <v>22991231</v>
      </c>
      <c r="E1543" s="25">
        <v>116.84</v>
      </c>
    </row>
    <row r="1544" spans="1:5" ht="26" x14ac:dyDescent="0.3">
      <c r="A1544" s="17" t="str">
        <f>"27532"</f>
        <v>27532</v>
      </c>
      <c r="B1544" s="5" t="s">
        <v>1701</v>
      </c>
      <c r="C1544" s="17">
        <v>19900101</v>
      </c>
      <c r="D1544" s="17">
        <v>22991231</v>
      </c>
      <c r="E1544" s="25">
        <v>1450.8</v>
      </c>
    </row>
    <row r="1545" spans="1:5" ht="26" x14ac:dyDescent="0.3">
      <c r="A1545" s="17" t="str">
        <f>"27538"</f>
        <v>27538</v>
      </c>
      <c r="B1545" s="5" t="s">
        <v>1702</v>
      </c>
      <c r="C1545" s="17">
        <v>19900101</v>
      </c>
      <c r="D1545" s="17">
        <v>22991231</v>
      </c>
      <c r="E1545" s="25">
        <v>116.84</v>
      </c>
    </row>
    <row r="1546" spans="1:5" x14ac:dyDescent="0.3">
      <c r="A1546" s="17" t="str">
        <f>"27540"</f>
        <v>27540</v>
      </c>
      <c r="B1546" s="5" t="s">
        <v>1703</v>
      </c>
      <c r="C1546" s="17">
        <v>19900101</v>
      </c>
      <c r="D1546" s="17">
        <v>22991231</v>
      </c>
      <c r="E1546" s="24" t="s">
        <v>7128</v>
      </c>
    </row>
    <row r="1547" spans="1:5" x14ac:dyDescent="0.3">
      <c r="A1547" s="17" t="str">
        <f>"27550"</f>
        <v>27550</v>
      </c>
      <c r="B1547" s="5" t="s">
        <v>1704</v>
      </c>
      <c r="C1547" s="17">
        <v>19900101</v>
      </c>
      <c r="D1547" s="17">
        <v>22991231</v>
      </c>
      <c r="E1547" s="25">
        <v>116.84</v>
      </c>
    </row>
    <row r="1548" spans="1:5" ht="26" x14ac:dyDescent="0.3">
      <c r="A1548" s="17" t="str">
        <f>"27552"</f>
        <v>27552</v>
      </c>
      <c r="B1548" s="5" t="s">
        <v>1705</v>
      </c>
      <c r="C1548" s="17">
        <v>19900101</v>
      </c>
      <c r="D1548" s="17">
        <v>22991231</v>
      </c>
      <c r="E1548" s="25">
        <v>782.3</v>
      </c>
    </row>
    <row r="1549" spans="1:5" ht="26" x14ac:dyDescent="0.3">
      <c r="A1549" s="17" t="str">
        <f>"27557"</f>
        <v>27557</v>
      </c>
      <c r="B1549" s="5" t="s">
        <v>1706</v>
      </c>
      <c r="C1549" s="17">
        <v>19900101</v>
      </c>
      <c r="D1549" s="17">
        <v>22991231</v>
      </c>
      <c r="E1549" s="24" t="s">
        <v>7128</v>
      </c>
    </row>
    <row r="1550" spans="1:5" x14ac:dyDescent="0.3">
      <c r="A1550" s="17" t="str">
        <f>"27560"</f>
        <v>27560</v>
      </c>
      <c r="B1550" s="5" t="s">
        <v>1707</v>
      </c>
      <c r="C1550" s="17">
        <v>19900101</v>
      </c>
      <c r="D1550" s="17">
        <v>22991231</v>
      </c>
      <c r="E1550" s="25">
        <v>116.84</v>
      </c>
    </row>
    <row r="1551" spans="1:5" ht="26" x14ac:dyDescent="0.3">
      <c r="A1551" s="17" t="str">
        <f>"27562"</f>
        <v>27562</v>
      </c>
      <c r="B1551" s="5" t="s">
        <v>1708</v>
      </c>
      <c r="C1551" s="17">
        <v>19900101</v>
      </c>
      <c r="D1551" s="17">
        <v>22991231</v>
      </c>
      <c r="E1551" s="25">
        <v>116.84</v>
      </c>
    </row>
    <row r="1552" spans="1:5" x14ac:dyDescent="0.3">
      <c r="A1552" s="17" t="str">
        <f>"27566"</f>
        <v>27566</v>
      </c>
      <c r="B1552" s="5" t="s">
        <v>1709</v>
      </c>
      <c r="C1552" s="17">
        <v>19900101</v>
      </c>
      <c r="D1552" s="17">
        <v>22991231</v>
      </c>
      <c r="E1552" s="25">
        <v>3240.75</v>
      </c>
    </row>
    <row r="1553" spans="1:5" x14ac:dyDescent="0.3">
      <c r="A1553" s="17" t="str">
        <f>"27570"</f>
        <v>27570</v>
      </c>
      <c r="B1553" s="5" t="s">
        <v>1710</v>
      </c>
      <c r="C1553" s="17">
        <v>19900101</v>
      </c>
      <c r="D1553" s="17">
        <v>22991231</v>
      </c>
      <c r="E1553" s="25">
        <v>782.3</v>
      </c>
    </row>
    <row r="1554" spans="1:5" ht="26" x14ac:dyDescent="0.3">
      <c r="A1554" s="17" t="str">
        <f>"27594"</f>
        <v>27594</v>
      </c>
      <c r="B1554" s="5" t="s">
        <v>1711</v>
      </c>
      <c r="C1554" s="17">
        <v>19900101</v>
      </c>
      <c r="D1554" s="17">
        <v>22991231</v>
      </c>
      <c r="E1554" s="25">
        <v>1450.8</v>
      </c>
    </row>
    <row r="1555" spans="1:5" x14ac:dyDescent="0.3">
      <c r="A1555" s="17" t="str">
        <f>"27599"</f>
        <v>27599</v>
      </c>
      <c r="B1555" s="5" t="s">
        <v>1712</v>
      </c>
      <c r="C1555" s="17">
        <v>19900101</v>
      </c>
      <c r="D1555" s="17">
        <v>22991231</v>
      </c>
      <c r="E1555" s="24" t="s">
        <v>7128</v>
      </c>
    </row>
    <row r="1556" spans="1:5" ht="26" x14ac:dyDescent="0.3">
      <c r="A1556" s="17" t="str">
        <f>"27600"</f>
        <v>27600</v>
      </c>
      <c r="B1556" s="5" t="s">
        <v>1713</v>
      </c>
      <c r="C1556" s="17">
        <v>19900101</v>
      </c>
      <c r="D1556" s="17">
        <v>22991231</v>
      </c>
      <c r="E1556" s="25">
        <v>1450.8</v>
      </c>
    </row>
    <row r="1557" spans="1:5" ht="26" x14ac:dyDescent="0.3">
      <c r="A1557" s="17" t="str">
        <f>"27601"</f>
        <v>27601</v>
      </c>
      <c r="B1557" s="5" t="s">
        <v>1714</v>
      </c>
      <c r="C1557" s="17">
        <v>19900101</v>
      </c>
      <c r="D1557" s="17">
        <v>22991231</v>
      </c>
      <c r="E1557" s="25">
        <v>1450.8</v>
      </c>
    </row>
    <row r="1558" spans="1:5" ht="26" x14ac:dyDescent="0.3">
      <c r="A1558" s="17" t="str">
        <f>"27602"</f>
        <v>27602</v>
      </c>
      <c r="B1558" s="5" t="s">
        <v>1715</v>
      </c>
      <c r="C1558" s="17">
        <v>19900101</v>
      </c>
      <c r="D1558" s="17">
        <v>22991231</v>
      </c>
      <c r="E1558" s="25">
        <v>1450.8</v>
      </c>
    </row>
    <row r="1559" spans="1:5" ht="26" x14ac:dyDescent="0.3">
      <c r="A1559" s="17" t="str">
        <f>"27603"</f>
        <v>27603</v>
      </c>
      <c r="B1559" s="5" t="s">
        <v>1716</v>
      </c>
      <c r="C1559" s="17">
        <v>19900101</v>
      </c>
      <c r="D1559" s="17">
        <v>22991231</v>
      </c>
      <c r="E1559" s="25">
        <v>1105.24</v>
      </c>
    </row>
    <row r="1560" spans="1:5" ht="26" x14ac:dyDescent="0.3">
      <c r="A1560" s="17" t="str">
        <f>"27604"</f>
        <v>27604</v>
      </c>
      <c r="B1560" s="5" t="s">
        <v>1717</v>
      </c>
      <c r="C1560" s="17">
        <v>19900101</v>
      </c>
      <c r="D1560" s="17">
        <v>22991231</v>
      </c>
      <c r="E1560" s="25">
        <v>1450.8</v>
      </c>
    </row>
    <row r="1561" spans="1:5" ht="26" x14ac:dyDescent="0.3">
      <c r="A1561" s="17" t="str">
        <f>"27605"</f>
        <v>27605</v>
      </c>
      <c r="B1561" s="5" t="s">
        <v>1718</v>
      </c>
      <c r="C1561" s="17">
        <v>19900101</v>
      </c>
      <c r="D1561" s="17">
        <v>22991231</v>
      </c>
      <c r="E1561" s="25">
        <v>782.3</v>
      </c>
    </row>
    <row r="1562" spans="1:5" x14ac:dyDescent="0.3">
      <c r="A1562" s="17" t="str">
        <f>"27606"</f>
        <v>27606</v>
      </c>
      <c r="B1562" s="5" t="s">
        <v>1719</v>
      </c>
      <c r="C1562" s="17">
        <v>19900101</v>
      </c>
      <c r="D1562" s="17">
        <v>22991231</v>
      </c>
      <c r="E1562" s="25">
        <v>1450.8</v>
      </c>
    </row>
    <row r="1563" spans="1:5" x14ac:dyDescent="0.3">
      <c r="A1563" s="17" t="str">
        <f>"27607"</f>
        <v>27607</v>
      </c>
      <c r="B1563" s="5" t="s">
        <v>1720</v>
      </c>
      <c r="C1563" s="17">
        <v>19900101</v>
      </c>
      <c r="D1563" s="17">
        <v>22991231</v>
      </c>
      <c r="E1563" s="25">
        <v>1450.8</v>
      </c>
    </row>
    <row r="1564" spans="1:5" ht="26" x14ac:dyDescent="0.3">
      <c r="A1564" s="17" t="str">
        <f>"27610"</f>
        <v>27610</v>
      </c>
      <c r="B1564" s="5" t="s">
        <v>1721</v>
      </c>
      <c r="C1564" s="17">
        <v>19900101</v>
      </c>
      <c r="D1564" s="17">
        <v>22991231</v>
      </c>
      <c r="E1564" s="25">
        <v>1450.8</v>
      </c>
    </row>
    <row r="1565" spans="1:5" x14ac:dyDescent="0.3">
      <c r="A1565" s="17" t="str">
        <f>"27612"</f>
        <v>27612</v>
      </c>
      <c r="B1565" s="5" t="s">
        <v>1722</v>
      </c>
      <c r="C1565" s="17">
        <v>19900101</v>
      </c>
      <c r="D1565" s="17">
        <v>22991231</v>
      </c>
      <c r="E1565" s="25">
        <v>1450.8</v>
      </c>
    </row>
    <row r="1566" spans="1:5" x14ac:dyDescent="0.3">
      <c r="A1566" s="17" t="str">
        <f>"27613"</f>
        <v>27613</v>
      </c>
      <c r="B1566" s="5" t="s">
        <v>1723</v>
      </c>
      <c r="C1566" s="17">
        <v>19900101</v>
      </c>
      <c r="D1566" s="17">
        <v>22991231</v>
      </c>
      <c r="E1566" s="25">
        <v>160.13</v>
      </c>
    </row>
    <row r="1567" spans="1:5" x14ac:dyDescent="0.3">
      <c r="A1567" s="17" t="str">
        <f>"27614"</f>
        <v>27614</v>
      </c>
      <c r="B1567" s="5" t="s">
        <v>1724</v>
      </c>
      <c r="C1567" s="17">
        <v>19900101</v>
      </c>
      <c r="D1567" s="17">
        <v>22991231</v>
      </c>
      <c r="E1567" s="25">
        <v>1105.24</v>
      </c>
    </row>
    <row r="1568" spans="1:5" ht="26" x14ac:dyDescent="0.3">
      <c r="A1568" s="17" t="str">
        <f>"27615"</f>
        <v>27615</v>
      </c>
      <c r="B1568" s="5" t="s">
        <v>1725</v>
      </c>
      <c r="C1568" s="17">
        <v>19970801</v>
      </c>
      <c r="D1568" s="17">
        <v>22991231</v>
      </c>
      <c r="E1568" s="25">
        <v>1105.24</v>
      </c>
    </row>
    <row r="1569" spans="1:5" ht="26" x14ac:dyDescent="0.3">
      <c r="A1569" s="17" t="str">
        <f>"27616"</f>
        <v>27616</v>
      </c>
      <c r="B1569" s="5" t="s">
        <v>1726</v>
      </c>
      <c r="C1569" s="17">
        <v>20100101</v>
      </c>
      <c r="D1569" s="17">
        <v>22991231</v>
      </c>
      <c r="E1569" s="25">
        <v>1105.24</v>
      </c>
    </row>
    <row r="1570" spans="1:5" ht="26" x14ac:dyDescent="0.3">
      <c r="A1570" s="17" t="str">
        <f>"27618"</f>
        <v>27618</v>
      </c>
      <c r="B1570" s="5" t="s">
        <v>1727</v>
      </c>
      <c r="C1570" s="17">
        <v>19900101</v>
      </c>
      <c r="D1570" s="17">
        <v>22991231</v>
      </c>
      <c r="E1570" s="25">
        <v>652.27</v>
      </c>
    </row>
    <row r="1571" spans="1:5" ht="26" x14ac:dyDescent="0.3">
      <c r="A1571" s="17" t="str">
        <f>"27619"</f>
        <v>27619</v>
      </c>
      <c r="B1571" s="5" t="s">
        <v>1728</v>
      </c>
      <c r="C1571" s="17">
        <v>19900101</v>
      </c>
      <c r="D1571" s="17">
        <v>22991231</v>
      </c>
      <c r="E1571" s="25">
        <v>1105.24</v>
      </c>
    </row>
    <row r="1572" spans="1:5" x14ac:dyDescent="0.3">
      <c r="A1572" s="17" t="str">
        <f>"27620"</f>
        <v>27620</v>
      </c>
      <c r="B1572" s="5" t="s">
        <v>1729</v>
      </c>
      <c r="C1572" s="17">
        <v>19900101</v>
      </c>
      <c r="D1572" s="17">
        <v>22991231</v>
      </c>
      <c r="E1572" s="25">
        <v>1450.8</v>
      </c>
    </row>
    <row r="1573" spans="1:5" x14ac:dyDescent="0.3">
      <c r="A1573" s="17" t="str">
        <f>"27625"</f>
        <v>27625</v>
      </c>
      <c r="B1573" s="5" t="s">
        <v>1730</v>
      </c>
      <c r="C1573" s="17">
        <v>19900101</v>
      </c>
      <c r="D1573" s="17">
        <v>22991231</v>
      </c>
      <c r="E1573" s="25">
        <v>1450.8</v>
      </c>
    </row>
    <row r="1574" spans="1:5" ht="26" x14ac:dyDescent="0.3">
      <c r="A1574" s="17" t="str">
        <f>"27626"</f>
        <v>27626</v>
      </c>
      <c r="B1574" s="5" t="s">
        <v>1731</v>
      </c>
      <c r="C1574" s="17">
        <v>19900101</v>
      </c>
      <c r="D1574" s="17">
        <v>22991231</v>
      </c>
      <c r="E1574" s="25">
        <v>1450.8</v>
      </c>
    </row>
    <row r="1575" spans="1:5" ht="26" x14ac:dyDescent="0.3">
      <c r="A1575" s="17" t="str">
        <f>"27630"</f>
        <v>27630</v>
      </c>
      <c r="B1575" s="5" t="s">
        <v>1732</v>
      </c>
      <c r="C1575" s="17">
        <v>19900101</v>
      </c>
      <c r="D1575" s="17">
        <v>22991231</v>
      </c>
      <c r="E1575" s="25">
        <v>1450.8</v>
      </c>
    </row>
    <row r="1576" spans="1:5" ht="26" x14ac:dyDescent="0.3">
      <c r="A1576" s="17" t="str">
        <f>"27632"</f>
        <v>27632</v>
      </c>
      <c r="B1576" s="5" t="s">
        <v>1733</v>
      </c>
      <c r="C1576" s="17">
        <v>20100101</v>
      </c>
      <c r="D1576" s="17">
        <v>22991231</v>
      </c>
      <c r="E1576" s="25">
        <v>1105.24</v>
      </c>
    </row>
    <row r="1577" spans="1:5" ht="26" x14ac:dyDescent="0.3">
      <c r="A1577" s="17" t="str">
        <f>"27634"</f>
        <v>27634</v>
      </c>
      <c r="B1577" s="5" t="s">
        <v>1734</v>
      </c>
      <c r="C1577" s="17">
        <v>20100101</v>
      </c>
      <c r="D1577" s="17">
        <v>22991231</v>
      </c>
      <c r="E1577" s="25">
        <v>1105.24</v>
      </c>
    </row>
    <row r="1578" spans="1:5" x14ac:dyDescent="0.3">
      <c r="A1578" s="17" t="str">
        <f>"27635"</f>
        <v>27635</v>
      </c>
      <c r="B1578" s="5" t="s">
        <v>1735</v>
      </c>
      <c r="C1578" s="17">
        <v>19900101</v>
      </c>
      <c r="D1578" s="17">
        <v>22991231</v>
      </c>
      <c r="E1578" s="25">
        <v>1450.8</v>
      </c>
    </row>
    <row r="1579" spans="1:5" ht="26" x14ac:dyDescent="0.3">
      <c r="A1579" s="17" t="str">
        <f>"27637"</f>
        <v>27637</v>
      </c>
      <c r="B1579" s="5" t="s">
        <v>1736</v>
      </c>
      <c r="C1579" s="17">
        <v>19900101</v>
      </c>
      <c r="D1579" s="17">
        <v>22991231</v>
      </c>
      <c r="E1579" s="25">
        <v>4979.51</v>
      </c>
    </row>
    <row r="1580" spans="1:5" ht="26" x14ac:dyDescent="0.3">
      <c r="A1580" s="17" t="str">
        <f>"27638"</f>
        <v>27638</v>
      </c>
      <c r="B1580" s="5" t="s">
        <v>1737</v>
      </c>
      <c r="C1580" s="17">
        <v>19900101</v>
      </c>
      <c r="D1580" s="17">
        <v>22991231</v>
      </c>
      <c r="E1580" s="25">
        <v>3240.75</v>
      </c>
    </row>
    <row r="1581" spans="1:5" x14ac:dyDescent="0.3">
      <c r="A1581" s="17" t="str">
        <f>"27640"</f>
        <v>27640</v>
      </c>
      <c r="B1581" s="5" t="s">
        <v>1738</v>
      </c>
      <c r="C1581" s="17">
        <v>19900101</v>
      </c>
      <c r="D1581" s="17">
        <v>22991231</v>
      </c>
      <c r="E1581" s="25">
        <v>1450.8</v>
      </c>
    </row>
    <row r="1582" spans="1:5" x14ac:dyDescent="0.3">
      <c r="A1582" s="17" t="str">
        <f>"27641"</f>
        <v>27641</v>
      </c>
      <c r="B1582" s="5" t="s">
        <v>1739</v>
      </c>
      <c r="C1582" s="17">
        <v>19900101</v>
      </c>
      <c r="D1582" s="17">
        <v>22991231</v>
      </c>
      <c r="E1582" s="25">
        <v>1450.8</v>
      </c>
    </row>
    <row r="1583" spans="1:5" x14ac:dyDescent="0.3">
      <c r="A1583" s="17" t="str">
        <f>"27647"</f>
        <v>27647</v>
      </c>
      <c r="B1583" s="5" t="s">
        <v>1740</v>
      </c>
      <c r="C1583" s="17">
        <v>19900101</v>
      </c>
      <c r="D1583" s="17">
        <v>22991231</v>
      </c>
      <c r="E1583" s="25">
        <v>1450.8</v>
      </c>
    </row>
    <row r="1584" spans="1:5" x14ac:dyDescent="0.3">
      <c r="A1584" s="17" t="str">
        <f>"27648"</f>
        <v>27648</v>
      </c>
      <c r="B1584" s="5" t="s">
        <v>1741</v>
      </c>
      <c r="C1584" s="17">
        <v>19900101</v>
      </c>
      <c r="D1584" s="17">
        <v>22991231</v>
      </c>
      <c r="E1584" s="25">
        <v>0</v>
      </c>
    </row>
    <row r="1585" spans="1:5" x14ac:dyDescent="0.3">
      <c r="A1585" s="17" t="str">
        <f>"27650"</f>
        <v>27650</v>
      </c>
      <c r="B1585" s="5" t="s">
        <v>1742</v>
      </c>
      <c r="C1585" s="17">
        <v>19900101</v>
      </c>
      <c r="D1585" s="17">
        <v>22991231</v>
      </c>
      <c r="E1585" s="25">
        <v>3240.75</v>
      </c>
    </row>
    <row r="1586" spans="1:5" x14ac:dyDescent="0.3">
      <c r="A1586" s="17" t="str">
        <f>"27652"</f>
        <v>27652</v>
      </c>
      <c r="B1586" s="5" t="s">
        <v>1743</v>
      </c>
      <c r="C1586" s="17">
        <v>19900101</v>
      </c>
      <c r="D1586" s="17">
        <v>22991231</v>
      </c>
      <c r="E1586" s="25">
        <v>4255.75</v>
      </c>
    </row>
    <row r="1587" spans="1:5" x14ac:dyDescent="0.3">
      <c r="A1587" s="17" t="str">
        <f>"27654"</f>
        <v>27654</v>
      </c>
      <c r="B1587" s="5" t="s">
        <v>1744</v>
      </c>
      <c r="C1587" s="17">
        <v>19900101</v>
      </c>
      <c r="D1587" s="17">
        <v>22991231</v>
      </c>
      <c r="E1587" s="25">
        <v>4081.38</v>
      </c>
    </row>
    <row r="1588" spans="1:5" x14ac:dyDescent="0.3">
      <c r="A1588" s="17" t="str">
        <f>"27656"</f>
        <v>27656</v>
      </c>
      <c r="B1588" s="5" t="s">
        <v>1745</v>
      </c>
      <c r="C1588" s="17">
        <v>19900101</v>
      </c>
      <c r="D1588" s="17">
        <v>22991231</v>
      </c>
      <c r="E1588" s="25">
        <v>2042.97</v>
      </c>
    </row>
    <row r="1589" spans="1:5" x14ac:dyDescent="0.3">
      <c r="A1589" s="17" t="str">
        <f>"27658"</f>
        <v>27658</v>
      </c>
      <c r="B1589" s="5" t="s">
        <v>1746</v>
      </c>
      <c r="C1589" s="17">
        <v>19900101</v>
      </c>
      <c r="D1589" s="17">
        <v>22991231</v>
      </c>
      <c r="E1589" s="25">
        <v>1450.8</v>
      </c>
    </row>
    <row r="1590" spans="1:5" x14ac:dyDescent="0.3">
      <c r="A1590" s="17" t="str">
        <f>"27659"</f>
        <v>27659</v>
      </c>
      <c r="B1590" s="5" t="s">
        <v>1747</v>
      </c>
      <c r="C1590" s="17">
        <v>19900101</v>
      </c>
      <c r="D1590" s="17">
        <v>22991231</v>
      </c>
      <c r="E1590" s="25">
        <v>3240.75</v>
      </c>
    </row>
    <row r="1591" spans="1:5" x14ac:dyDescent="0.3">
      <c r="A1591" s="17" t="str">
        <f>"27664"</f>
        <v>27664</v>
      </c>
      <c r="B1591" s="5" t="s">
        <v>1748</v>
      </c>
      <c r="C1591" s="17">
        <v>19900101</v>
      </c>
      <c r="D1591" s="17">
        <v>22991231</v>
      </c>
      <c r="E1591" s="25">
        <v>3240.75</v>
      </c>
    </row>
    <row r="1592" spans="1:5" x14ac:dyDescent="0.3">
      <c r="A1592" s="17" t="str">
        <f>"27665"</f>
        <v>27665</v>
      </c>
      <c r="B1592" s="5" t="s">
        <v>1749</v>
      </c>
      <c r="C1592" s="17">
        <v>19900101</v>
      </c>
      <c r="D1592" s="17">
        <v>22991231</v>
      </c>
      <c r="E1592" s="25">
        <v>4222.9399999999996</v>
      </c>
    </row>
    <row r="1593" spans="1:5" ht="39" x14ac:dyDescent="0.3">
      <c r="A1593" s="17" t="str">
        <f>"27675"</f>
        <v>27675</v>
      </c>
      <c r="B1593" s="5" t="s">
        <v>1750</v>
      </c>
      <c r="C1593" s="17">
        <v>19900101</v>
      </c>
      <c r="D1593" s="17">
        <v>22991231</v>
      </c>
      <c r="E1593" s="25">
        <v>1450.8</v>
      </c>
    </row>
    <row r="1594" spans="1:5" ht="26" x14ac:dyDescent="0.3">
      <c r="A1594" s="17" t="str">
        <f>"27676"</f>
        <v>27676</v>
      </c>
      <c r="B1594" s="5" t="s">
        <v>1751</v>
      </c>
      <c r="C1594" s="17">
        <v>19900101</v>
      </c>
      <c r="D1594" s="17">
        <v>22991231</v>
      </c>
      <c r="E1594" s="25">
        <v>3240.75</v>
      </c>
    </row>
    <row r="1595" spans="1:5" x14ac:dyDescent="0.3">
      <c r="A1595" s="17" t="str">
        <f>"27680"</f>
        <v>27680</v>
      </c>
      <c r="B1595" s="5" t="s">
        <v>1752</v>
      </c>
      <c r="C1595" s="17">
        <v>19900101</v>
      </c>
      <c r="D1595" s="17">
        <v>22991231</v>
      </c>
      <c r="E1595" s="25">
        <v>1450.8</v>
      </c>
    </row>
    <row r="1596" spans="1:5" x14ac:dyDescent="0.3">
      <c r="A1596" s="17" t="str">
        <f>"27681"</f>
        <v>27681</v>
      </c>
      <c r="B1596" s="5" t="s">
        <v>1753</v>
      </c>
      <c r="C1596" s="17">
        <v>19900101</v>
      </c>
      <c r="D1596" s="17">
        <v>22991231</v>
      </c>
      <c r="E1596" s="25">
        <v>1450.8</v>
      </c>
    </row>
    <row r="1597" spans="1:5" ht="26" x14ac:dyDescent="0.3">
      <c r="A1597" s="17" t="str">
        <f>"27685"</f>
        <v>27685</v>
      </c>
      <c r="B1597" s="5" t="s">
        <v>1754</v>
      </c>
      <c r="C1597" s="17">
        <v>19900101</v>
      </c>
      <c r="D1597" s="17">
        <v>22991231</v>
      </c>
      <c r="E1597" s="25">
        <v>1450.8</v>
      </c>
    </row>
    <row r="1598" spans="1:5" ht="26" x14ac:dyDescent="0.3">
      <c r="A1598" s="17" t="str">
        <f>"27686"</f>
        <v>27686</v>
      </c>
      <c r="B1598" s="5" t="s">
        <v>1755</v>
      </c>
      <c r="C1598" s="17">
        <v>19900101</v>
      </c>
      <c r="D1598" s="17">
        <v>22991231</v>
      </c>
      <c r="E1598" s="25">
        <v>1450.8</v>
      </c>
    </row>
    <row r="1599" spans="1:5" x14ac:dyDescent="0.3">
      <c r="A1599" s="17" t="str">
        <f>"27687"</f>
        <v>27687</v>
      </c>
      <c r="B1599" s="5" t="s">
        <v>1756</v>
      </c>
      <c r="C1599" s="17">
        <v>19900101</v>
      </c>
      <c r="D1599" s="17">
        <v>22991231</v>
      </c>
      <c r="E1599" s="25">
        <v>1450.8</v>
      </c>
    </row>
    <row r="1600" spans="1:5" ht="26" x14ac:dyDescent="0.3">
      <c r="A1600" s="17" t="str">
        <f>"27690"</f>
        <v>27690</v>
      </c>
      <c r="B1600" s="5" t="s">
        <v>1757</v>
      </c>
      <c r="C1600" s="17">
        <v>19900101</v>
      </c>
      <c r="D1600" s="17">
        <v>22991231</v>
      </c>
      <c r="E1600" s="25">
        <v>3240.75</v>
      </c>
    </row>
    <row r="1601" spans="1:5" ht="26" x14ac:dyDescent="0.3">
      <c r="A1601" s="17" t="str">
        <f>"27691"</f>
        <v>27691</v>
      </c>
      <c r="B1601" s="5" t="s">
        <v>1758</v>
      </c>
      <c r="C1601" s="17">
        <v>19900101</v>
      </c>
      <c r="D1601" s="17">
        <v>22991231</v>
      </c>
      <c r="E1601" s="25">
        <v>3240.75</v>
      </c>
    </row>
    <row r="1602" spans="1:5" ht="26" x14ac:dyDescent="0.3">
      <c r="A1602" s="17" t="str">
        <f>"27692"</f>
        <v>27692</v>
      </c>
      <c r="B1602" s="5" t="s">
        <v>1759</v>
      </c>
      <c r="C1602" s="17">
        <v>19900101</v>
      </c>
      <c r="D1602" s="17">
        <v>22991231</v>
      </c>
      <c r="E1602" s="25">
        <v>0</v>
      </c>
    </row>
    <row r="1603" spans="1:5" x14ac:dyDescent="0.3">
      <c r="A1603" s="17" t="str">
        <f>"27695"</f>
        <v>27695</v>
      </c>
      <c r="B1603" s="5" t="s">
        <v>1760</v>
      </c>
      <c r="C1603" s="17">
        <v>19900101</v>
      </c>
      <c r="D1603" s="17">
        <v>22991231</v>
      </c>
      <c r="E1603" s="25">
        <v>4239.76</v>
      </c>
    </row>
    <row r="1604" spans="1:5" ht="26" x14ac:dyDescent="0.3">
      <c r="A1604" s="17" t="str">
        <f>"27696"</f>
        <v>27696</v>
      </c>
      <c r="B1604" s="5" t="s">
        <v>1761</v>
      </c>
      <c r="C1604" s="17">
        <v>19900101</v>
      </c>
      <c r="D1604" s="17">
        <v>22991231</v>
      </c>
      <c r="E1604" s="25">
        <v>4632.41</v>
      </c>
    </row>
    <row r="1605" spans="1:5" ht="26" x14ac:dyDescent="0.3">
      <c r="A1605" s="17" t="str">
        <f>"27698"</f>
        <v>27698</v>
      </c>
      <c r="B1605" s="5" t="s">
        <v>1762</v>
      </c>
      <c r="C1605" s="17">
        <v>19900101</v>
      </c>
      <c r="D1605" s="17">
        <v>22991231</v>
      </c>
      <c r="E1605" s="25">
        <v>4135.8999999999996</v>
      </c>
    </row>
    <row r="1606" spans="1:5" x14ac:dyDescent="0.3">
      <c r="A1606" s="17" t="str">
        <f>"27700"</f>
        <v>27700</v>
      </c>
      <c r="B1606" s="5" t="s">
        <v>1763</v>
      </c>
      <c r="C1606" s="17">
        <v>19900101</v>
      </c>
      <c r="D1606" s="17">
        <v>22991231</v>
      </c>
      <c r="E1606" s="25">
        <v>4953.75</v>
      </c>
    </row>
    <row r="1607" spans="1:5" x14ac:dyDescent="0.3">
      <c r="A1607" s="17" t="str">
        <f>"27702"</f>
        <v>27702</v>
      </c>
      <c r="B1607" s="5" t="s">
        <v>1764</v>
      </c>
      <c r="C1607" s="17">
        <v>20240101</v>
      </c>
      <c r="D1607" s="17">
        <v>22991231</v>
      </c>
      <c r="E1607" s="25">
        <v>13806.63</v>
      </c>
    </row>
    <row r="1608" spans="1:5" x14ac:dyDescent="0.3">
      <c r="A1608" s="17" t="str">
        <f>"27704"</f>
        <v>27704</v>
      </c>
      <c r="B1608" s="5" t="s">
        <v>1765</v>
      </c>
      <c r="C1608" s="17">
        <v>19900101</v>
      </c>
      <c r="D1608" s="17">
        <v>22991231</v>
      </c>
      <c r="E1608" s="25">
        <v>1450.8</v>
      </c>
    </row>
    <row r="1609" spans="1:5" x14ac:dyDescent="0.3">
      <c r="A1609" s="17" t="str">
        <f>"27705"</f>
        <v>27705</v>
      </c>
      <c r="B1609" s="5" t="s">
        <v>1766</v>
      </c>
      <c r="C1609" s="17">
        <v>19900101</v>
      </c>
      <c r="D1609" s="17">
        <v>22991231</v>
      </c>
      <c r="E1609" s="25">
        <v>4081.38</v>
      </c>
    </row>
    <row r="1610" spans="1:5" x14ac:dyDescent="0.3">
      <c r="A1610" s="17" t="str">
        <f>"27707"</f>
        <v>27707</v>
      </c>
      <c r="B1610" s="5" t="s">
        <v>1767</v>
      </c>
      <c r="C1610" s="17">
        <v>19900101</v>
      </c>
      <c r="D1610" s="17">
        <v>22991231</v>
      </c>
      <c r="E1610" s="25">
        <v>1450.8</v>
      </c>
    </row>
    <row r="1611" spans="1:5" ht="26" x14ac:dyDescent="0.3">
      <c r="A1611" s="17" t="str">
        <f>"27709"</f>
        <v>27709</v>
      </c>
      <c r="B1611" s="5" t="s">
        <v>1768</v>
      </c>
      <c r="C1611" s="17">
        <v>19900101</v>
      </c>
      <c r="D1611" s="17">
        <v>22991231</v>
      </c>
      <c r="E1611" s="25">
        <v>8055.85</v>
      </c>
    </row>
    <row r="1612" spans="1:5" x14ac:dyDescent="0.3">
      <c r="A1612" s="17" t="str">
        <f>"27720"</f>
        <v>27720</v>
      </c>
      <c r="B1612" s="5" t="s">
        <v>1769</v>
      </c>
      <c r="C1612" s="17">
        <v>19900101</v>
      </c>
      <c r="D1612" s="17">
        <v>22991231</v>
      </c>
      <c r="E1612" s="25">
        <v>4348.76</v>
      </c>
    </row>
    <row r="1613" spans="1:5" ht="26" x14ac:dyDescent="0.3">
      <c r="A1613" s="17" t="str">
        <f>"27722"</f>
        <v>27722</v>
      </c>
      <c r="B1613" s="5" t="s">
        <v>1770</v>
      </c>
      <c r="C1613" s="17">
        <v>19900101</v>
      </c>
      <c r="D1613" s="17">
        <v>22991231</v>
      </c>
      <c r="E1613" s="24" t="s">
        <v>7128</v>
      </c>
    </row>
    <row r="1614" spans="1:5" ht="26" x14ac:dyDescent="0.3">
      <c r="A1614" s="17" t="str">
        <f>"27726"</f>
        <v>27726</v>
      </c>
      <c r="B1614" s="5" t="s">
        <v>1771</v>
      </c>
      <c r="C1614" s="17">
        <v>20080101</v>
      </c>
      <c r="D1614" s="17">
        <v>22991231</v>
      </c>
      <c r="E1614" s="25">
        <v>4369.1000000000004</v>
      </c>
    </row>
    <row r="1615" spans="1:5" ht="26" x14ac:dyDescent="0.3">
      <c r="A1615" s="17" t="str">
        <f>"27730"</f>
        <v>27730</v>
      </c>
      <c r="B1615" s="5" t="s">
        <v>1772</v>
      </c>
      <c r="C1615" s="17">
        <v>19900101</v>
      </c>
      <c r="D1615" s="17">
        <v>22991231</v>
      </c>
      <c r="E1615" s="25">
        <v>1827.13</v>
      </c>
    </row>
    <row r="1616" spans="1:5" x14ac:dyDescent="0.3">
      <c r="A1616" s="17" t="str">
        <f>"27732"</f>
        <v>27732</v>
      </c>
      <c r="B1616" s="5" t="s">
        <v>1773</v>
      </c>
      <c r="C1616" s="17">
        <v>19900101</v>
      </c>
      <c r="D1616" s="17">
        <v>22991231</v>
      </c>
      <c r="E1616" s="25">
        <v>1450.8</v>
      </c>
    </row>
    <row r="1617" spans="1:5" ht="26" x14ac:dyDescent="0.3">
      <c r="A1617" s="17" t="str">
        <f>"27734"</f>
        <v>27734</v>
      </c>
      <c r="B1617" s="5" t="s">
        <v>1774</v>
      </c>
      <c r="C1617" s="17">
        <v>19900101</v>
      </c>
      <c r="D1617" s="17">
        <v>22991231</v>
      </c>
      <c r="E1617" s="25">
        <v>1450.8</v>
      </c>
    </row>
    <row r="1618" spans="1:5" ht="26" x14ac:dyDescent="0.3">
      <c r="A1618" s="17" t="str">
        <f>"27740"</f>
        <v>27740</v>
      </c>
      <c r="B1618" s="5" t="s">
        <v>1775</v>
      </c>
      <c r="C1618" s="17">
        <v>19900101</v>
      </c>
      <c r="D1618" s="17">
        <v>22991231</v>
      </c>
      <c r="E1618" s="25">
        <v>1450.8</v>
      </c>
    </row>
    <row r="1619" spans="1:5" ht="26" x14ac:dyDescent="0.3">
      <c r="A1619" s="17" t="str">
        <f>"27742"</f>
        <v>27742</v>
      </c>
      <c r="B1619" s="5" t="s">
        <v>1776</v>
      </c>
      <c r="C1619" s="17">
        <v>19900101</v>
      </c>
      <c r="D1619" s="17">
        <v>22991231</v>
      </c>
      <c r="E1619" s="25">
        <v>1450.8</v>
      </c>
    </row>
    <row r="1620" spans="1:5" x14ac:dyDescent="0.3">
      <c r="A1620" s="17" t="str">
        <f>"27745"</f>
        <v>27745</v>
      </c>
      <c r="B1620" s="5" t="s">
        <v>1777</v>
      </c>
      <c r="C1620" s="17">
        <v>19900101</v>
      </c>
      <c r="D1620" s="17">
        <v>22991231</v>
      </c>
      <c r="E1620" s="25">
        <v>4568.42</v>
      </c>
    </row>
    <row r="1621" spans="1:5" ht="26" x14ac:dyDescent="0.3">
      <c r="A1621" s="17" t="str">
        <f>"27750"</f>
        <v>27750</v>
      </c>
      <c r="B1621" s="5" t="s">
        <v>1778</v>
      </c>
      <c r="C1621" s="17">
        <v>19900101</v>
      </c>
      <c r="D1621" s="17">
        <v>22991231</v>
      </c>
      <c r="E1621" s="25">
        <v>116.84</v>
      </c>
    </row>
    <row r="1622" spans="1:5" ht="26" x14ac:dyDescent="0.3">
      <c r="A1622" s="17" t="str">
        <f>"27752"</f>
        <v>27752</v>
      </c>
      <c r="B1622" s="5" t="s">
        <v>1779</v>
      </c>
      <c r="C1622" s="17">
        <v>19900101</v>
      </c>
      <c r="D1622" s="17">
        <v>22991231</v>
      </c>
      <c r="E1622" s="25">
        <v>782.3</v>
      </c>
    </row>
    <row r="1623" spans="1:5" ht="26" x14ac:dyDescent="0.3">
      <c r="A1623" s="17" t="str">
        <f>"27756"</f>
        <v>27756</v>
      </c>
      <c r="B1623" s="5" t="s">
        <v>1780</v>
      </c>
      <c r="C1623" s="17">
        <v>19900101</v>
      </c>
      <c r="D1623" s="17">
        <v>22991231</v>
      </c>
      <c r="E1623" s="25">
        <v>4390.53</v>
      </c>
    </row>
    <row r="1624" spans="1:5" ht="26" x14ac:dyDescent="0.3">
      <c r="A1624" s="17" t="str">
        <f>"27758"</f>
        <v>27758</v>
      </c>
      <c r="B1624" s="5" t="s">
        <v>1781</v>
      </c>
      <c r="C1624" s="17">
        <v>19900101</v>
      </c>
      <c r="D1624" s="17">
        <v>22991231</v>
      </c>
      <c r="E1624" s="25">
        <v>8423.68</v>
      </c>
    </row>
    <row r="1625" spans="1:5" x14ac:dyDescent="0.3">
      <c r="A1625" s="17" t="str">
        <f>"27759"</f>
        <v>27759</v>
      </c>
      <c r="B1625" s="5" t="s">
        <v>1782</v>
      </c>
      <c r="C1625" s="17">
        <v>19930101</v>
      </c>
      <c r="D1625" s="17">
        <v>22991231</v>
      </c>
      <c r="E1625" s="25">
        <v>8173.78</v>
      </c>
    </row>
    <row r="1626" spans="1:5" ht="26" x14ac:dyDescent="0.3">
      <c r="A1626" s="17" t="str">
        <f>"27760"</f>
        <v>27760</v>
      </c>
      <c r="B1626" s="5" t="s">
        <v>1783</v>
      </c>
      <c r="C1626" s="17">
        <v>19900101</v>
      </c>
      <c r="D1626" s="17">
        <v>22991231</v>
      </c>
      <c r="E1626" s="25">
        <v>116.84</v>
      </c>
    </row>
    <row r="1627" spans="1:5" ht="26" x14ac:dyDescent="0.3">
      <c r="A1627" s="17" t="str">
        <f>"27762"</f>
        <v>27762</v>
      </c>
      <c r="B1627" s="5" t="s">
        <v>1784</v>
      </c>
      <c r="C1627" s="17">
        <v>19900101</v>
      </c>
      <c r="D1627" s="17">
        <v>22991231</v>
      </c>
      <c r="E1627" s="25">
        <v>782.3</v>
      </c>
    </row>
    <row r="1628" spans="1:5" ht="26" x14ac:dyDescent="0.3">
      <c r="A1628" s="17" t="str">
        <f>"27766"</f>
        <v>27766</v>
      </c>
      <c r="B1628" s="5" t="s">
        <v>1785</v>
      </c>
      <c r="C1628" s="17">
        <v>19900101</v>
      </c>
      <c r="D1628" s="17">
        <v>22991231</v>
      </c>
      <c r="E1628" s="25">
        <v>3240.75</v>
      </c>
    </row>
    <row r="1629" spans="1:5" ht="26" x14ac:dyDescent="0.3">
      <c r="A1629" s="17" t="str">
        <f>"27767"</f>
        <v>27767</v>
      </c>
      <c r="B1629" s="5" t="s">
        <v>1786</v>
      </c>
      <c r="C1629" s="17">
        <v>20080101</v>
      </c>
      <c r="D1629" s="17">
        <v>22991231</v>
      </c>
      <c r="E1629" s="25">
        <v>116.84</v>
      </c>
    </row>
    <row r="1630" spans="1:5" ht="26" x14ac:dyDescent="0.3">
      <c r="A1630" s="17" t="str">
        <f>"27768"</f>
        <v>27768</v>
      </c>
      <c r="B1630" s="5" t="s">
        <v>1787</v>
      </c>
      <c r="C1630" s="17">
        <v>20080101</v>
      </c>
      <c r="D1630" s="17">
        <v>22991231</v>
      </c>
      <c r="E1630" s="25">
        <v>782.3</v>
      </c>
    </row>
    <row r="1631" spans="1:5" ht="26" x14ac:dyDescent="0.3">
      <c r="A1631" s="17" t="str">
        <f>"27769"</f>
        <v>27769</v>
      </c>
      <c r="B1631" s="5" t="s">
        <v>1788</v>
      </c>
      <c r="C1631" s="17">
        <v>20080101</v>
      </c>
      <c r="D1631" s="17">
        <v>22991231</v>
      </c>
      <c r="E1631" s="25">
        <v>3240.75</v>
      </c>
    </row>
    <row r="1632" spans="1:5" ht="26" x14ac:dyDescent="0.3">
      <c r="A1632" s="17" t="str">
        <f>"27780"</f>
        <v>27780</v>
      </c>
      <c r="B1632" s="5" t="s">
        <v>1789</v>
      </c>
      <c r="C1632" s="17">
        <v>19900101</v>
      </c>
      <c r="D1632" s="17">
        <v>22991231</v>
      </c>
      <c r="E1632" s="25">
        <v>116.84</v>
      </c>
    </row>
    <row r="1633" spans="1:5" ht="26" x14ac:dyDescent="0.3">
      <c r="A1633" s="17" t="str">
        <f>"27781"</f>
        <v>27781</v>
      </c>
      <c r="B1633" s="5" t="s">
        <v>1790</v>
      </c>
      <c r="C1633" s="17">
        <v>19900101</v>
      </c>
      <c r="D1633" s="17">
        <v>22991231</v>
      </c>
      <c r="E1633" s="25">
        <v>782.3</v>
      </c>
    </row>
    <row r="1634" spans="1:5" ht="26" x14ac:dyDescent="0.3">
      <c r="A1634" s="17" t="str">
        <f>"27784"</f>
        <v>27784</v>
      </c>
      <c r="B1634" s="5" t="s">
        <v>1791</v>
      </c>
      <c r="C1634" s="17">
        <v>19900101</v>
      </c>
      <c r="D1634" s="17">
        <v>22991231</v>
      </c>
      <c r="E1634" s="25">
        <v>3240.75</v>
      </c>
    </row>
    <row r="1635" spans="1:5" ht="26" x14ac:dyDescent="0.3">
      <c r="A1635" s="17" t="str">
        <f>"27786"</f>
        <v>27786</v>
      </c>
      <c r="B1635" s="5" t="s">
        <v>1792</v>
      </c>
      <c r="C1635" s="17">
        <v>19900101</v>
      </c>
      <c r="D1635" s="17">
        <v>22991231</v>
      </c>
      <c r="E1635" s="25">
        <v>116.84</v>
      </c>
    </row>
    <row r="1636" spans="1:5" ht="26" x14ac:dyDescent="0.3">
      <c r="A1636" s="17" t="str">
        <f>"27788"</f>
        <v>27788</v>
      </c>
      <c r="B1636" s="5" t="s">
        <v>1793</v>
      </c>
      <c r="C1636" s="17">
        <v>19900101</v>
      </c>
      <c r="D1636" s="17">
        <v>22991231</v>
      </c>
      <c r="E1636" s="25">
        <v>116.84</v>
      </c>
    </row>
    <row r="1637" spans="1:5" ht="26" x14ac:dyDescent="0.3">
      <c r="A1637" s="17" t="str">
        <f>"27792"</f>
        <v>27792</v>
      </c>
      <c r="B1637" s="5" t="s">
        <v>1794</v>
      </c>
      <c r="C1637" s="17">
        <v>19900101</v>
      </c>
      <c r="D1637" s="17">
        <v>22991231</v>
      </c>
      <c r="E1637" s="25">
        <v>4148.8999999999996</v>
      </c>
    </row>
    <row r="1638" spans="1:5" ht="26" x14ac:dyDescent="0.3">
      <c r="A1638" s="17" t="str">
        <f>"27808"</f>
        <v>27808</v>
      </c>
      <c r="B1638" s="5" t="s">
        <v>1795</v>
      </c>
      <c r="C1638" s="17">
        <v>19900101</v>
      </c>
      <c r="D1638" s="17">
        <v>22991231</v>
      </c>
      <c r="E1638" s="25">
        <v>116.84</v>
      </c>
    </row>
    <row r="1639" spans="1:5" ht="26" x14ac:dyDescent="0.3">
      <c r="A1639" s="17" t="str">
        <f>"27810"</f>
        <v>27810</v>
      </c>
      <c r="B1639" s="5" t="s">
        <v>1796</v>
      </c>
      <c r="C1639" s="17">
        <v>19900101</v>
      </c>
      <c r="D1639" s="17">
        <v>22991231</v>
      </c>
      <c r="E1639" s="25">
        <v>782.3</v>
      </c>
    </row>
    <row r="1640" spans="1:5" ht="26" x14ac:dyDescent="0.3">
      <c r="A1640" s="17" t="str">
        <f>"27814"</f>
        <v>27814</v>
      </c>
      <c r="B1640" s="5" t="s">
        <v>1797</v>
      </c>
      <c r="C1640" s="17">
        <v>19900101</v>
      </c>
      <c r="D1640" s="17">
        <v>22991231</v>
      </c>
      <c r="E1640" s="25">
        <v>4186.33</v>
      </c>
    </row>
    <row r="1641" spans="1:5" ht="26" x14ac:dyDescent="0.3">
      <c r="A1641" s="17" t="str">
        <f>"27816"</f>
        <v>27816</v>
      </c>
      <c r="B1641" s="5" t="s">
        <v>1798</v>
      </c>
      <c r="C1641" s="17">
        <v>19900101</v>
      </c>
      <c r="D1641" s="17">
        <v>22991231</v>
      </c>
      <c r="E1641" s="25">
        <v>116.84</v>
      </c>
    </row>
    <row r="1642" spans="1:5" ht="26" x14ac:dyDescent="0.3">
      <c r="A1642" s="17" t="str">
        <f>"27818"</f>
        <v>27818</v>
      </c>
      <c r="B1642" s="5" t="s">
        <v>1799</v>
      </c>
      <c r="C1642" s="17">
        <v>19900101</v>
      </c>
      <c r="D1642" s="17">
        <v>22991231</v>
      </c>
      <c r="E1642" s="25">
        <v>782.3</v>
      </c>
    </row>
    <row r="1643" spans="1:5" x14ac:dyDescent="0.3">
      <c r="A1643" s="17" t="str">
        <f>"27822"</f>
        <v>27822</v>
      </c>
      <c r="B1643" s="5" t="s">
        <v>1800</v>
      </c>
      <c r="C1643" s="17">
        <v>19900101</v>
      </c>
      <c r="D1643" s="17">
        <v>22991231</v>
      </c>
      <c r="E1643" s="25">
        <v>4215.08</v>
      </c>
    </row>
    <row r="1644" spans="1:5" ht="26" x14ac:dyDescent="0.3">
      <c r="A1644" s="17" t="str">
        <f>"27823"</f>
        <v>27823</v>
      </c>
      <c r="B1644" s="5" t="s">
        <v>1801</v>
      </c>
      <c r="C1644" s="17">
        <v>19900101</v>
      </c>
      <c r="D1644" s="17">
        <v>22991231</v>
      </c>
      <c r="E1644" s="25">
        <v>4188.5</v>
      </c>
    </row>
    <row r="1645" spans="1:5" ht="26" x14ac:dyDescent="0.3">
      <c r="A1645" s="17" t="str">
        <f>"27824"</f>
        <v>27824</v>
      </c>
      <c r="B1645" s="5" t="s">
        <v>1802</v>
      </c>
      <c r="C1645" s="17">
        <v>19930101</v>
      </c>
      <c r="D1645" s="17">
        <v>22991231</v>
      </c>
      <c r="E1645" s="25">
        <v>116.84</v>
      </c>
    </row>
    <row r="1646" spans="1:5" ht="39" x14ac:dyDescent="0.3">
      <c r="A1646" s="17" t="str">
        <f>"27825"</f>
        <v>27825</v>
      </c>
      <c r="B1646" s="5" t="s">
        <v>1803</v>
      </c>
      <c r="C1646" s="17">
        <v>20230101</v>
      </c>
      <c r="D1646" s="17">
        <v>22991231</v>
      </c>
      <c r="E1646" s="25">
        <v>782.3</v>
      </c>
    </row>
    <row r="1647" spans="1:5" ht="26" x14ac:dyDescent="0.3">
      <c r="A1647" s="17" t="str">
        <f>"27826"</f>
        <v>27826</v>
      </c>
      <c r="B1647" s="5" t="s">
        <v>1804</v>
      </c>
      <c r="C1647" s="17">
        <v>19970801</v>
      </c>
      <c r="D1647" s="17">
        <v>22991231</v>
      </c>
      <c r="E1647" s="25">
        <v>4240.29</v>
      </c>
    </row>
    <row r="1648" spans="1:5" ht="26" x14ac:dyDescent="0.3">
      <c r="A1648" s="17" t="str">
        <f>"27827"</f>
        <v>27827</v>
      </c>
      <c r="B1648" s="5" t="s">
        <v>1805</v>
      </c>
      <c r="C1648" s="17">
        <v>19970801</v>
      </c>
      <c r="D1648" s="17">
        <v>22991231</v>
      </c>
      <c r="E1648" s="25">
        <v>8357.7000000000007</v>
      </c>
    </row>
    <row r="1649" spans="1:5" ht="26" x14ac:dyDescent="0.3">
      <c r="A1649" s="17" t="str">
        <f>"27828"</f>
        <v>27828</v>
      </c>
      <c r="B1649" s="5" t="s">
        <v>1806</v>
      </c>
      <c r="C1649" s="17">
        <v>19970801</v>
      </c>
      <c r="D1649" s="17">
        <v>22991231</v>
      </c>
      <c r="E1649" s="25">
        <v>8267.82</v>
      </c>
    </row>
    <row r="1650" spans="1:5" x14ac:dyDescent="0.3">
      <c r="A1650" s="17" t="str">
        <f>"27829"</f>
        <v>27829</v>
      </c>
      <c r="B1650" s="5" t="s">
        <v>1807</v>
      </c>
      <c r="C1650" s="17">
        <v>20040101</v>
      </c>
      <c r="D1650" s="17">
        <v>22991231</v>
      </c>
      <c r="E1650" s="25">
        <v>4345.24</v>
      </c>
    </row>
    <row r="1651" spans="1:5" x14ac:dyDescent="0.3">
      <c r="A1651" s="17" t="str">
        <f>"27830"</f>
        <v>27830</v>
      </c>
      <c r="B1651" s="5" t="s">
        <v>1808</v>
      </c>
      <c r="C1651" s="17">
        <v>19900101</v>
      </c>
      <c r="D1651" s="17">
        <v>22991231</v>
      </c>
      <c r="E1651" s="25">
        <v>116.84</v>
      </c>
    </row>
    <row r="1652" spans="1:5" ht="26" x14ac:dyDescent="0.3">
      <c r="A1652" s="17" t="str">
        <f>"27831"</f>
        <v>27831</v>
      </c>
      <c r="B1652" s="5" t="s">
        <v>1809</v>
      </c>
      <c r="C1652" s="17">
        <v>19900101</v>
      </c>
      <c r="D1652" s="17">
        <v>22991231</v>
      </c>
      <c r="E1652" s="25">
        <v>1450.8</v>
      </c>
    </row>
    <row r="1653" spans="1:5" x14ac:dyDescent="0.3">
      <c r="A1653" s="17" t="str">
        <f>"27832"</f>
        <v>27832</v>
      </c>
      <c r="B1653" s="5" t="s">
        <v>1810</v>
      </c>
      <c r="C1653" s="17">
        <v>19900101</v>
      </c>
      <c r="D1653" s="17">
        <v>22991231</v>
      </c>
      <c r="E1653" s="25">
        <v>4307</v>
      </c>
    </row>
    <row r="1654" spans="1:5" x14ac:dyDescent="0.3">
      <c r="A1654" s="17" t="str">
        <f>"27840"</f>
        <v>27840</v>
      </c>
      <c r="B1654" s="5" t="s">
        <v>1811</v>
      </c>
      <c r="C1654" s="17">
        <v>19900101</v>
      </c>
      <c r="D1654" s="17">
        <v>22991231</v>
      </c>
      <c r="E1654" s="25">
        <v>116.84</v>
      </c>
    </row>
    <row r="1655" spans="1:5" ht="26" x14ac:dyDescent="0.3">
      <c r="A1655" s="17" t="str">
        <f>"27842"</f>
        <v>27842</v>
      </c>
      <c r="B1655" s="5" t="s">
        <v>1812</v>
      </c>
      <c r="C1655" s="17">
        <v>19900101</v>
      </c>
      <c r="D1655" s="17">
        <v>22991231</v>
      </c>
      <c r="E1655" s="25">
        <v>782.3</v>
      </c>
    </row>
    <row r="1656" spans="1:5" x14ac:dyDescent="0.3">
      <c r="A1656" s="17" t="str">
        <f>"27846"</f>
        <v>27846</v>
      </c>
      <c r="B1656" s="5" t="s">
        <v>1813</v>
      </c>
      <c r="C1656" s="17">
        <v>19900101</v>
      </c>
      <c r="D1656" s="17">
        <v>22991231</v>
      </c>
      <c r="E1656" s="25">
        <v>3240.75</v>
      </c>
    </row>
    <row r="1657" spans="1:5" ht="26" x14ac:dyDescent="0.3">
      <c r="A1657" s="17" t="str">
        <f>"27848"</f>
        <v>27848</v>
      </c>
      <c r="B1657" s="5" t="s">
        <v>1814</v>
      </c>
      <c r="C1657" s="17">
        <v>19900101</v>
      </c>
      <c r="D1657" s="17">
        <v>22991231</v>
      </c>
      <c r="E1657" s="25">
        <v>4081.38</v>
      </c>
    </row>
    <row r="1658" spans="1:5" x14ac:dyDescent="0.3">
      <c r="A1658" s="17" t="str">
        <f>"27860"</f>
        <v>27860</v>
      </c>
      <c r="B1658" s="5" t="s">
        <v>1815</v>
      </c>
      <c r="C1658" s="17">
        <v>19900101</v>
      </c>
      <c r="D1658" s="17">
        <v>22991231</v>
      </c>
      <c r="E1658" s="25">
        <v>1450.8</v>
      </c>
    </row>
    <row r="1659" spans="1:5" x14ac:dyDescent="0.3">
      <c r="A1659" s="17" t="str">
        <f>"27870"</f>
        <v>27870</v>
      </c>
      <c r="B1659" s="5" t="s">
        <v>1816</v>
      </c>
      <c r="C1659" s="17">
        <v>19900101</v>
      </c>
      <c r="D1659" s="17">
        <v>22991231</v>
      </c>
      <c r="E1659" s="25">
        <v>8876.7199999999993</v>
      </c>
    </row>
    <row r="1660" spans="1:5" x14ac:dyDescent="0.3">
      <c r="A1660" s="17" t="str">
        <f>"27871"</f>
        <v>27871</v>
      </c>
      <c r="B1660" s="5" t="s">
        <v>1817</v>
      </c>
      <c r="C1660" s="17">
        <v>19900101</v>
      </c>
      <c r="D1660" s="17">
        <v>22991231</v>
      </c>
      <c r="E1660" s="25">
        <v>7824.13</v>
      </c>
    </row>
    <row r="1661" spans="1:5" ht="26" x14ac:dyDescent="0.3">
      <c r="A1661" s="17" t="str">
        <f>"27884"</f>
        <v>27884</v>
      </c>
      <c r="B1661" s="5" t="s">
        <v>1818</v>
      </c>
      <c r="C1661" s="17">
        <v>19900101</v>
      </c>
      <c r="D1661" s="17">
        <v>22991231</v>
      </c>
      <c r="E1661" s="25">
        <v>1450.8</v>
      </c>
    </row>
    <row r="1662" spans="1:5" x14ac:dyDescent="0.3">
      <c r="A1662" s="17" t="str">
        <f>"27886"</f>
        <v>27886</v>
      </c>
      <c r="B1662" s="5" t="s">
        <v>1819</v>
      </c>
      <c r="C1662" s="17">
        <v>19900101</v>
      </c>
      <c r="D1662" s="17">
        <v>22991231</v>
      </c>
      <c r="E1662" s="24" t="s">
        <v>7128</v>
      </c>
    </row>
    <row r="1663" spans="1:5" x14ac:dyDescent="0.3">
      <c r="A1663" s="17" t="str">
        <f>"27889"</f>
        <v>27889</v>
      </c>
      <c r="B1663" s="5" t="s">
        <v>1820</v>
      </c>
      <c r="C1663" s="17">
        <v>19900101</v>
      </c>
      <c r="D1663" s="17">
        <v>22991231</v>
      </c>
      <c r="E1663" s="25">
        <v>3240.75</v>
      </c>
    </row>
    <row r="1664" spans="1:5" ht="39" x14ac:dyDescent="0.3">
      <c r="A1664" s="17" t="str">
        <f>"27892"</f>
        <v>27892</v>
      </c>
      <c r="B1664" s="5" t="s">
        <v>1821</v>
      </c>
      <c r="C1664" s="17">
        <v>19930101</v>
      </c>
      <c r="D1664" s="17">
        <v>22991231</v>
      </c>
      <c r="E1664" s="25">
        <v>1450.8</v>
      </c>
    </row>
    <row r="1665" spans="1:5" ht="39" x14ac:dyDescent="0.3">
      <c r="A1665" s="17" t="str">
        <f>"27893"</f>
        <v>27893</v>
      </c>
      <c r="B1665" s="5" t="s">
        <v>1822</v>
      </c>
      <c r="C1665" s="17">
        <v>19930101</v>
      </c>
      <c r="D1665" s="17">
        <v>22991231</v>
      </c>
      <c r="E1665" s="25">
        <v>3240.75</v>
      </c>
    </row>
    <row r="1666" spans="1:5" ht="39" x14ac:dyDescent="0.3">
      <c r="A1666" s="17" t="str">
        <f>"27894"</f>
        <v>27894</v>
      </c>
      <c r="B1666" s="5" t="s">
        <v>1823</v>
      </c>
      <c r="C1666" s="17">
        <v>19930101</v>
      </c>
      <c r="D1666" s="17">
        <v>22991231</v>
      </c>
      <c r="E1666" s="25">
        <v>1450.8</v>
      </c>
    </row>
    <row r="1667" spans="1:5" x14ac:dyDescent="0.3">
      <c r="A1667" s="17" t="str">
        <f>"28001"</f>
        <v>28001</v>
      </c>
      <c r="B1667" s="5" t="s">
        <v>1824</v>
      </c>
      <c r="C1667" s="17">
        <v>19900101</v>
      </c>
      <c r="D1667" s="17">
        <v>22991231</v>
      </c>
      <c r="E1667" s="25">
        <v>92.57</v>
      </c>
    </row>
    <row r="1668" spans="1:5" ht="26" x14ac:dyDescent="0.3">
      <c r="A1668" s="17" t="str">
        <f>"28002"</f>
        <v>28002</v>
      </c>
      <c r="B1668" s="5" t="s">
        <v>1825</v>
      </c>
      <c r="C1668" s="17">
        <v>19900101</v>
      </c>
      <c r="D1668" s="17">
        <v>22991231</v>
      </c>
      <c r="E1668" s="25">
        <v>782.3</v>
      </c>
    </row>
    <row r="1669" spans="1:5" ht="26" x14ac:dyDescent="0.3">
      <c r="A1669" s="17" t="str">
        <f>"28003"</f>
        <v>28003</v>
      </c>
      <c r="B1669" s="5" t="s">
        <v>1826</v>
      </c>
      <c r="C1669" s="17">
        <v>19900101</v>
      </c>
      <c r="D1669" s="17">
        <v>22991231</v>
      </c>
      <c r="E1669" s="25">
        <v>1450.8</v>
      </c>
    </row>
    <row r="1670" spans="1:5" x14ac:dyDescent="0.3">
      <c r="A1670" s="17" t="str">
        <f>"28005"</f>
        <v>28005</v>
      </c>
      <c r="B1670" s="5" t="s">
        <v>1827</v>
      </c>
      <c r="C1670" s="17">
        <v>19900101</v>
      </c>
      <c r="D1670" s="17">
        <v>22991231</v>
      </c>
      <c r="E1670" s="25">
        <v>1450.8</v>
      </c>
    </row>
    <row r="1671" spans="1:5" x14ac:dyDescent="0.3">
      <c r="A1671" s="17" t="str">
        <f>"28008"</f>
        <v>28008</v>
      </c>
      <c r="B1671" s="5" t="s">
        <v>1828</v>
      </c>
      <c r="C1671" s="17">
        <v>19900101</v>
      </c>
      <c r="D1671" s="17">
        <v>22991231</v>
      </c>
      <c r="E1671" s="25">
        <v>1450.8</v>
      </c>
    </row>
    <row r="1672" spans="1:5" x14ac:dyDescent="0.3">
      <c r="A1672" s="17" t="str">
        <f>"28010"</f>
        <v>28010</v>
      </c>
      <c r="B1672" s="5" t="s">
        <v>1829</v>
      </c>
      <c r="C1672" s="17">
        <v>19900101</v>
      </c>
      <c r="D1672" s="17">
        <v>22991231</v>
      </c>
      <c r="E1672" s="25">
        <v>121.04</v>
      </c>
    </row>
    <row r="1673" spans="1:5" x14ac:dyDescent="0.3">
      <c r="A1673" s="17" t="str">
        <f>"28011"</f>
        <v>28011</v>
      </c>
      <c r="B1673" s="5" t="s">
        <v>1830</v>
      </c>
      <c r="C1673" s="17">
        <v>19900101</v>
      </c>
      <c r="D1673" s="17">
        <v>22991231</v>
      </c>
      <c r="E1673" s="25">
        <v>782.3</v>
      </c>
    </row>
    <row r="1674" spans="1:5" ht="26" x14ac:dyDescent="0.3">
      <c r="A1674" s="17" t="str">
        <f>"28020"</f>
        <v>28020</v>
      </c>
      <c r="B1674" s="5" t="s">
        <v>1831</v>
      </c>
      <c r="C1674" s="17">
        <v>19900101</v>
      </c>
      <c r="D1674" s="17">
        <v>22991231</v>
      </c>
      <c r="E1674" s="25">
        <v>1450.8</v>
      </c>
    </row>
    <row r="1675" spans="1:5" ht="26" x14ac:dyDescent="0.3">
      <c r="A1675" s="17" t="str">
        <f>"28022"</f>
        <v>28022</v>
      </c>
      <c r="B1675" s="5" t="s">
        <v>1832</v>
      </c>
      <c r="C1675" s="17">
        <v>19900101</v>
      </c>
      <c r="D1675" s="17">
        <v>22991231</v>
      </c>
      <c r="E1675" s="25">
        <v>1450.8</v>
      </c>
    </row>
    <row r="1676" spans="1:5" ht="26" x14ac:dyDescent="0.3">
      <c r="A1676" s="17" t="str">
        <f>"28024"</f>
        <v>28024</v>
      </c>
      <c r="B1676" s="5" t="s">
        <v>1833</v>
      </c>
      <c r="C1676" s="17">
        <v>19900101</v>
      </c>
      <c r="D1676" s="17">
        <v>22991231</v>
      </c>
      <c r="E1676" s="25">
        <v>782.3</v>
      </c>
    </row>
    <row r="1677" spans="1:5" x14ac:dyDescent="0.3">
      <c r="A1677" s="17" t="str">
        <f>"28035"</f>
        <v>28035</v>
      </c>
      <c r="B1677" s="5" t="s">
        <v>1834</v>
      </c>
      <c r="C1677" s="17">
        <v>19900101</v>
      </c>
      <c r="D1677" s="17">
        <v>22991231</v>
      </c>
      <c r="E1677" s="25">
        <v>857.51</v>
      </c>
    </row>
    <row r="1678" spans="1:5" ht="26" x14ac:dyDescent="0.3">
      <c r="A1678" s="17" t="str">
        <f>"28039"</f>
        <v>28039</v>
      </c>
      <c r="B1678" s="5" t="s">
        <v>1835</v>
      </c>
      <c r="C1678" s="17">
        <v>20100101</v>
      </c>
      <c r="D1678" s="17">
        <v>22991231</v>
      </c>
      <c r="E1678" s="25">
        <v>1105.24</v>
      </c>
    </row>
    <row r="1679" spans="1:5" ht="26" x14ac:dyDescent="0.3">
      <c r="A1679" s="17" t="str">
        <f>"28041"</f>
        <v>28041</v>
      </c>
      <c r="B1679" s="5" t="s">
        <v>1836</v>
      </c>
      <c r="C1679" s="17">
        <v>20100101</v>
      </c>
      <c r="D1679" s="17">
        <v>22991231</v>
      </c>
      <c r="E1679" s="25">
        <v>1105.24</v>
      </c>
    </row>
    <row r="1680" spans="1:5" ht="26" x14ac:dyDescent="0.3">
      <c r="A1680" s="17" t="str">
        <f>"28043"</f>
        <v>28043</v>
      </c>
      <c r="B1680" s="5" t="s">
        <v>1837</v>
      </c>
      <c r="C1680" s="17">
        <v>19900101</v>
      </c>
      <c r="D1680" s="17">
        <v>22991231</v>
      </c>
      <c r="E1680" s="25">
        <v>652.27</v>
      </c>
    </row>
    <row r="1681" spans="1:5" ht="26" x14ac:dyDescent="0.3">
      <c r="A1681" s="17" t="str">
        <f>"28045"</f>
        <v>28045</v>
      </c>
      <c r="B1681" s="5" t="s">
        <v>1838</v>
      </c>
      <c r="C1681" s="17">
        <v>19900101</v>
      </c>
      <c r="D1681" s="17">
        <v>22991231</v>
      </c>
      <c r="E1681" s="25">
        <v>1105.24</v>
      </c>
    </row>
    <row r="1682" spans="1:5" ht="26" x14ac:dyDescent="0.3">
      <c r="A1682" s="17" t="str">
        <f>"28046"</f>
        <v>28046</v>
      </c>
      <c r="B1682" s="5" t="s">
        <v>1839</v>
      </c>
      <c r="C1682" s="17">
        <v>19970801</v>
      </c>
      <c r="D1682" s="17">
        <v>22991231</v>
      </c>
      <c r="E1682" s="25">
        <v>1105.24</v>
      </c>
    </row>
    <row r="1683" spans="1:5" ht="26" x14ac:dyDescent="0.3">
      <c r="A1683" s="17" t="str">
        <f>"28047"</f>
        <v>28047</v>
      </c>
      <c r="B1683" s="5" t="s">
        <v>1840</v>
      </c>
      <c r="C1683" s="17">
        <v>20100101</v>
      </c>
      <c r="D1683" s="17">
        <v>22991231</v>
      </c>
      <c r="E1683" s="25">
        <v>1105.24</v>
      </c>
    </row>
    <row r="1684" spans="1:5" x14ac:dyDescent="0.3">
      <c r="A1684" s="17" t="str">
        <f>"28050"</f>
        <v>28050</v>
      </c>
      <c r="B1684" s="5" t="s">
        <v>1841</v>
      </c>
      <c r="C1684" s="17">
        <v>19900101</v>
      </c>
      <c r="D1684" s="17">
        <v>22991231</v>
      </c>
      <c r="E1684" s="25">
        <v>1450.8</v>
      </c>
    </row>
    <row r="1685" spans="1:5" x14ac:dyDescent="0.3">
      <c r="A1685" s="17" t="str">
        <f>"28052"</f>
        <v>28052</v>
      </c>
      <c r="B1685" s="5" t="s">
        <v>1842</v>
      </c>
      <c r="C1685" s="17">
        <v>19900101</v>
      </c>
      <c r="D1685" s="17">
        <v>22991231</v>
      </c>
      <c r="E1685" s="25">
        <v>1450.8</v>
      </c>
    </row>
    <row r="1686" spans="1:5" x14ac:dyDescent="0.3">
      <c r="A1686" s="17" t="str">
        <f>"28054"</f>
        <v>28054</v>
      </c>
      <c r="B1686" s="5" t="s">
        <v>1843</v>
      </c>
      <c r="C1686" s="17">
        <v>19900101</v>
      </c>
      <c r="D1686" s="17">
        <v>22991231</v>
      </c>
      <c r="E1686" s="25">
        <v>1450.8</v>
      </c>
    </row>
    <row r="1687" spans="1:5" x14ac:dyDescent="0.3">
      <c r="A1687" s="17" t="str">
        <f>"28055"</f>
        <v>28055</v>
      </c>
      <c r="B1687" s="5" t="s">
        <v>1844</v>
      </c>
      <c r="C1687" s="17">
        <v>20070101</v>
      </c>
      <c r="D1687" s="17">
        <v>22991231</v>
      </c>
      <c r="E1687" s="25">
        <v>857.51</v>
      </c>
    </row>
    <row r="1688" spans="1:5" ht="26" x14ac:dyDescent="0.3">
      <c r="A1688" s="17" t="str">
        <f>"28060"</f>
        <v>28060</v>
      </c>
      <c r="B1688" s="5" t="s">
        <v>1845</v>
      </c>
      <c r="C1688" s="17">
        <v>19900101</v>
      </c>
      <c r="D1688" s="17">
        <v>22991231</v>
      </c>
      <c r="E1688" s="25">
        <v>1450.8</v>
      </c>
    </row>
    <row r="1689" spans="1:5" x14ac:dyDescent="0.3">
      <c r="A1689" s="17" t="str">
        <f>"28062"</f>
        <v>28062</v>
      </c>
      <c r="B1689" s="5" t="s">
        <v>1846</v>
      </c>
      <c r="C1689" s="17">
        <v>19900101</v>
      </c>
      <c r="D1689" s="17">
        <v>22991231</v>
      </c>
      <c r="E1689" s="25">
        <v>1450.8</v>
      </c>
    </row>
    <row r="1690" spans="1:5" x14ac:dyDescent="0.3">
      <c r="A1690" s="17" t="str">
        <f>"28070"</f>
        <v>28070</v>
      </c>
      <c r="B1690" s="5" t="s">
        <v>1847</v>
      </c>
      <c r="C1690" s="17">
        <v>19900101</v>
      </c>
      <c r="D1690" s="17">
        <v>22991231</v>
      </c>
      <c r="E1690" s="25">
        <v>3240.75</v>
      </c>
    </row>
    <row r="1691" spans="1:5" x14ac:dyDescent="0.3">
      <c r="A1691" s="17" t="str">
        <f>"28072"</f>
        <v>28072</v>
      </c>
      <c r="B1691" s="5" t="s">
        <v>1848</v>
      </c>
      <c r="C1691" s="17">
        <v>19900101</v>
      </c>
      <c r="D1691" s="17">
        <v>22991231</v>
      </c>
      <c r="E1691" s="25">
        <v>1450.8</v>
      </c>
    </row>
    <row r="1692" spans="1:5" ht="26" x14ac:dyDescent="0.3">
      <c r="A1692" s="17" t="str">
        <f>"28080"</f>
        <v>28080</v>
      </c>
      <c r="B1692" s="5" t="s">
        <v>1849</v>
      </c>
      <c r="C1692" s="17">
        <v>19900101</v>
      </c>
      <c r="D1692" s="17">
        <v>22991231</v>
      </c>
      <c r="E1692" s="25">
        <v>782.3</v>
      </c>
    </row>
    <row r="1693" spans="1:5" ht="26" x14ac:dyDescent="0.3">
      <c r="A1693" s="17" t="str">
        <f>"28086"</f>
        <v>28086</v>
      </c>
      <c r="B1693" s="5" t="s">
        <v>1850</v>
      </c>
      <c r="C1693" s="17">
        <v>19900101</v>
      </c>
      <c r="D1693" s="17">
        <v>22991231</v>
      </c>
      <c r="E1693" s="25">
        <v>1450.8</v>
      </c>
    </row>
    <row r="1694" spans="1:5" ht="26" x14ac:dyDescent="0.3">
      <c r="A1694" s="17" t="str">
        <f>"28088"</f>
        <v>28088</v>
      </c>
      <c r="B1694" s="5" t="s">
        <v>1851</v>
      </c>
      <c r="C1694" s="17">
        <v>19900101</v>
      </c>
      <c r="D1694" s="17">
        <v>22991231</v>
      </c>
      <c r="E1694" s="25">
        <v>1450.8</v>
      </c>
    </row>
    <row r="1695" spans="1:5" ht="26" x14ac:dyDescent="0.3">
      <c r="A1695" s="17" t="str">
        <f>"28090"</f>
        <v>28090</v>
      </c>
      <c r="B1695" s="5" t="s">
        <v>1852</v>
      </c>
      <c r="C1695" s="17">
        <v>19900101</v>
      </c>
      <c r="D1695" s="17">
        <v>22991231</v>
      </c>
      <c r="E1695" s="25">
        <v>782.3</v>
      </c>
    </row>
    <row r="1696" spans="1:5" ht="26" x14ac:dyDescent="0.3">
      <c r="A1696" s="17" t="str">
        <f>"28092"</f>
        <v>28092</v>
      </c>
      <c r="B1696" s="5" t="s">
        <v>1853</v>
      </c>
      <c r="C1696" s="17">
        <v>19900101</v>
      </c>
      <c r="D1696" s="17">
        <v>22991231</v>
      </c>
      <c r="E1696" s="25">
        <v>782.3</v>
      </c>
    </row>
    <row r="1697" spans="1:5" x14ac:dyDescent="0.3">
      <c r="A1697" s="17" t="str">
        <f>"28100"</f>
        <v>28100</v>
      </c>
      <c r="B1697" s="5" t="s">
        <v>1854</v>
      </c>
      <c r="C1697" s="17">
        <v>19900101</v>
      </c>
      <c r="D1697" s="17">
        <v>22991231</v>
      </c>
      <c r="E1697" s="25">
        <v>1450.8</v>
      </c>
    </row>
    <row r="1698" spans="1:5" ht="26" x14ac:dyDescent="0.3">
      <c r="A1698" s="17" t="str">
        <f>"28102"</f>
        <v>28102</v>
      </c>
      <c r="B1698" s="5" t="s">
        <v>1855</v>
      </c>
      <c r="C1698" s="17">
        <v>19900101</v>
      </c>
      <c r="D1698" s="17">
        <v>22991231</v>
      </c>
      <c r="E1698" s="25">
        <v>4081.38</v>
      </c>
    </row>
    <row r="1699" spans="1:5" ht="26" x14ac:dyDescent="0.3">
      <c r="A1699" s="17" t="str">
        <f>"28103"</f>
        <v>28103</v>
      </c>
      <c r="B1699" s="5" t="s">
        <v>1856</v>
      </c>
      <c r="C1699" s="17">
        <v>19900101</v>
      </c>
      <c r="D1699" s="17">
        <v>22991231</v>
      </c>
      <c r="E1699" s="25">
        <v>4445.3100000000004</v>
      </c>
    </row>
    <row r="1700" spans="1:5" x14ac:dyDescent="0.3">
      <c r="A1700" s="17" t="str">
        <f>"28104"</f>
        <v>28104</v>
      </c>
      <c r="B1700" s="5" t="s">
        <v>1857</v>
      </c>
      <c r="C1700" s="17">
        <v>19900101</v>
      </c>
      <c r="D1700" s="17">
        <v>22991231</v>
      </c>
      <c r="E1700" s="25">
        <v>1450.8</v>
      </c>
    </row>
    <row r="1701" spans="1:5" ht="26" x14ac:dyDescent="0.3">
      <c r="A1701" s="17" t="str">
        <f>"28106"</f>
        <v>28106</v>
      </c>
      <c r="B1701" s="5" t="s">
        <v>1858</v>
      </c>
      <c r="C1701" s="17">
        <v>19900101</v>
      </c>
      <c r="D1701" s="17">
        <v>22991231</v>
      </c>
      <c r="E1701" s="25">
        <v>3240.75</v>
      </c>
    </row>
    <row r="1702" spans="1:5" ht="26" x14ac:dyDescent="0.3">
      <c r="A1702" s="17" t="str">
        <f>"28107"</f>
        <v>28107</v>
      </c>
      <c r="B1702" s="5" t="s">
        <v>1859</v>
      </c>
      <c r="C1702" s="17">
        <v>19900101</v>
      </c>
      <c r="D1702" s="17">
        <v>22991231</v>
      </c>
      <c r="E1702" s="25">
        <v>3240.75</v>
      </c>
    </row>
    <row r="1703" spans="1:5" x14ac:dyDescent="0.3">
      <c r="A1703" s="17" t="str">
        <f>"28108"</f>
        <v>28108</v>
      </c>
      <c r="B1703" s="5" t="s">
        <v>1860</v>
      </c>
      <c r="C1703" s="17">
        <v>19900101</v>
      </c>
      <c r="D1703" s="17">
        <v>22991231</v>
      </c>
      <c r="E1703" s="25">
        <v>782.3</v>
      </c>
    </row>
    <row r="1704" spans="1:5" x14ac:dyDescent="0.3">
      <c r="A1704" s="17" t="str">
        <f>"28110"</f>
        <v>28110</v>
      </c>
      <c r="B1704" s="5" t="s">
        <v>1861</v>
      </c>
      <c r="C1704" s="17">
        <v>19900101</v>
      </c>
      <c r="D1704" s="17">
        <v>22991231</v>
      </c>
      <c r="E1704" s="25">
        <v>1450.8</v>
      </c>
    </row>
    <row r="1705" spans="1:5" x14ac:dyDescent="0.3">
      <c r="A1705" s="17" t="str">
        <f>"28111"</f>
        <v>28111</v>
      </c>
      <c r="B1705" s="5" t="s">
        <v>1862</v>
      </c>
      <c r="C1705" s="17">
        <v>19900101</v>
      </c>
      <c r="D1705" s="17">
        <v>22991231</v>
      </c>
      <c r="E1705" s="25">
        <v>1450.8</v>
      </c>
    </row>
    <row r="1706" spans="1:5" ht="26" x14ac:dyDescent="0.3">
      <c r="A1706" s="17" t="str">
        <f>"28112"</f>
        <v>28112</v>
      </c>
      <c r="B1706" s="5" t="s">
        <v>1863</v>
      </c>
      <c r="C1706" s="17">
        <v>19900101</v>
      </c>
      <c r="D1706" s="17">
        <v>22991231</v>
      </c>
      <c r="E1706" s="25">
        <v>1450.8</v>
      </c>
    </row>
    <row r="1707" spans="1:5" x14ac:dyDescent="0.3">
      <c r="A1707" s="17" t="str">
        <f>"28113"</f>
        <v>28113</v>
      </c>
      <c r="B1707" s="5" t="s">
        <v>1864</v>
      </c>
      <c r="C1707" s="17">
        <v>19900101</v>
      </c>
      <c r="D1707" s="17">
        <v>22991231</v>
      </c>
      <c r="E1707" s="25">
        <v>1450.8</v>
      </c>
    </row>
    <row r="1708" spans="1:5" x14ac:dyDescent="0.3">
      <c r="A1708" s="17" t="str">
        <f>"28114"</f>
        <v>28114</v>
      </c>
      <c r="B1708" s="5" t="s">
        <v>1865</v>
      </c>
      <c r="C1708" s="17">
        <v>19900101</v>
      </c>
      <c r="D1708" s="17">
        <v>22991231</v>
      </c>
      <c r="E1708" s="25">
        <v>1450.8</v>
      </c>
    </row>
    <row r="1709" spans="1:5" x14ac:dyDescent="0.3">
      <c r="A1709" s="17" t="str">
        <f>"28116"</f>
        <v>28116</v>
      </c>
      <c r="B1709" s="5" t="s">
        <v>1866</v>
      </c>
      <c r="C1709" s="17">
        <v>19900101</v>
      </c>
      <c r="D1709" s="17">
        <v>22991231</v>
      </c>
      <c r="E1709" s="25">
        <v>1450.8</v>
      </c>
    </row>
    <row r="1710" spans="1:5" x14ac:dyDescent="0.3">
      <c r="A1710" s="17" t="str">
        <f>"28118"</f>
        <v>28118</v>
      </c>
      <c r="B1710" s="5" t="s">
        <v>1867</v>
      </c>
      <c r="C1710" s="17">
        <v>19900101</v>
      </c>
      <c r="D1710" s="17">
        <v>22991231</v>
      </c>
      <c r="E1710" s="25">
        <v>1450.8</v>
      </c>
    </row>
    <row r="1711" spans="1:5" x14ac:dyDescent="0.3">
      <c r="A1711" s="17" t="str">
        <f>"28119"</f>
        <v>28119</v>
      </c>
      <c r="B1711" s="5" t="s">
        <v>1868</v>
      </c>
      <c r="C1711" s="17">
        <v>19900101</v>
      </c>
      <c r="D1711" s="17">
        <v>22991231</v>
      </c>
      <c r="E1711" s="25">
        <v>1450.8</v>
      </c>
    </row>
    <row r="1712" spans="1:5" x14ac:dyDescent="0.3">
      <c r="A1712" s="17" t="str">
        <f>"28120"</f>
        <v>28120</v>
      </c>
      <c r="B1712" s="5" t="s">
        <v>1869</v>
      </c>
      <c r="C1712" s="17">
        <v>19900101</v>
      </c>
      <c r="D1712" s="17">
        <v>22991231</v>
      </c>
      <c r="E1712" s="25">
        <v>1450.8</v>
      </c>
    </row>
    <row r="1713" spans="1:5" x14ac:dyDescent="0.3">
      <c r="A1713" s="17" t="str">
        <f>"28122"</f>
        <v>28122</v>
      </c>
      <c r="B1713" s="5" t="s">
        <v>1870</v>
      </c>
      <c r="C1713" s="17">
        <v>19900101</v>
      </c>
      <c r="D1713" s="17">
        <v>22991231</v>
      </c>
      <c r="E1713" s="25">
        <v>1450.8</v>
      </c>
    </row>
    <row r="1714" spans="1:5" x14ac:dyDescent="0.3">
      <c r="A1714" s="17" t="str">
        <f>"28124"</f>
        <v>28124</v>
      </c>
      <c r="B1714" s="5" t="s">
        <v>1871</v>
      </c>
      <c r="C1714" s="17">
        <v>19900101</v>
      </c>
      <c r="D1714" s="17">
        <v>22991231</v>
      </c>
      <c r="E1714" s="25">
        <v>278.04000000000002</v>
      </c>
    </row>
    <row r="1715" spans="1:5" x14ac:dyDescent="0.3">
      <c r="A1715" s="17" t="str">
        <f>"28126"</f>
        <v>28126</v>
      </c>
      <c r="B1715" s="5" t="s">
        <v>1872</v>
      </c>
      <c r="C1715" s="17">
        <v>19900101</v>
      </c>
      <c r="D1715" s="17">
        <v>22991231</v>
      </c>
      <c r="E1715" s="25">
        <v>1450.8</v>
      </c>
    </row>
    <row r="1716" spans="1:5" x14ac:dyDescent="0.3">
      <c r="A1716" s="17" t="str">
        <f>"28130"</f>
        <v>28130</v>
      </c>
      <c r="B1716" s="5" t="s">
        <v>1873</v>
      </c>
      <c r="C1716" s="17">
        <v>19900101</v>
      </c>
      <c r="D1716" s="17">
        <v>22991231</v>
      </c>
      <c r="E1716" s="25">
        <v>4162.2</v>
      </c>
    </row>
    <row r="1717" spans="1:5" x14ac:dyDescent="0.3">
      <c r="A1717" s="17" t="str">
        <f>"28140"</f>
        <v>28140</v>
      </c>
      <c r="B1717" s="5" t="s">
        <v>1874</v>
      </c>
      <c r="C1717" s="17">
        <v>19900101</v>
      </c>
      <c r="D1717" s="17">
        <v>22991231</v>
      </c>
      <c r="E1717" s="25">
        <v>1450.8</v>
      </c>
    </row>
    <row r="1718" spans="1:5" x14ac:dyDescent="0.3">
      <c r="A1718" s="17" t="str">
        <f>"28150"</f>
        <v>28150</v>
      </c>
      <c r="B1718" s="5" t="s">
        <v>1875</v>
      </c>
      <c r="C1718" s="17">
        <v>19900101</v>
      </c>
      <c r="D1718" s="17">
        <v>22991231</v>
      </c>
      <c r="E1718" s="25">
        <v>1450.8</v>
      </c>
    </row>
    <row r="1719" spans="1:5" x14ac:dyDescent="0.3">
      <c r="A1719" s="17" t="str">
        <f>"28153"</f>
        <v>28153</v>
      </c>
      <c r="B1719" s="5" t="s">
        <v>1876</v>
      </c>
      <c r="C1719" s="17">
        <v>19900101</v>
      </c>
      <c r="D1719" s="17">
        <v>22991231</v>
      </c>
      <c r="E1719" s="25">
        <v>1450.8</v>
      </c>
    </row>
    <row r="1720" spans="1:5" x14ac:dyDescent="0.3">
      <c r="A1720" s="17" t="str">
        <f>"28160"</f>
        <v>28160</v>
      </c>
      <c r="B1720" s="5" t="s">
        <v>1877</v>
      </c>
      <c r="C1720" s="17">
        <v>19900101</v>
      </c>
      <c r="D1720" s="17">
        <v>22991231</v>
      </c>
      <c r="E1720" s="25">
        <v>1450.8</v>
      </c>
    </row>
    <row r="1721" spans="1:5" ht="26" x14ac:dyDescent="0.3">
      <c r="A1721" s="17" t="str">
        <f>"28171"</f>
        <v>28171</v>
      </c>
      <c r="B1721" s="5" t="s">
        <v>1878</v>
      </c>
      <c r="C1721" s="17">
        <v>19900101</v>
      </c>
      <c r="D1721" s="17">
        <v>22991231</v>
      </c>
      <c r="E1721" s="25">
        <v>1450.8</v>
      </c>
    </row>
    <row r="1722" spans="1:5" x14ac:dyDescent="0.3">
      <c r="A1722" s="17" t="str">
        <f>"28173"</f>
        <v>28173</v>
      </c>
      <c r="B1722" s="5" t="s">
        <v>1879</v>
      </c>
      <c r="C1722" s="17">
        <v>19900101</v>
      </c>
      <c r="D1722" s="17">
        <v>22991231</v>
      </c>
      <c r="E1722" s="25">
        <v>1450.8</v>
      </c>
    </row>
    <row r="1723" spans="1:5" x14ac:dyDescent="0.3">
      <c r="A1723" s="17" t="str">
        <f>"28175"</f>
        <v>28175</v>
      </c>
      <c r="B1723" s="5" t="s">
        <v>1880</v>
      </c>
      <c r="C1723" s="17">
        <v>19900101</v>
      </c>
      <c r="D1723" s="17">
        <v>22991231</v>
      </c>
      <c r="E1723" s="25">
        <v>782.3</v>
      </c>
    </row>
    <row r="1724" spans="1:5" ht="26" x14ac:dyDescent="0.3">
      <c r="A1724" s="17" t="str">
        <f>"28190"</f>
        <v>28190</v>
      </c>
      <c r="B1724" s="5" t="s">
        <v>1881</v>
      </c>
      <c r="C1724" s="17">
        <v>19900101</v>
      </c>
      <c r="D1724" s="17">
        <v>22991231</v>
      </c>
      <c r="E1724" s="25">
        <v>156.69</v>
      </c>
    </row>
    <row r="1725" spans="1:5" x14ac:dyDescent="0.3">
      <c r="A1725" s="17" t="str">
        <f>"28192"</f>
        <v>28192</v>
      </c>
      <c r="B1725" s="5" t="s">
        <v>1882</v>
      </c>
      <c r="C1725" s="17">
        <v>19900101</v>
      </c>
      <c r="D1725" s="17">
        <v>22991231</v>
      </c>
      <c r="E1725" s="25">
        <v>652.27</v>
      </c>
    </row>
    <row r="1726" spans="1:5" x14ac:dyDescent="0.3">
      <c r="A1726" s="17" t="str">
        <f>"28193"</f>
        <v>28193</v>
      </c>
      <c r="B1726" s="5" t="s">
        <v>1883</v>
      </c>
      <c r="C1726" s="17">
        <v>19900101</v>
      </c>
      <c r="D1726" s="17">
        <v>22991231</v>
      </c>
      <c r="E1726" s="25">
        <v>652.27</v>
      </c>
    </row>
    <row r="1727" spans="1:5" x14ac:dyDescent="0.3">
      <c r="A1727" s="17" t="str">
        <f>"28200"</f>
        <v>28200</v>
      </c>
      <c r="B1727" s="5" t="s">
        <v>1884</v>
      </c>
      <c r="C1727" s="17">
        <v>19900101</v>
      </c>
      <c r="D1727" s="17">
        <v>22991231</v>
      </c>
      <c r="E1727" s="25">
        <v>1450.8</v>
      </c>
    </row>
    <row r="1728" spans="1:5" ht="26" x14ac:dyDescent="0.3">
      <c r="A1728" s="17" t="str">
        <f>"28202"</f>
        <v>28202</v>
      </c>
      <c r="B1728" s="5" t="s">
        <v>1885</v>
      </c>
      <c r="C1728" s="17">
        <v>19900101</v>
      </c>
      <c r="D1728" s="17">
        <v>22991231</v>
      </c>
      <c r="E1728" s="25">
        <v>4232.43</v>
      </c>
    </row>
    <row r="1729" spans="1:5" x14ac:dyDescent="0.3">
      <c r="A1729" s="17" t="str">
        <f>"28208"</f>
        <v>28208</v>
      </c>
      <c r="B1729" s="5" t="s">
        <v>1886</v>
      </c>
      <c r="C1729" s="17">
        <v>19900101</v>
      </c>
      <c r="D1729" s="17">
        <v>22991231</v>
      </c>
      <c r="E1729" s="25">
        <v>1450.8</v>
      </c>
    </row>
    <row r="1730" spans="1:5" x14ac:dyDescent="0.3">
      <c r="A1730" s="17" t="str">
        <f>"28210"</f>
        <v>28210</v>
      </c>
      <c r="B1730" s="5" t="s">
        <v>1887</v>
      </c>
      <c r="C1730" s="17">
        <v>19900101</v>
      </c>
      <c r="D1730" s="17">
        <v>22991231</v>
      </c>
      <c r="E1730" s="25">
        <v>4216.43</v>
      </c>
    </row>
    <row r="1731" spans="1:5" ht="26" x14ac:dyDescent="0.3">
      <c r="A1731" s="17" t="str">
        <f>"28220"</f>
        <v>28220</v>
      </c>
      <c r="B1731" s="5" t="s">
        <v>1888</v>
      </c>
      <c r="C1731" s="17">
        <v>19900101</v>
      </c>
      <c r="D1731" s="17">
        <v>22991231</v>
      </c>
      <c r="E1731" s="25">
        <v>263.33999999999997</v>
      </c>
    </row>
    <row r="1732" spans="1:5" x14ac:dyDescent="0.3">
      <c r="A1732" s="17" t="str">
        <f>"28222"</f>
        <v>28222</v>
      </c>
      <c r="B1732" s="5" t="s">
        <v>1889</v>
      </c>
      <c r="C1732" s="17">
        <v>19900101</v>
      </c>
      <c r="D1732" s="17">
        <v>22991231</v>
      </c>
      <c r="E1732" s="25">
        <v>1450.8</v>
      </c>
    </row>
    <row r="1733" spans="1:5" ht="26" x14ac:dyDescent="0.3">
      <c r="A1733" s="17" t="str">
        <f>"28225"</f>
        <v>28225</v>
      </c>
      <c r="B1733" s="5" t="s">
        <v>1890</v>
      </c>
      <c r="C1733" s="17">
        <v>19900101</v>
      </c>
      <c r="D1733" s="17">
        <v>22991231</v>
      </c>
      <c r="E1733" s="25">
        <v>1450.8</v>
      </c>
    </row>
    <row r="1734" spans="1:5" ht="26" x14ac:dyDescent="0.3">
      <c r="A1734" s="17" t="str">
        <f>"28226"</f>
        <v>28226</v>
      </c>
      <c r="B1734" s="5" t="s">
        <v>1891</v>
      </c>
      <c r="C1734" s="17">
        <v>19900101</v>
      </c>
      <c r="D1734" s="17">
        <v>22991231</v>
      </c>
      <c r="E1734" s="25">
        <v>1450.8</v>
      </c>
    </row>
    <row r="1735" spans="1:5" x14ac:dyDescent="0.3">
      <c r="A1735" s="17" t="str">
        <f>"28230"</f>
        <v>28230</v>
      </c>
      <c r="B1735" s="5" t="s">
        <v>1892</v>
      </c>
      <c r="C1735" s="17">
        <v>19900101</v>
      </c>
      <c r="D1735" s="17">
        <v>22991231</v>
      </c>
      <c r="E1735" s="25">
        <v>256.14</v>
      </c>
    </row>
    <row r="1736" spans="1:5" x14ac:dyDescent="0.3">
      <c r="A1736" s="17" t="str">
        <f>"28232"</f>
        <v>28232</v>
      </c>
      <c r="B1736" s="5" t="s">
        <v>1893</v>
      </c>
      <c r="C1736" s="17">
        <v>19900101</v>
      </c>
      <c r="D1736" s="17">
        <v>22991231</v>
      </c>
      <c r="E1736" s="25">
        <v>234.25</v>
      </c>
    </row>
    <row r="1737" spans="1:5" x14ac:dyDescent="0.3">
      <c r="A1737" s="17" t="str">
        <f>"28234"</f>
        <v>28234</v>
      </c>
      <c r="B1737" s="5" t="s">
        <v>1894</v>
      </c>
      <c r="C1737" s="17">
        <v>19900101</v>
      </c>
      <c r="D1737" s="17">
        <v>22991231</v>
      </c>
      <c r="E1737" s="25">
        <v>782.3</v>
      </c>
    </row>
    <row r="1738" spans="1:5" ht="26" x14ac:dyDescent="0.3">
      <c r="A1738" s="17" t="str">
        <f>"28238"</f>
        <v>28238</v>
      </c>
      <c r="B1738" s="5" t="s">
        <v>1895</v>
      </c>
      <c r="C1738" s="17">
        <v>19900101</v>
      </c>
      <c r="D1738" s="17">
        <v>22991231</v>
      </c>
      <c r="E1738" s="25">
        <v>3240.75</v>
      </c>
    </row>
    <row r="1739" spans="1:5" x14ac:dyDescent="0.3">
      <c r="A1739" s="17" t="str">
        <f>"28240"</f>
        <v>28240</v>
      </c>
      <c r="B1739" s="5" t="s">
        <v>1896</v>
      </c>
      <c r="C1739" s="17">
        <v>19900101</v>
      </c>
      <c r="D1739" s="17">
        <v>22991231</v>
      </c>
      <c r="E1739" s="25">
        <v>1450.8</v>
      </c>
    </row>
    <row r="1740" spans="1:5" ht="26" x14ac:dyDescent="0.3">
      <c r="A1740" s="17" t="str">
        <f>"28250"</f>
        <v>28250</v>
      </c>
      <c r="B1740" s="5" t="s">
        <v>1897</v>
      </c>
      <c r="C1740" s="17">
        <v>19900101</v>
      </c>
      <c r="D1740" s="17">
        <v>22991231</v>
      </c>
      <c r="E1740" s="25">
        <v>1450.8</v>
      </c>
    </row>
    <row r="1741" spans="1:5" ht="26" x14ac:dyDescent="0.3">
      <c r="A1741" s="17" t="str">
        <f>"28260"</f>
        <v>28260</v>
      </c>
      <c r="B1741" s="5" t="s">
        <v>1898</v>
      </c>
      <c r="C1741" s="17">
        <v>19900101</v>
      </c>
      <c r="D1741" s="17">
        <v>22991231</v>
      </c>
      <c r="E1741" s="25">
        <v>1450.8</v>
      </c>
    </row>
    <row r="1742" spans="1:5" ht="26" x14ac:dyDescent="0.3">
      <c r="A1742" s="17" t="str">
        <f>"28261"</f>
        <v>28261</v>
      </c>
      <c r="B1742" s="5" t="s">
        <v>1899</v>
      </c>
      <c r="C1742" s="17">
        <v>19900101</v>
      </c>
      <c r="D1742" s="17">
        <v>22991231</v>
      </c>
      <c r="E1742" s="25">
        <v>985.22</v>
      </c>
    </row>
    <row r="1743" spans="1:5" ht="26" x14ac:dyDescent="0.3">
      <c r="A1743" s="17" t="str">
        <f>"28262"</f>
        <v>28262</v>
      </c>
      <c r="B1743" s="5" t="s">
        <v>1900</v>
      </c>
      <c r="C1743" s="17">
        <v>19900101</v>
      </c>
      <c r="D1743" s="17">
        <v>22991231</v>
      </c>
      <c r="E1743" s="25">
        <v>3240.75</v>
      </c>
    </row>
    <row r="1744" spans="1:5" x14ac:dyDescent="0.3">
      <c r="A1744" s="17" t="str">
        <f>"28264"</f>
        <v>28264</v>
      </c>
      <c r="B1744" s="5" t="s">
        <v>1901</v>
      </c>
      <c r="C1744" s="17">
        <v>19900101</v>
      </c>
      <c r="D1744" s="17">
        <v>22991231</v>
      </c>
      <c r="E1744" s="25">
        <v>782.3</v>
      </c>
    </row>
    <row r="1745" spans="1:5" x14ac:dyDescent="0.3">
      <c r="A1745" s="17" t="str">
        <f>"28270"</f>
        <v>28270</v>
      </c>
      <c r="B1745" s="5" t="s">
        <v>1902</v>
      </c>
      <c r="C1745" s="17">
        <v>19900101</v>
      </c>
      <c r="D1745" s="17">
        <v>22991231</v>
      </c>
      <c r="E1745" s="25">
        <v>1450.8</v>
      </c>
    </row>
    <row r="1746" spans="1:5" x14ac:dyDescent="0.3">
      <c r="A1746" s="17" t="str">
        <f>"28272"</f>
        <v>28272</v>
      </c>
      <c r="B1746" s="5" t="s">
        <v>1903</v>
      </c>
      <c r="C1746" s="17">
        <v>19900101</v>
      </c>
      <c r="D1746" s="17">
        <v>22991231</v>
      </c>
      <c r="E1746" s="25">
        <v>226.44</v>
      </c>
    </row>
    <row r="1747" spans="1:5" x14ac:dyDescent="0.3">
      <c r="A1747" s="17" t="str">
        <f>"28280"</f>
        <v>28280</v>
      </c>
      <c r="B1747" s="5" t="s">
        <v>1904</v>
      </c>
      <c r="C1747" s="17">
        <v>19900101</v>
      </c>
      <c r="D1747" s="17">
        <v>22991231</v>
      </c>
      <c r="E1747" s="25">
        <v>1450.8</v>
      </c>
    </row>
    <row r="1748" spans="1:5" x14ac:dyDescent="0.3">
      <c r="A1748" s="17" t="str">
        <f>"28285"</f>
        <v>28285</v>
      </c>
      <c r="B1748" s="5" t="s">
        <v>1905</v>
      </c>
      <c r="C1748" s="17">
        <v>19900101</v>
      </c>
      <c r="D1748" s="17">
        <v>22991231</v>
      </c>
      <c r="E1748" s="25">
        <v>1450.8</v>
      </c>
    </row>
    <row r="1749" spans="1:5" x14ac:dyDescent="0.3">
      <c r="A1749" s="17" t="str">
        <f>"28286"</f>
        <v>28286</v>
      </c>
      <c r="B1749" s="5" t="s">
        <v>1906</v>
      </c>
      <c r="C1749" s="17">
        <v>19900101</v>
      </c>
      <c r="D1749" s="17">
        <v>22991231</v>
      </c>
      <c r="E1749" s="25">
        <v>1450.8</v>
      </c>
    </row>
    <row r="1750" spans="1:5" x14ac:dyDescent="0.3">
      <c r="A1750" s="17" t="str">
        <f>"28288"</f>
        <v>28288</v>
      </c>
      <c r="B1750" s="5" t="s">
        <v>1907</v>
      </c>
      <c r="C1750" s="17">
        <v>19900101</v>
      </c>
      <c r="D1750" s="17">
        <v>22991231</v>
      </c>
      <c r="E1750" s="25">
        <v>1450.8</v>
      </c>
    </row>
    <row r="1751" spans="1:5" ht="26" x14ac:dyDescent="0.3">
      <c r="A1751" s="17" t="str">
        <f>"28289"</f>
        <v>28289</v>
      </c>
      <c r="B1751" s="5" t="s">
        <v>1908</v>
      </c>
      <c r="C1751" s="17">
        <v>19900101</v>
      </c>
      <c r="D1751" s="17">
        <v>22991231</v>
      </c>
      <c r="E1751" s="25">
        <v>1450.8</v>
      </c>
    </row>
    <row r="1752" spans="1:5" ht="26" x14ac:dyDescent="0.3">
      <c r="A1752" s="17" t="str">
        <f>"28291"</f>
        <v>28291</v>
      </c>
      <c r="B1752" s="5" t="s">
        <v>1909</v>
      </c>
      <c r="C1752" s="17">
        <v>20170101</v>
      </c>
      <c r="D1752" s="17">
        <v>22991231</v>
      </c>
      <c r="E1752" s="25">
        <v>4436.62</v>
      </c>
    </row>
    <row r="1753" spans="1:5" x14ac:dyDescent="0.3">
      <c r="A1753" s="17" t="str">
        <f>"28292"</f>
        <v>28292</v>
      </c>
      <c r="B1753" s="5" t="s">
        <v>1910</v>
      </c>
      <c r="C1753" s="17">
        <v>19900101</v>
      </c>
      <c r="D1753" s="17">
        <v>22991231</v>
      </c>
      <c r="E1753" s="25">
        <v>1450.8</v>
      </c>
    </row>
    <row r="1754" spans="1:5" ht="26" x14ac:dyDescent="0.3">
      <c r="A1754" s="17" t="str">
        <f>"28295"</f>
        <v>28295</v>
      </c>
      <c r="B1754" s="5" t="s">
        <v>1911</v>
      </c>
      <c r="C1754" s="17">
        <v>20170101</v>
      </c>
      <c r="D1754" s="17">
        <v>22991231</v>
      </c>
      <c r="E1754" s="25">
        <v>1450.8</v>
      </c>
    </row>
    <row r="1755" spans="1:5" ht="26" x14ac:dyDescent="0.3">
      <c r="A1755" s="17" t="str">
        <f>"28296"</f>
        <v>28296</v>
      </c>
      <c r="B1755" s="5" t="s">
        <v>1912</v>
      </c>
      <c r="C1755" s="17">
        <v>19900101</v>
      </c>
      <c r="D1755" s="17">
        <v>22991231</v>
      </c>
      <c r="E1755" s="25">
        <v>1450.8</v>
      </c>
    </row>
    <row r="1756" spans="1:5" ht="26" x14ac:dyDescent="0.3">
      <c r="A1756" s="17" t="str">
        <f>"28297"</f>
        <v>28297</v>
      </c>
      <c r="B1756" s="5" t="s">
        <v>1913</v>
      </c>
      <c r="C1756" s="17">
        <v>19900101</v>
      </c>
      <c r="D1756" s="17">
        <v>22991231</v>
      </c>
      <c r="E1756" s="25">
        <v>4679.87</v>
      </c>
    </row>
    <row r="1757" spans="1:5" ht="26" x14ac:dyDescent="0.3">
      <c r="A1757" s="17" t="str">
        <f>"28298"</f>
        <v>28298</v>
      </c>
      <c r="B1757" s="5" t="s">
        <v>1914</v>
      </c>
      <c r="C1757" s="17">
        <v>19900101</v>
      </c>
      <c r="D1757" s="17">
        <v>22991231</v>
      </c>
      <c r="E1757" s="25">
        <v>4100.1000000000004</v>
      </c>
    </row>
    <row r="1758" spans="1:5" x14ac:dyDescent="0.3">
      <c r="A1758" s="17" t="str">
        <f>"28299"</f>
        <v>28299</v>
      </c>
      <c r="B1758" s="5" t="s">
        <v>1915</v>
      </c>
      <c r="C1758" s="17">
        <v>19900101</v>
      </c>
      <c r="D1758" s="17">
        <v>22991231</v>
      </c>
      <c r="E1758" s="25">
        <v>4137.25</v>
      </c>
    </row>
    <row r="1759" spans="1:5" x14ac:dyDescent="0.3">
      <c r="A1759" s="17" t="str">
        <f>"28300"</f>
        <v>28300</v>
      </c>
      <c r="B1759" s="5" t="s">
        <v>1916</v>
      </c>
      <c r="C1759" s="17">
        <v>19900101</v>
      </c>
      <c r="D1759" s="17">
        <v>22991231</v>
      </c>
      <c r="E1759" s="25">
        <v>4264.1499999999996</v>
      </c>
    </row>
    <row r="1760" spans="1:5" x14ac:dyDescent="0.3">
      <c r="A1760" s="17" t="str">
        <f>"28302"</f>
        <v>28302</v>
      </c>
      <c r="B1760" s="5" t="s">
        <v>1917</v>
      </c>
      <c r="C1760" s="17">
        <v>19900101</v>
      </c>
      <c r="D1760" s="17">
        <v>22991231</v>
      </c>
      <c r="E1760" s="25">
        <v>4090.88</v>
      </c>
    </row>
    <row r="1761" spans="1:5" x14ac:dyDescent="0.3">
      <c r="A1761" s="17" t="str">
        <f>"28304"</f>
        <v>28304</v>
      </c>
      <c r="B1761" s="5" t="s">
        <v>1918</v>
      </c>
      <c r="C1761" s="17">
        <v>19900101</v>
      </c>
      <c r="D1761" s="17">
        <v>22991231</v>
      </c>
      <c r="E1761" s="25">
        <v>3240.75</v>
      </c>
    </row>
    <row r="1762" spans="1:5" ht="26" x14ac:dyDescent="0.3">
      <c r="A1762" s="17" t="str">
        <f>"28305"</f>
        <v>28305</v>
      </c>
      <c r="B1762" s="5" t="s">
        <v>1919</v>
      </c>
      <c r="C1762" s="17">
        <v>19900101</v>
      </c>
      <c r="D1762" s="17">
        <v>22991231</v>
      </c>
      <c r="E1762" s="25">
        <v>4459.67</v>
      </c>
    </row>
    <row r="1763" spans="1:5" ht="26" x14ac:dyDescent="0.3">
      <c r="A1763" s="17" t="str">
        <f>"28306"</f>
        <v>28306</v>
      </c>
      <c r="B1763" s="5" t="s">
        <v>1920</v>
      </c>
      <c r="C1763" s="17">
        <v>19900101</v>
      </c>
      <c r="D1763" s="17">
        <v>22991231</v>
      </c>
      <c r="E1763" s="25">
        <v>3240.75</v>
      </c>
    </row>
    <row r="1764" spans="1:5" ht="26" x14ac:dyDescent="0.3">
      <c r="A1764" s="17" t="str">
        <f>"28307"</f>
        <v>28307</v>
      </c>
      <c r="B1764" s="5" t="s">
        <v>1921</v>
      </c>
      <c r="C1764" s="17">
        <v>19900101</v>
      </c>
      <c r="D1764" s="17">
        <v>22991231</v>
      </c>
      <c r="E1764" s="25">
        <v>3240.75</v>
      </c>
    </row>
    <row r="1765" spans="1:5" ht="26" x14ac:dyDescent="0.3">
      <c r="A1765" s="17" t="str">
        <f>"28308"</f>
        <v>28308</v>
      </c>
      <c r="B1765" s="5" t="s">
        <v>1922</v>
      </c>
      <c r="C1765" s="17">
        <v>19900101</v>
      </c>
      <c r="D1765" s="17">
        <v>22991231</v>
      </c>
      <c r="E1765" s="25">
        <v>1450.8</v>
      </c>
    </row>
    <row r="1766" spans="1:5" ht="26" x14ac:dyDescent="0.3">
      <c r="A1766" s="17" t="str">
        <f>"28309"</f>
        <v>28309</v>
      </c>
      <c r="B1766" s="5" t="s">
        <v>1923</v>
      </c>
      <c r="C1766" s="17">
        <v>19900101</v>
      </c>
      <c r="D1766" s="17">
        <v>22991231</v>
      </c>
      <c r="E1766" s="25">
        <v>4148.8999999999996</v>
      </c>
    </row>
    <row r="1767" spans="1:5" ht="26" x14ac:dyDescent="0.3">
      <c r="A1767" s="17" t="str">
        <f>"28310"</f>
        <v>28310</v>
      </c>
      <c r="B1767" s="5" t="s">
        <v>1924</v>
      </c>
      <c r="C1767" s="17">
        <v>19900101</v>
      </c>
      <c r="D1767" s="17">
        <v>22991231</v>
      </c>
      <c r="E1767" s="25">
        <v>4111.49</v>
      </c>
    </row>
    <row r="1768" spans="1:5" ht="26" x14ac:dyDescent="0.3">
      <c r="A1768" s="17" t="str">
        <f>"28312"</f>
        <v>28312</v>
      </c>
      <c r="B1768" s="5" t="s">
        <v>1925</v>
      </c>
      <c r="C1768" s="17">
        <v>19900101</v>
      </c>
      <c r="D1768" s="17">
        <v>22991231</v>
      </c>
      <c r="E1768" s="25">
        <v>1450.8</v>
      </c>
    </row>
    <row r="1769" spans="1:5" ht="26" x14ac:dyDescent="0.3">
      <c r="A1769" s="17" t="str">
        <f>"28313"</f>
        <v>28313</v>
      </c>
      <c r="B1769" s="5" t="s">
        <v>1926</v>
      </c>
      <c r="C1769" s="17">
        <v>19900101</v>
      </c>
      <c r="D1769" s="17">
        <v>22991231</v>
      </c>
      <c r="E1769" s="25">
        <v>1450.8</v>
      </c>
    </row>
    <row r="1770" spans="1:5" ht="26" x14ac:dyDescent="0.3">
      <c r="A1770" s="17" t="str">
        <f>"28315"</f>
        <v>28315</v>
      </c>
      <c r="B1770" s="5" t="s">
        <v>1927</v>
      </c>
      <c r="C1770" s="17">
        <v>19900101</v>
      </c>
      <c r="D1770" s="17">
        <v>22991231</v>
      </c>
      <c r="E1770" s="25">
        <v>1450.8</v>
      </c>
    </row>
    <row r="1771" spans="1:5" x14ac:dyDescent="0.3">
      <c r="A1771" s="17" t="str">
        <f>"28320"</f>
        <v>28320</v>
      </c>
      <c r="B1771" s="5" t="s">
        <v>1928</v>
      </c>
      <c r="C1771" s="17">
        <v>19900101</v>
      </c>
      <c r="D1771" s="17">
        <v>22991231</v>
      </c>
      <c r="E1771" s="25">
        <v>7781.53</v>
      </c>
    </row>
    <row r="1772" spans="1:5" x14ac:dyDescent="0.3">
      <c r="A1772" s="17" t="str">
        <f>"28322"</f>
        <v>28322</v>
      </c>
      <c r="B1772" s="5" t="s">
        <v>1929</v>
      </c>
      <c r="C1772" s="17">
        <v>19900101</v>
      </c>
      <c r="D1772" s="17">
        <v>22991231</v>
      </c>
      <c r="E1772" s="25">
        <v>4343.6099999999997</v>
      </c>
    </row>
    <row r="1773" spans="1:5" x14ac:dyDescent="0.3">
      <c r="A1773" s="17" t="str">
        <f>"28340"</f>
        <v>28340</v>
      </c>
      <c r="B1773" s="5" t="s">
        <v>1930</v>
      </c>
      <c r="C1773" s="17">
        <v>19900101</v>
      </c>
      <c r="D1773" s="17">
        <v>22991231</v>
      </c>
      <c r="E1773" s="25">
        <v>1450.8</v>
      </c>
    </row>
    <row r="1774" spans="1:5" ht="26" x14ac:dyDescent="0.3">
      <c r="A1774" s="17" t="str">
        <f>"28341"</f>
        <v>28341</v>
      </c>
      <c r="B1774" s="5" t="s">
        <v>1931</v>
      </c>
      <c r="C1774" s="17">
        <v>19900101</v>
      </c>
      <c r="D1774" s="17">
        <v>22991231</v>
      </c>
      <c r="E1774" s="25">
        <v>1450.8</v>
      </c>
    </row>
    <row r="1775" spans="1:5" x14ac:dyDescent="0.3">
      <c r="A1775" s="17" t="str">
        <f>"28344"</f>
        <v>28344</v>
      </c>
      <c r="B1775" s="5" t="s">
        <v>1932</v>
      </c>
      <c r="C1775" s="17">
        <v>19900101</v>
      </c>
      <c r="D1775" s="17">
        <v>22991231</v>
      </c>
      <c r="E1775" s="25">
        <v>1450.8</v>
      </c>
    </row>
    <row r="1776" spans="1:5" ht="26" x14ac:dyDescent="0.3">
      <c r="A1776" s="17" t="str">
        <f>"28345"</f>
        <v>28345</v>
      </c>
      <c r="B1776" s="5" t="s">
        <v>1933</v>
      </c>
      <c r="C1776" s="17">
        <v>19900101</v>
      </c>
      <c r="D1776" s="17">
        <v>22991231</v>
      </c>
      <c r="E1776" s="25">
        <v>782.3</v>
      </c>
    </row>
    <row r="1777" spans="1:5" x14ac:dyDescent="0.3">
      <c r="A1777" s="17" t="str">
        <f>"28360"</f>
        <v>28360</v>
      </c>
      <c r="B1777" s="5" t="s">
        <v>1934</v>
      </c>
      <c r="C1777" s="17">
        <v>19900101</v>
      </c>
      <c r="D1777" s="17">
        <v>22991231</v>
      </c>
      <c r="E1777" s="24" t="s">
        <v>7128</v>
      </c>
    </row>
    <row r="1778" spans="1:5" x14ac:dyDescent="0.3">
      <c r="A1778" s="17" t="str">
        <f>"28400"</f>
        <v>28400</v>
      </c>
      <c r="B1778" s="5" t="s">
        <v>1935</v>
      </c>
      <c r="C1778" s="17">
        <v>19900101</v>
      </c>
      <c r="D1778" s="17">
        <v>22991231</v>
      </c>
      <c r="E1778" s="25">
        <v>116.84</v>
      </c>
    </row>
    <row r="1779" spans="1:5" ht="26" x14ac:dyDescent="0.3">
      <c r="A1779" s="17" t="str">
        <f>"28405"</f>
        <v>28405</v>
      </c>
      <c r="B1779" s="5" t="s">
        <v>1936</v>
      </c>
      <c r="C1779" s="17">
        <v>19900101</v>
      </c>
      <c r="D1779" s="17">
        <v>22991231</v>
      </c>
      <c r="E1779" s="25">
        <v>116.84</v>
      </c>
    </row>
    <row r="1780" spans="1:5" ht="26" x14ac:dyDescent="0.3">
      <c r="A1780" s="17" t="str">
        <f>"28406"</f>
        <v>28406</v>
      </c>
      <c r="B1780" s="5" t="s">
        <v>1937</v>
      </c>
      <c r="C1780" s="17">
        <v>19900101</v>
      </c>
      <c r="D1780" s="17">
        <v>22991231</v>
      </c>
      <c r="E1780" s="25">
        <v>3240.75</v>
      </c>
    </row>
    <row r="1781" spans="1:5" x14ac:dyDescent="0.3">
      <c r="A1781" s="17" t="str">
        <f>"28415"</f>
        <v>28415</v>
      </c>
      <c r="B1781" s="5" t="s">
        <v>1938</v>
      </c>
      <c r="C1781" s="17">
        <v>19900101</v>
      </c>
      <c r="D1781" s="17">
        <v>22991231</v>
      </c>
      <c r="E1781" s="25">
        <v>4276.3599999999997</v>
      </c>
    </row>
    <row r="1782" spans="1:5" x14ac:dyDescent="0.3">
      <c r="A1782" s="17" t="str">
        <f>"28420"</f>
        <v>28420</v>
      </c>
      <c r="B1782" s="5" t="s">
        <v>1939</v>
      </c>
      <c r="C1782" s="17">
        <v>19900101</v>
      </c>
      <c r="D1782" s="17">
        <v>22991231</v>
      </c>
      <c r="E1782" s="25">
        <v>8275.09</v>
      </c>
    </row>
    <row r="1783" spans="1:5" x14ac:dyDescent="0.3">
      <c r="A1783" s="17" t="str">
        <f>"28430"</f>
        <v>28430</v>
      </c>
      <c r="B1783" s="5" t="s">
        <v>1940</v>
      </c>
      <c r="C1783" s="17">
        <v>19900101</v>
      </c>
      <c r="D1783" s="17">
        <v>22991231</v>
      </c>
      <c r="E1783" s="25">
        <v>116.84</v>
      </c>
    </row>
    <row r="1784" spans="1:5" ht="26" x14ac:dyDescent="0.3">
      <c r="A1784" s="17" t="str">
        <f>"28435"</f>
        <v>28435</v>
      </c>
      <c r="B1784" s="5" t="s">
        <v>1941</v>
      </c>
      <c r="C1784" s="17">
        <v>19900101</v>
      </c>
      <c r="D1784" s="17">
        <v>22991231</v>
      </c>
      <c r="E1784" s="25">
        <v>782.3</v>
      </c>
    </row>
    <row r="1785" spans="1:5" ht="26" x14ac:dyDescent="0.3">
      <c r="A1785" s="17" t="str">
        <f>"28436"</f>
        <v>28436</v>
      </c>
      <c r="B1785" s="5" t="s">
        <v>1942</v>
      </c>
      <c r="C1785" s="17">
        <v>19900101</v>
      </c>
      <c r="D1785" s="17">
        <v>22991231</v>
      </c>
      <c r="E1785" s="25">
        <v>3240.75</v>
      </c>
    </row>
    <row r="1786" spans="1:5" ht="26" x14ac:dyDescent="0.3">
      <c r="A1786" s="17" t="str">
        <f>"28445"</f>
        <v>28445</v>
      </c>
      <c r="B1786" s="5" t="s">
        <v>1943</v>
      </c>
      <c r="C1786" s="17">
        <v>19900101</v>
      </c>
      <c r="D1786" s="17">
        <v>22991231</v>
      </c>
      <c r="E1786" s="25">
        <v>4240.84</v>
      </c>
    </row>
    <row r="1787" spans="1:5" ht="26" x14ac:dyDescent="0.3">
      <c r="A1787" s="17" t="str">
        <f>"28446"</f>
        <v>28446</v>
      </c>
      <c r="B1787" s="5" t="s">
        <v>1944</v>
      </c>
      <c r="C1787" s="17">
        <v>20080101</v>
      </c>
      <c r="D1787" s="17">
        <v>22991231</v>
      </c>
      <c r="E1787" s="25">
        <v>4883.79</v>
      </c>
    </row>
    <row r="1788" spans="1:5" x14ac:dyDescent="0.3">
      <c r="A1788" s="17" t="str">
        <f>"28450"</f>
        <v>28450</v>
      </c>
      <c r="B1788" s="5" t="s">
        <v>1945</v>
      </c>
      <c r="C1788" s="17">
        <v>19900101</v>
      </c>
      <c r="D1788" s="17">
        <v>22991231</v>
      </c>
      <c r="E1788" s="25">
        <v>116.84</v>
      </c>
    </row>
    <row r="1789" spans="1:5" ht="26" x14ac:dyDescent="0.3">
      <c r="A1789" s="17" t="str">
        <f>"28455"</f>
        <v>28455</v>
      </c>
      <c r="B1789" s="5" t="s">
        <v>1946</v>
      </c>
      <c r="C1789" s="17">
        <v>19900101</v>
      </c>
      <c r="D1789" s="17">
        <v>22991231</v>
      </c>
      <c r="E1789" s="25">
        <v>136.05000000000001</v>
      </c>
    </row>
    <row r="1790" spans="1:5" ht="26" x14ac:dyDescent="0.3">
      <c r="A1790" s="17" t="str">
        <f>"28456"</f>
        <v>28456</v>
      </c>
      <c r="B1790" s="5" t="s">
        <v>1947</v>
      </c>
      <c r="C1790" s="17">
        <v>19900101</v>
      </c>
      <c r="D1790" s="17">
        <v>22991231</v>
      </c>
      <c r="E1790" s="25">
        <v>3240.75</v>
      </c>
    </row>
    <row r="1791" spans="1:5" x14ac:dyDescent="0.3">
      <c r="A1791" s="17" t="str">
        <f>"28465"</f>
        <v>28465</v>
      </c>
      <c r="B1791" s="5" t="s">
        <v>1948</v>
      </c>
      <c r="C1791" s="17">
        <v>19900101</v>
      </c>
      <c r="D1791" s="17">
        <v>22991231</v>
      </c>
      <c r="E1791" s="25">
        <v>4063.49</v>
      </c>
    </row>
    <row r="1792" spans="1:5" ht="26" x14ac:dyDescent="0.3">
      <c r="A1792" s="17" t="str">
        <f>"28470"</f>
        <v>28470</v>
      </c>
      <c r="B1792" s="5" t="s">
        <v>1949</v>
      </c>
      <c r="C1792" s="17">
        <v>19900101</v>
      </c>
      <c r="D1792" s="17">
        <v>22991231</v>
      </c>
      <c r="E1792" s="25">
        <v>116.84</v>
      </c>
    </row>
    <row r="1793" spans="1:5" ht="26" x14ac:dyDescent="0.3">
      <c r="A1793" s="17" t="str">
        <f>"28475"</f>
        <v>28475</v>
      </c>
      <c r="B1793" s="5" t="s">
        <v>1950</v>
      </c>
      <c r="C1793" s="17">
        <v>19900101</v>
      </c>
      <c r="D1793" s="17">
        <v>22991231</v>
      </c>
      <c r="E1793" s="25">
        <v>116.84</v>
      </c>
    </row>
    <row r="1794" spans="1:5" ht="26" x14ac:dyDescent="0.3">
      <c r="A1794" s="17" t="str">
        <f>"28476"</f>
        <v>28476</v>
      </c>
      <c r="B1794" s="5" t="s">
        <v>1951</v>
      </c>
      <c r="C1794" s="17">
        <v>19900101</v>
      </c>
      <c r="D1794" s="17">
        <v>22991231</v>
      </c>
      <c r="E1794" s="25">
        <v>1450.8</v>
      </c>
    </row>
    <row r="1795" spans="1:5" x14ac:dyDescent="0.3">
      <c r="A1795" s="17" t="str">
        <f>"28485"</f>
        <v>28485</v>
      </c>
      <c r="B1795" s="5" t="s">
        <v>1952</v>
      </c>
      <c r="C1795" s="17">
        <v>19900101</v>
      </c>
      <c r="D1795" s="17">
        <v>22991231</v>
      </c>
      <c r="E1795" s="25">
        <v>4187.42</v>
      </c>
    </row>
    <row r="1796" spans="1:5" x14ac:dyDescent="0.3">
      <c r="A1796" s="17" t="str">
        <f>"28490"</f>
        <v>28490</v>
      </c>
      <c r="B1796" s="5" t="s">
        <v>1953</v>
      </c>
      <c r="C1796" s="17">
        <v>19900101</v>
      </c>
      <c r="D1796" s="17">
        <v>22991231</v>
      </c>
      <c r="E1796" s="25">
        <v>96.01</v>
      </c>
    </row>
    <row r="1797" spans="1:5" ht="26" x14ac:dyDescent="0.3">
      <c r="A1797" s="17" t="str">
        <f>"28495"</f>
        <v>28495</v>
      </c>
      <c r="B1797" s="5" t="s">
        <v>1954</v>
      </c>
      <c r="C1797" s="17">
        <v>19900101</v>
      </c>
      <c r="D1797" s="17">
        <v>22991231</v>
      </c>
      <c r="E1797" s="25">
        <v>115.41</v>
      </c>
    </row>
    <row r="1798" spans="1:5" ht="26" x14ac:dyDescent="0.3">
      <c r="A1798" s="17" t="str">
        <f>"28496"</f>
        <v>28496</v>
      </c>
      <c r="B1798" s="5" t="s">
        <v>1955</v>
      </c>
      <c r="C1798" s="17">
        <v>19900101</v>
      </c>
      <c r="D1798" s="17">
        <v>22991231</v>
      </c>
      <c r="E1798" s="25">
        <v>1450.8</v>
      </c>
    </row>
    <row r="1799" spans="1:5" x14ac:dyDescent="0.3">
      <c r="A1799" s="17" t="str">
        <f>"28505"</f>
        <v>28505</v>
      </c>
      <c r="B1799" s="5" t="s">
        <v>1956</v>
      </c>
      <c r="C1799" s="17">
        <v>19900101</v>
      </c>
      <c r="D1799" s="17">
        <v>22991231</v>
      </c>
      <c r="E1799" s="25">
        <v>1450.8</v>
      </c>
    </row>
    <row r="1800" spans="1:5" x14ac:dyDescent="0.3">
      <c r="A1800" s="17" t="str">
        <f>"28510"</f>
        <v>28510</v>
      </c>
      <c r="B1800" s="5" t="s">
        <v>1957</v>
      </c>
      <c r="C1800" s="17">
        <v>19900101</v>
      </c>
      <c r="D1800" s="17">
        <v>22991231</v>
      </c>
      <c r="E1800" s="25">
        <v>76.62</v>
      </c>
    </row>
    <row r="1801" spans="1:5" ht="26" x14ac:dyDescent="0.3">
      <c r="A1801" s="17" t="str">
        <f>"28515"</f>
        <v>28515</v>
      </c>
      <c r="B1801" s="5" t="s">
        <v>1958</v>
      </c>
      <c r="C1801" s="17">
        <v>19900101</v>
      </c>
      <c r="D1801" s="17">
        <v>22991231</v>
      </c>
      <c r="E1801" s="25">
        <v>105.4</v>
      </c>
    </row>
    <row r="1802" spans="1:5" x14ac:dyDescent="0.3">
      <c r="A1802" s="17" t="str">
        <f>"28525"</f>
        <v>28525</v>
      </c>
      <c r="B1802" s="5" t="s">
        <v>1959</v>
      </c>
      <c r="C1802" s="17">
        <v>19900101</v>
      </c>
      <c r="D1802" s="17">
        <v>22991231</v>
      </c>
      <c r="E1802" s="25">
        <v>1450.8</v>
      </c>
    </row>
    <row r="1803" spans="1:5" ht="26" x14ac:dyDescent="0.3">
      <c r="A1803" s="17" t="str">
        <f>"28530"</f>
        <v>28530</v>
      </c>
      <c r="B1803" s="5" t="s">
        <v>1960</v>
      </c>
      <c r="C1803" s="17">
        <v>19900101</v>
      </c>
      <c r="D1803" s="17">
        <v>22991231</v>
      </c>
      <c r="E1803" s="25">
        <v>74.75</v>
      </c>
    </row>
    <row r="1804" spans="1:5" ht="26" x14ac:dyDescent="0.3">
      <c r="A1804" s="17" t="str">
        <f>"28531"</f>
        <v>28531</v>
      </c>
      <c r="B1804" s="5" t="s">
        <v>1961</v>
      </c>
      <c r="C1804" s="17">
        <v>19930101</v>
      </c>
      <c r="D1804" s="17">
        <v>22991231</v>
      </c>
      <c r="E1804" s="25">
        <v>3240.75</v>
      </c>
    </row>
    <row r="1805" spans="1:5" x14ac:dyDescent="0.3">
      <c r="A1805" s="17" t="str">
        <f>"28540"</f>
        <v>28540</v>
      </c>
      <c r="B1805" s="5" t="s">
        <v>1962</v>
      </c>
      <c r="C1805" s="17">
        <v>19900101</v>
      </c>
      <c r="D1805" s="17">
        <v>22991231</v>
      </c>
      <c r="E1805" s="25">
        <v>115.41</v>
      </c>
    </row>
    <row r="1806" spans="1:5" ht="26" x14ac:dyDescent="0.3">
      <c r="A1806" s="17" t="str">
        <f>"28545"</f>
        <v>28545</v>
      </c>
      <c r="B1806" s="5" t="s">
        <v>1963</v>
      </c>
      <c r="C1806" s="17">
        <v>19900101</v>
      </c>
      <c r="D1806" s="17">
        <v>22991231</v>
      </c>
      <c r="E1806" s="25">
        <v>1450.8</v>
      </c>
    </row>
    <row r="1807" spans="1:5" ht="26" x14ac:dyDescent="0.3">
      <c r="A1807" s="17" t="str">
        <f>"28546"</f>
        <v>28546</v>
      </c>
      <c r="B1807" s="5" t="s">
        <v>1964</v>
      </c>
      <c r="C1807" s="17">
        <v>19900101</v>
      </c>
      <c r="D1807" s="17">
        <v>22991231</v>
      </c>
      <c r="E1807" s="25">
        <v>782.3</v>
      </c>
    </row>
    <row r="1808" spans="1:5" ht="26" x14ac:dyDescent="0.3">
      <c r="A1808" s="17" t="str">
        <f>"28555"</f>
        <v>28555</v>
      </c>
      <c r="B1808" s="5" t="s">
        <v>1965</v>
      </c>
      <c r="C1808" s="17">
        <v>19900101</v>
      </c>
      <c r="D1808" s="17">
        <v>22991231</v>
      </c>
      <c r="E1808" s="25">
        <v>4204.5</v>
      </c>
    </row>
    <row r="1809" spans="1:5" x14ac:dyDescent="0.3">
      <c r="A1809" s="17" t="str">
        <f>"28570"</f>
        <v>28570</v>
      </c>
      <c r="B1809" s="5" t="s">
        <v>1966</v>
      </c>
      <c r="C1809" s="17">
        <v>19900101</v>
      </c>
      <c r="D1809" s="17">
        <v>22991231</v>
      </c>
      <c r="E1809" s="25">
        <v>116.84</v>
      </c>
    </row>
    <row r="1810" spans="1:5" ht="26" x14ac:dyDescent="0.3">
      <c r="A1810" s="17" t="str">
        <f>"28575"</f>
        <v>28575</v>
      </c>
      <c r="B1810" s="5" t="s">
        <v>1967</v>
      </c>
      <c r="C1810" s="17">
        <v>19900101</v>
      </c>
      <c r="D1810" s="17">
        <v>22991231</v>
      </c>
      <c r="E1810" s="25">
        <v>1450.8</v>
      </c>
    </row>
    <row r="1811" spans="1:5" ht="26" x14ac:dyDescent="0.3">
      <c r="A1811" s="17" t="str">
        <f>"28576"</f>
        <v>28576</v>
      </c>
      <c r="B1811" s="5" t="s">
        <v>1968</v>
      </c>
      <c r="C1811" s="17">
        <v>19970801</v>
      </c>
      <c r="D1811" s="17">
        <v>22991231</v>
      </c>
      <c r="E1811" s="25">
        <v>3240.75</v>
      </c>
    </row>
    <row r="1812" spans="1:5" x14ac:dyDescent="0.3">
      <c r="A1812" s="17" t="str">
        <f>"28585"</f>
        <v>28585</v>
      </c>
      <c r="B1812" s="5" t="s">
        <v>1969</v>
      </c>
      <c r="C1812" s="17">
        <v>19900101</v>
      </c>
      <c r="D1812" s="17">
        <v>22991231</v>
      </c>
      <c r="E1812" s="25">
        <v>4564.8900000000003</v>
      </c>
    </row>
    <row r="1813" spans="1:5" x14ac:dyDescent="0.3">
      <c r="A1813" s="17" t="str">
        <f>"28600"</f>
        <v>28600</v>
      </c>
      <c r="B1813" s="5" t="s">
        <v>1970</v>
      </c>
      <c r="C1813" s="17">
        <v>19900101</v>
      </c>
      <c r="D1813" s="17">
        <v>22991231</v>
      </c>
      <c r="E1813" s="25">
        <v>112.28</v>
      </c>
    </row>
    <row r="1814" spans="1:5" ht="26" x14ac:dyDescent="0.3">
      <c r="A1814" s="17" t="str">
        <f>"28605"</f>
        <v>28605</v>
      </c>
      <c r="B1814" s="5" t="s">
        <v>1971</v>
      </c>
      <c r="C1814" s="17">
        <v>19900101</v>
      </c>
      <c r="D1814" s="17">
        <v>22991231</v>
      </c>
      <c r="E1814" s="25">
        <v>116.84</v>
      </c>
    </row>
    <row r="1815" spans="1:5" ht="26" x14ac:dyDescent="0.3">
      <c r="A1815" s="17" t="str">
        <f>"28606"</f>
        <v>28606</v>
      </c>
      <c r="B1815" s="5" t="s">
        <v>1972</v>
      </c>
      <c r="C1815" s="17">
        <v>19900101</v>
      </c>
      <c r="D1815" s="17">
        <v>22991231</v>
      </c>
      <c r="E1815" s="25">
        <v>1450.8</v>
      </c>
    </row>
    <row r="1816" spans="1:5" x14ac:dyDescent="0.3">
      <c r="A1816" s="17" t="str">
        <f>"28615"</f>
        <v>28615</v>
      </c>
      <c r="B1816" s="5" t="s">
        <v>1973</v>
      </c>
      <c r="C1816" s="17">
        <v>19900101</v>
      </c>
      <c r="D1816" s="17">
        <v>22991231</v>
      </c>
      <c r="E1816" s="25">
        <v>4145.66</v>
      </c>
    </row>
    <row r="1817" spans="1:5" ht="26" x14ac:dyDescent="0.3">
      <c r="A1817" s="17" t="str">
        <f>"28630"</f>
        <v>28630</v>
      </c>
      <c r="B1817" s="5" t="s">
        <v>1974</v>
      </c>
      <c r="C1817" s="17">
        <v>19900101</v>
      </c>
      <c r="D1817" s="17">
        <v>22991231</v>
      </c>
      <c r="E1817" s="25">
        <v>84.76</v>
      </c>
    </row>
    <row r="1818" spans="1:5" ht="26" x14ac:dyDescent="0.3">
      <c r="A1818" s="17" t="str">
        <f>"28635"</f>
        <v>28635</v>
      </c>
      <c r="B1818" s="5" t="s">
        <v>1975</v>
      </c>
      <c r="C1818" s="17">
        <v>19900101</v>
      </c>
      <c r="D1818" s="17">
        <v>22991231</v>
      </c>
      <c r="E1818" s="25">
        <v>782.3</v>
      </c>
    </row>
    <row r="1819" spans="1:5" ht="26" x14ac:dyDescent="0.3">
      <c r="A1819" s="17" t="str">
        <f>"28636"</f>
        <v>28636</v>
      </c>
      <c r="B1819" s="5" t="s">
        <v>1976</v>
      </c>
      <c r="C1819" s="17">
        <v>19970801</v>
      </c>
      <c r="D1819" s="17">
        <v>22991231</v>
      </c>
      <c r="E1819" s="25">
        <v>1450.8</v>
      </c>
    </row>
    <row r="1820" spans="1:5" ht="26" x14ac:dyDescent="0.3">
      <c r="A1820" s="17" t="str">
        <f>"28645"</f>
        <v>28645</v>
      </c>
      <c r="B1820" s="5" t="s">
        <v>1977</v>
      </c>
      <c r="C1820" s="17">
        <v>19900101</v>
      </c>
      <c r="D1820" s="17">
        <v>22991231</v>
      </c>
      <c r="E1820" s="25">
        <v>1450.8</v>
      </c>
    </row>
    <row r="1821" spans="1:5" x14ac:dyDescent="0.3">
      <c r="A1821" s="17" t="str">
        <f>"28660"</f>
        <v>28660</v>
      </c>
      <c r="B1821" s="5" t="s">
        <v>1978</v>
      </c>
      <c r="C1821" s="17">
        <v>19900101</v>
      </c>
      <c r="D1821" s="17">
        <v>22991231</v>
      </c>
      <c r="E1821" s="25">
        <v>73.180000000000007</v>
      </c>
    </row>
    <row r="1822" spans="1:5" ht="26" x14ac:dyDescent="0.3">
      <c r="A1822" s="17" t="str">
        <f>"28665"</f>
        <v>28665</v>
      </c>
      <c r="B1822" s="5" t="s">
        <v>1979</v>
      </c>
      <c r="C1822" s="17">
        <v>19900101</v>
      </c>
      <c r="D1822" s="17">
        <v>22991231</v>
      </c>
      <c r="E1822" s="25">
        <v>133.06</v>
      </c>
    </row>
    <row r="1823" spans="1:5" ht="26" x14ac:dyDescent="0.3">
      <c r="A1823" s="17" t="str">
        <f>"28666"</f>
        <v>28666</v>
      </c>
      <c r="B1823" s="5" t="s">
        <v>1980</v>
      </c>
      <c r="C1823" s="17">
        <v>19970801</v>
      </c>
      <c r="D1823" s="17">
        <v>22991231</v>
      </c>
      <c r="E1823" s="25">
        <v>1450.8</v>
      </c>
    </row>
    <row r="1824" spans="1:5" x14ac:dyDescent="0.3">
      <c r="A1824" s="17" t="str">
        <f>"28675"</f>
        <v>28675</v>
      </c>
      <c r="B1824" s="5" t="s">
        <v>1981</v>
      </c>
      <c r="C1824" s="17">
        <v>19900101</v>
      </c>
      <c r="D1824" s="17">
        <v>22991231</v>
      </c>
      <c r="E1824" s="25">
        <v>1450.8</v>
      </c>
    </row>
    <row r="1825" spans="1:5" x14ac:dyDescent="0.3">
      <c r="A1825" s="17" t="str">
        <f>"28705"</f>
        <v>28705</v>
      </c>
      <c r="B1825" s="5" t="s">
        <v>1982</v>
      </c>
      <c r="C1825" s="17">
        <v>19900101</v>
      </c>
      <c r="D1825" s="17">
        <v>22991231</v>
      </c>
      <c r="E1825" s="25">
        <v>12121.93</v>
      </c>
    </row>
    <row r="1826" spans="1:5" x14ac:dyDescent="0.3">
      <c r="A1826" s="17" t="str">
        <f>"28715"</f>
        <v>28715</v>
      </c>
      <c r="B1826" s="5" t="s">
        <v>1983</v>
      </c>
      <c r="C1826" s="17">
        <v>19900101</v>
      </c>
      <c r="D1826" s="17">
        <v>22991231</v>
      </c>
      <c r="E1826" s="25">
        <v>9373.91</v>
      </c>
    </row>
    <row r="1827" spans="1:5" x14ac:dyDescent="0.3">
      <c r="A1827" s="17" t="str">
        <f>"28725"</f>
        <v>28725</v>
      </c>
      <c r="B1827" s="5" t="s">
        <v>1984</v>
      </c>
      <c r="C1827" s="17">
        <v>19900101</v>
      </c>
      <c r="D1827" s="17">
        <v>22991231</v>
      </c>
      <c r="E1827" s="25">
        <v>8595.65</v>
      </c>
    </row>
    <row r="1828" spans="1:5" x14ac:dyDescent="0.3">
      <c r="A1828" s="17" t="str">
        <f>"28730"</f>
        <v>28730</v>
      </c>
      <c r="B1828" s="5" t="s">
        <v>1985</v>
      </c>
      <c r="C1828" s="17">
        <v>19900101</v>
      </c>
      <c r="D1828" s="17">
        <v>22991231</v>
      </c>
      <c r="E1828" s="25">
        <v>9157.7900000000009</v>
      </c>
    </row>
    <row r="1829" spans="1:5" ht="26" x14ac:dyDescent="0.3">
      <c r="A1829" s="17" t="str">
        <f>"28735"</f>
        <v>28735</v>
      </c>
      <c r="B1829" s="5" t="s">
        <v>1986</v>
      </c>
      <c r="C1829" s="17">
        <v>19900101</v>
      </c>
      <c r="D1829" s="17">
        <v>22991231</v>
      </c>
      <c r="E1829" s="25">
        <v>9063.23</v>
      </c>
    </row>
    <row r="1830" spans="1:5" ht="26" x14ac:dyDescent="0.3">
      <c r="A1830" s="17" t="str">
        <f>"28737"</f>
        <v>28737</v>
      </c>
      <c r="B1830" s="5" t="s">
        <v>1987</v>
      </c>
      <c r="C1830" s="17">
        <v>19900101</v>
      </c>
      <c r="D1830" s="17">
        <v>22991231</v>
      </c>
      <c r="E1830" s="25">
        <v>9301.18</v>
      </c>
    </row>
    <row r="1831" spans="1:5" x14ac:dyDescent="0.3">
      <c r="A1831" s="17" t="str">
        <f>"28740"</f>
        <v>28740</v>
      </c>
      <c r="B1831" s="5" t="s">
        <v>1988</v>
      </c>
      <c r="C1831" s="17">
        <v>19900101</v>
      </c>
      <c r="D1831" s="17">
        <v>22991231</v>
      </c>
      <c r="E1831" s="25">
        <v>4668.4799999999996</v>
      </c>
    </row>
    <row r="1832" spans="1:5" x14ac:dyDescent="0.3">
      <c r="A1832" s="17" t="str">
        <f>"28750"</f>
        <v>28750</v>
      </c>
      <c r="B1832" s="5" t="s">
        <v>1989</v>
      </c>
      <c r="C1832" s="17">
        <v>19900101</v>
      </c>
      <c r="D1832" s="17">
        <v>22991231</v>
      </c>
      <c r="E1832" s="25">
        <v>4529.91</v>
      </c>
    </row>
    <row r="1833" spans="1:5" x14ac:dyDescent="0.3">
      <c r="A1833" s="17" t="str">
        <f>"28755"</f>
        <v>28755</v>
      </c>
      <c r="B1833" s="5" t="s">
        <v>1990</v>
      </c>
      <c r="C1833" s="17">
        <v>19900101</v>
      </c>
      <c r="D1833" s="17">
        <v>22991231</v>
      </c>
      <c r="E1833" s="25">
        <v>3240.75</v>
      </c>
    </row>
    <row r="1834" spans="1:5" ht="26" x14ac:dyDescent="0.3">
      <c r="A1834" s="17" t="str">
        <f>"28760"</f>
        <v>28760</v>
      </c>
      <c r="B1834" s="5" t="s">
        <v>1991</v>
      </c>
      <c r="C1834" s="17">
        <v>19900101</v>
      </c>
      <c r="D1834" s="17">
        <v>22991231</v>
      </c>
      <c r="E1834" s="25">
        <v>4081.38</v>
      </c>
    </row>
    <row r="1835" spans="1:5" x14ac:dyDescent="0.3">
      <c r="A1835" s="17" t="str">
        <f>"28805"</f>
        <v>28805</v>
      </c>
      <c r="B1835" s="5" t="s">
        <v>1992</v>
      </c>
      <c r="C1835" s="17">
        <v>19900101</v>
      </c>
      <c r="D1835" s="17">
        <v>22991231</v>
      </c>
      <c r="E1835" s="24" t="s">
        <v>7128</v>
      </c>
    </row>
    <row r="1836" spans="1:5" x14ac:dyDescent="0.3">
      <c r="A1836" s="17" t="str">
        <f>"28810"</f>
        <v>28810</v>
      </c>
      <c r="B1836" s="5" t="s">
        <v>1993</v>
      </c>
      <c r="C1836" s="17">
        <v>19900101</v>
      </c>
      <c r="D1836" s="17">
        <v>22991231</v>
      </c>
      <c r="E1836" s="25">
        <v>1450.8</v>
      </c>
    </row>
    <row r="1837" spans="1:5" ht="26" x14ac:dyDescent="0.3">
      <c r="A1837" s="17" t="str">
        <f>"28820"</f>
        <v>28820</v>
      </c>
      <c r="B1837" s="5" t="s">
        <v>1994</v>
      </c>
      <c r="C1837" s="17">
        <v>19900101</v>
      </c>
      <c r="D1837" s="17">
        <v>22991231</v>
      </c>
      <c r="E1837" s="25">
        <v>1450.8</v>
      </c>
    </row>
    <row r="1838" spans="1:5" x14ac:dyDescent="0.3">
      <c r="A1838" s="17" t="str">
        <f>"28825"</f>
        <v>28825</v>
      </c>
      <c r="B1838" s="5" t="s">
        <v>1995</v>
      </c>
      <c r="C1838" s="17">
        <v>19900101</v>
      </c>
      <c r="D1838" s="17">
        <v>22991231</v>
      </c>
      <c r="E1838" s="25">
        <v>1450.8</v>
      </c>
    </row>
    <row r="1839" spans="1:5" ht="26" x14ac:dyDescent="0.3">
      <c r="A1839" s="17" t="str">
        <f>"28890"</f>
        <v>28890</v>
      </c>
      <c r="B1839" s="5" t="s">
        <v>1996</v>
      </c>
      <c r="C1839" s="17">
        <v>20060101</v>
      </c>
      <c r="D1839" s="17">
        <v>22991231</v>
      </c>
      <c r="E1839" s="25">
        <v>177.02</v>
      </c>
    </row>
    <row r="1840" spans="1:5" x14ac:dyDescent="0.3">
      <c r="A1840" s="17" t="str">
        <f>"29000"</f>
        <v>29000</v>
      </c>
      <c r="B1840" s="5" t="s">
        <v>1997</v>
      </c>
      <c r="C1840" s="17">
        <v>19900101</v>
      </c>
      <c r="D1840" s="17">
        <v>22991231</v>
      </c>
      <c r="E1840" s="25">
        <v>133.06</v>
      </c>
    </row>
    <row r="1841" spans="1:5" x14ac:dyDescent="0.3">
      <c r="A1841" s="17" t="str">
        <f>"29010"</f>
        <v>29010</v>
      </c>
      <c r="B1841" s="5" t="s">
        <v>1998</v>
      </c>
      <c r="C1841" s="17">
        <v>19900101</v>
      </c>
      <c r="D1841" s="17">
        <v>22991231</v>
      </c>
      <c r="E1841" s="25">
        <v>133.06</v>
      </c>
    </row>
    <row r="1842" spans="1:5" ht="26" x14ac:dyDescent="0.3">
      <c r="A1842" s="17" t="str">
        <f>"29015"</f>
        <v>29015</v>
      </c>
      <c r="B1842" s="5" t="s">
        <v>1999</v>
      </c>
      <c r="C1842" s="17">
        <v>19900101</v>
      </c>
      <c r="D1842" s="17">
        <v>22991231</v>
      </c>
      <c r="E1842" s="25">
        <v>133.06</v>
      </c>
    </row>
    <row r="1843" spans="1:5" x14ac:dyDescent="0.3">
      <c r="A1843" s="17" t="str">
        <f>"29035"</f>
        <v>29035</v>
      </c>
      <c r="B1843" s="5" t="s">
        <v>2000</v>
      </c>
      <c r="C1843" s="17">
        <v>19900101</v>
      </c>
      <c r="D1843" s="17">
        <v>22991231</v>
      </c>
      <c r="E1843" s="25">
        <v>133.06</v>
      </c>
    </row>
    <row r="1844" spans="1:5" ht="26" x14ac:dyDescent="0.3">
      <c r="A1844" s="17" t="str">
        <f>"29040"</f>
        <v>29040</v>
      </c>
      <c r="B1844" s="5" t="s">
        <v>2001</v>
      </c>
      <c r="C1844" s="17">
        <v>19900101</v>
      </c>
      <c r="D1844" s="17">
        <v>22991231</v>
      </c>
      <c r="E1844" s="25">
        <v>133.06</v>
      </c>
    </row>
    <row r="1845" spans="1:5" ht="26" x14ac:dyDescent="0.3">
      <c r="A1845" s="17" t="str">
        <f>"29044"</f>
        <v>29044</v>
      </c>
      <c r="B1845" s="5" t="s">
        <v>2002</v>
      </c>
      <c r="C1845" s="17">
        <v>19900101</v>
      </c>
      <c r="D1845" s="17">
        <v>22991231</v>
      </c>
      <c r="E1845" s="25">
        <v>78.069999999999993</v>
      </c>
    </row>
    <row r="1846" spans="1:5" ht="26" x14ac:dyDescent="0.3">
      <c r="A1846" s="17" t="str">
        <f>"29046"</f>
        <v>29046</v>
      </c>
      <c r="B1846" s="5" t="s">
        <v>2003</v>
      </c>
      <c r="C1846" s="17">
        <v>19900101</v>
      </c>
      <c r="D1846" s="17">
        <v>22991231</v>
      </c>
      <c r="E1846" s="25">
        <v>133.06</v>
      </c>
    </row>
    <row r="1847" spans="1:5" x14ac:dyDescent="0.3">
      <c r="A1847" s="17" t="str">
        <f>"29049"</f>
        <v>29049</v>
      </c>
      <c r="B1847" s="5" t="s">
        <v>2004</v>
      </c>
      <c r="C1847" s="17">
        <v>19900101</v>
      </c>
      <c r="D1847" s="17">
        <v>22991231</v>
      </c>
      <c r="E1847" s="25">
        <v>62.55</v>
      </c>
    </row>
    <row r="1848" spans="1:5" x14ac:dyDescent="0.3">
      <c r="A1848" s="17" t="str">
        <f>"29055"</f>
        <v>29055</v>
      </c>
      <c r="B1848" s="5" t="s">
        <v>2005</v>
      </c>
      <c r="C1848" s="17">
        <v>19900101</v>
      </c>
      <c r="D1848" s="17">
        <v>22991231</v>
      </c>
      <c r="E1848" s="25">
        <v>133.06</v>
      </c>
    </row>
    <row r="1849" spans="1:5" ht="26" x14ac:dyDescent="0.3">
      <c r="A1849" s="17" t="str">
        <f>"29058"</f>
        <v>29058</v>
      </c>
      <c r="B1849" s="5" t="s">
        <v>2006</v>
      </c>
      <c r="C1849" s="17">
        <v>19900101</v>
      </c>
      <c r="D1849" s="17">
        <v>22991231</v>
      </c>
      <c r="E1849" s="25">
        <v>69.430000000000007</v>
      </c>
    </row>
    <row r="1850" spans="1:5" x14ac:dyDescent="0.3">
      <c r="A1850" s="17" t="str">
        <f>"29065"</f>
        <v>29065</v>
      </c>
      <c r="B1850" s="5" t="s">
        <v>2007</v>
      </c>
      <c r="C1850" s="17">
        <v>19900101</v>
      </c>
      <c r="D1850" s="17">
        <v>22991231</v>
      </c>
      <c r="E1850" s="25">
        <v>60.67</v>
      </c>
    </row>
    <row r="1851" spans="1:5" x14ac:dyDescent="0.3">
      <c r="A1851" s="17" t="str">
        <f>"29075"</f>
        <v>29075</v>
      </c>
      <c r="B1851" s="5" t="s">
        <v>2008</v>
      </c>
      <c r="C1851" s="17">
        <v>19900101</v>
      </c>
      <c r="D1851" s="17">
        <v>22991231</v>
      </c>
      <c r="E1851" s="25">
        <v>55.36</v>
      </c>
    </row>
    <row r="1852" spans="1:5" x14ac:dyDescent="0.3">
      <c r="A1852" s="17" t="str">
        <f>"29085"</f>
        <v>29085</v>
      </c>
      <c r="B1852" s="5" t="s">
        <v>2009</v>
      </c>
      <c r="C1852" s="17">
        <v>19900101</v>
      </c>
      <c r="D1852" s="17">
        <v>22991231</v>
      </c>
      <c r="E1852" s="25">
        <v>60.05</v>
      </c>
    </row>
    <row r="1853" spans="1:5" x14ac:dyDescent="0.3">
      <c r="A1853" s="17" t="str">
        <f>"29086"</f>
        <v>29086</v>
      </c>
      <c r="B1853" s="5" t="s">
        <v>2010</v>
      </c>
      <c r="C1853" s="17">
        <v>20230101</v>
      </c>
      <c r="D1853" s="17">
        <v>22991231</v>
      </c>
      <c r="E1853" s="25">
        <v>52.23</v>
      </c>
    </row>
    <row r="1854" spans="1:5" x14ac:dyDescent="0.3">
      <c r="A1854" s="17" t="str">
        <f>"29105"</f>
        <v>29105</v>
      </c>
      <c r="B1854" s="5" t="s">
        <v>2011</v>
      </c>
      <c r="C1854" s="17">
        <v>19900101</v>
      </c>
      <c r="D1854" s="17">
        <v>22991231</v>
      </c>
      <c r="E1854" s="25">
        <v>49.42</v>
      </c>
    </row>
    <row r="1855" spans="1:5" ht="26" x14ac:dyDescent="0.3">
      <c r="A1855" s="17" t="str">
        <f>"29125"</f>
        <v>29125</v>
      </c>
      <c r="B1855" s="5" t="s">
        <v>2012</v>
      </c>
      <c r="C1855" s="17">
        <v>19900101</v>
      </c>
      <c r="D1855" s="17">
        <v>22991231</v>
      </c>
      <c r="E1855" s="25">
        <v>0</v>
      </c>
    </row>
    <row r="1856" spans="1:5" ht="26" x14ac:dyDescent="0.3">
      <c r="A1856" s="17" t="str">
        <f>"29126"</f>
        <v>29126</v>
      </c>
      <c r="B1856" s="5" t="s">
        <v>2013</v>
      </c>
      <c r="C1856" s="17">
        <v>19900101</v>
      </c>
      <c r="D1856" s="17">
        <v>22991231</v>
      </c>
      <c r="E1856" s="25">
        <v>0</v>
      </c>
    </row>
    <row r="1857" spans="1:5" x14ac:dyDescent="0.3">
      <c r="A1857" s="17" t="str">
        <f>"29130"</f>
        <v>29130</v>
      </c>
      <c r="B1857" s="5" t="s">
        <v>2014</v>
      </c>
      <c r="C1857" s="17">
        <v>19900101</v>
      </c>
      <c r="D1857" s="17">
        <v>22991231</v>
      </c>
      <c r="E1857" s="25">
        <v>0</v>
      </c>
    </row>
    <row r="1858" spans="1:5" x14ac:dyDescent="0.3">
      <c r="A1858" s="17" t="str">
        <f>"29131"</f>
        <v>29131</v>
      </c>
      <c r="B1858" s="5" t="s">
        <v>2015</v>
      </c>
      <c r="C1858" s="17">
        <v>19900101</v>
      </c>
      <c r="D1858" s="17">
        <v>22991231</v>
      </c>
      <c r="E1858" s="25">
        <v>0</v>
      </c>
    </row>
    <row r="1859" spans="1:5" x14ac:dyDescent="0.3">
      <c r="A1859" s="17" t="str">
        <f>"29200"</f>
        <v>29200</v>
      </c>
      <c r="B1859" s="5" t="s">
        <v>2016</v>
      </c>
      <c r="C1859" s="17">
        <v>19900101</v>
      </c>
      <c r="D1859" s="17">
        <v>22991231</v>
      </c>
      <c r="E1859" s="25">
        <v>17.2</v>
      </c>
    </row>
    <row r="1860" spans="1:5" x14ac:dyDescent="0.3">
      <c r="A1860" s="17" t="str">
        <f>"29240"</f>
        <v>29240</v>
      </c>
      <c r="B1860" s="5" t="s">
        <v>2017</v>
      </c>
      <c r="C1860" s="17">
        <v>19900101</v>
      </c>
      <c r="D1860" s="17">
        <v>22991231</v>
      </c>
      <c r="E1860" s="25">
        <v>0</v>
      </c>
    </row>
    <row r="1861" spans="1:5" x14ac:dyDescent="0.3">
      <c r="A1861" s="17" t="str">
        <f>"29260"</f>
        <v>29260</v>
      </c>
      <c r="B1861" s="5" t="s">
        <v>2018</v>
      </c>
      <c r="C1861" s="17">
        <v>19900101</v>
      </c>
      <c r="D1861" s="17">
        <v>22991231</v>
      </c>
      <c r="E1861" s="25">
        <v>0</v>
      </c>
    </row>
    <row r="1862" spans="1:5" x14ac:dyDescent="0.3">
      <c r="A1862" s="17" t="str">
        <f>"29280"</f>
        <v>29280</v>
      </c>
      <c r="B1862" s="5" t="s">
        <v>2019</v>
      </c>
      <c r="C1862" s="17">
        <v>19900101</v>
      </c>
      <c r="D1862" s="17">
        <v>22991231</v>
      </c>
      <c r="E1862" s="25">
        <v>0</v>
      </c>
    </row>
    <row r="1863" spans="1:5" x14ac:dyDescent="0.3">
      <c r="A1863" s="17" t="str">
        <f>"29305"</f>
        <v>29305</v>
      </c>
      <c r="B1863" s="5" t="s">
        <v>2020</v>
      </c>
      <c r="C1863" s="17">
        <v>19900101</v>
      </c>
      <c r="D1863" s="17">
        <v>22991231</v>
      </c>
      <c r="E1863" s="25">
        <v>133.06</v>
      </c>
    </row>
    <row r="1864" spans="1:5" ht="26" x14ac:dyDescent="0.3">
      <c r="A1864" s="17" t="str">
        <f>"29325"</f>
        <v>29325</v>
      </c>
      <c r="B1864" s="5" t="s">
        <v>2021</v>
      </c>
      <c r="C1864" s="17">
        <v>19900101</v>
      </c>
      <c r="D1864" s="17">
        <v>22991231</v>
      </c>
      <c r="E1864" s="25">
        <v>133.06</v>
      </c>
    </row>
    <row r="1865" spans="1:5" x14ac:dyDescent="0.3">
      <c r="A1865" s="17" t="str">
        <f>"29345"</f>
        <v>29345</v>
      </c>
      <c r="B1865" s="5" t="s">
        <v>2022</v>
      </c>
      <c r="C1865" s="17">
        <v>19900101</v>
      </c>
      <c r="D1865" s="17">
        <v>22991231</v>
      </c>
      <c r="E1865" s="25">
        <v>77.25</v>
      </c>
    </row>
    <row r="1866" spans="1:5" x14ac:dyDescent="0.3">
      <c r="A1866" s="17" t="str">
        <f>"29355"</f>
        <v>29355</v>
      </c>
      <c r="B1866" s="5" t="s">
        <v>2023</v>
      </c>
      <c r="C1866" s="17">
        <v>19900101</v>
      </c>
      <c r="D1866" s="17">
        <v>22991231</v>
      </c>
      <c r="E1866" s="25">
        <v>78.19</v>
      </c>
    </row>
    <row r="1867" spans="1:5" ht="26" x14ac:dyDescent="0.3">
      <c r="A1867" s="17" t="str">
        <f>"29358"</f>
        <v>29358</v>
      </c>
      <c r="B1867" s="5" t="s">
        <v>2024</v>
      </c>
      <c r="C1867" s="17">
        <v>19900101</v>
      </c>
      <c r="D1867" s="17">
        <v>22991231</v>
      </c>
      <c r="E1867" s="25">
        <v>101.65</v>
      </c>
    </row>
    <row r="1868" spans="1:5" x14ac:dyDescent="0.3">
      <c r="A1868" s="17" t="str">
        <f>"29365"</f>
        <v>29365</v>
      </c>
      <c r="B1868" s="5" t="s">
        <v>2025</v>
      </c>
      <c r="C1868" s="17">
        <v>19900101</v>
      </c>
      <c r="D1868" s="17">
        <v>22991231</v>
      </c>
      <c r="E1868" s="25">
        <v>75.069999999999993</v>
      </c>
    </row>
    <row r="1869" spans="1:5" x14ac:dyDescent="0.3">
      <c r="A1869" s="17" t="str">
        <f>"29405"</f>
        <v>29405</v>
      </c>
      <c r="B1869" s="5" t="s">
        <v>2026</v>
      </c>
      <c r="C1869" s="17">
        <v>19900101</v>
      </c>
      <c r="D1869" s="17">
        <v>22991231</v>
      </c>
      <c r="E1869" s="25">
        <v>47.85</v>
      </c>
    </row>
    <row r="1870" spans="1:5" ht="26" x14ac:dyDescent="0.3">
      <c r="A1870" s="17" t="str">
        <f>"29425"</f>
        <v>29425</v>
      </c>
      <c r="B1870" s="5" t="s">
        <v>2027</v>
      </c>
      <c r="C1870" s="17">
        <v>19900101</v>
      </c>
      <c r="D1870" s="17">
        <v>22991231</v>
      </c>
      <c r="E1870" s="25">
        <v>43.78</v>
      </c>
    </row>
    <row r="1871" spans="1:5" x14ac:dyDescent="0.3">
      <c r="A1871" s="17" t="str">
        <f>"29435"</f>
        <v>29435</v>
      </c>
      <c r="B1871" s="5" t="s">
        <v>2028</v>
      </c>
      <c r="C1871" s="17">
        <v>19900101</v>
      </c>
      <c r="D1871" s="17">
        <v>22991231</v>
      </c>
      <c r="E1871" s="25">
        <v>74.430000000000007</v>
      </c>
    </row>
    <row r="1872" spans="1:5" x14ac:dyDescent="0.3">
      <c r="A1872" s="17" t="str">
        <f>"29440"</f>
        <v>29440</v>
      </c>
      <c r="B1872" s="5" t="s">
        <v>2029</v>
      </c>
      <c r="C1872" s="17">
        <v>19900101</v>
      </c>
      <c r="D1872" s="17">
        <v>22991231</v>
      </c>
      <c r="E1872" s="25">
        <v>21.58</v>
      </c>
    </row>
    <row r="1873" spans="1:5" ht="26" x14ac:dyDescent="0.3">
      <c r="A1873" s="17" t="str">
        <f>"29445"</f>
        <v>29445</v>
      </c>
      <c r="B1873" s="5" t="s">
        <v>2030</v>
      </c>
      <c r="C1873" s="17">
        <v>19900101</v>
      </c>
      <c r="D1873" s="17">
        <v>22991231</v>
      </c>
      <c r="E1873" s="25">
        <v>59.42</v>
      </c>
    </row>
    <row r="1874" spans="1:5" ht="26" x14ac:dyDescent="0.3">
      <c r="A1874" s="17" t="str">
        <f>"29450"</f>
        <v>29450</v>
      </c>
      <c r="B1874" s="5" t="s">
        <v>2031</v>
      </c>
      <c r="C1874" s="17">
        <v>19900101</v>
      </c>
      <c r="D1874" s="17">
        <v>22991231</v>
      </c>
      <c r="E1874" s="25">
        <v>65.680000000000007</v>
      </c>
    </row>
    <row r="1875" spans="1:5" ht="26" x14ac:dyDescent="0.3">
      <c r="A1875" s="17" t="str">
        <f>"29505"</f>
        <v>29505</v>
      </c>
      <c r="B1875" s="5" t="s">
        <v>2032</v>
      </c>
      <c r="C1875" s="17">
        <v>19900101</v>
      </c>
      <c r="D1875" s="17">
        <v>22991231</v>
      </c>
      <c r="E1875" s="25">
        <v>60.67</v>
      </c>
    </row>
    <row r="1876" spans="1:5" x14ac:dyDescent="0.3">
      <c r="A1876" s="17" t="str">
        <f>"29515"</f>
        <v>29515</v>
      </c>
      <c r="B1876" s="5" t="s">
        <v>2033</v>
      </c>
      <c r="C1876" s="17">
        <v>19900101</v>
      </c>
      <c r="D1876" s="17">
        <v>22991231</v>
      </c>
      <c r="E1876" s="25">
        <v>42.85</v>
      </c>
    </row>
    <row r="1877" spans="1:5" x14ac:dyDescent="0.3">
      <c r="A1877" s="17" t="str">
        <f>"29520"</f>
        <v>29520</v>
      </c>
      <c r="B1877" s="5" t="s">
        <v>2034</v>
      </c>
      <c r="C1877" s="17">
        <v>19900101</v>
      </c>
      <c r="D1877" s="17">
        <v>22991231</v>
      </c>
      <c r="E1877" s="25">
        <v>0</v>
      </c>
    </row>
    <row r="1878" spans="1:5" x14ac:dyDescent="0.3">
      <c r="A1878" s="17" t="str">
        <f>"29530"</f>
        <v>29530</v>
      </c>
      <c r="B1878" s="5" t="s">
        <v>2035</v>
      </c>
      <c r="C1878" s="17">
        <v>19900101</v>
      </c>
      <c r="D1878" s="17">
        <v>22991231</v>
      </c>
      <c r="E1878" s="25">
        <v>0</v>
      </c>
    </row>
    <row r="1879" spans="1:5" x14ac:dyDescent="0.3">
      <c r="A1879" s="17" t="str">
        <f>"29540"</f>
        <v>29540</v>
      </c>
      <c r="B1879" s="5" t="s">
        <v>2036</v>
      </c>
      <c r="C1879" s="17">
        <v>19900101</v>
      </c>
      <c r="D1879" s="17">
        <v>22991231</v>
      </c>
      <c r="E1879" s="25">
        <v>13.13</v>
      </c>
    </row>
    <row r="1880" spans="1:5" x14ac:dyDescent="0.3">
      <c r="A1880" s="17" t="str">
        <f>"29550"</f>
        <v>29550</v>
      </c>
      <c r="B1880" s="5" t="s">
        <v>2037</v>
      </c>
      <c r="C1880" s="17">
        <v>19900101</v>
      </c>
      <c r="D1880" s="17">
        <v>22991231</v>
      </c>
      <c r="E1880" s="25">
        <v>0</v>
      </c>
    </row>
    <row r="1881" spans="1:5" x14ac:dyDescent="0.3">
      <c r="A1881" s="17" t="str">
        <f>"29580"</f>
        <v>29580</v>
      </c>
      <c r="B1881" s="5" t="s">
        <v>2038</v>
      </c>
      <c r="C1881" s="17">
        <v>19900101</v>
      </c>
      <c r="D1881" s="17">
        <v>22991231</v>
      </c>
      <c r="E1881" s="25">
        <v>40.659999999999997</v>
      </c>
    </row>
    <row r="1882" spans="1:5" ht="26" x14ac:dyDescent="0.3">
      <c r="A1882" s="17" t="str">
        <f>"29581"</f>
        <v>29581</v>
      </c>
      <c r="B1882" s="5" t="s">
        <v>2039</v>
      </c>
      <c r="C1882" s="17">
        <v>20100101</v>
      </c>
      <c r="D1882" s="17">
        <v>22991231</v>
      </c>
      <c r="E1882" s="25">
        <v>63.49</v>
      </c>
    </row>
    <row r="1883" spans="1:5" ht="39" x14ac:dyDescent="0.3">
      <c r="A1883" s="17" t="str">
        <f>"29584"</f>
        <v>29584</v>
      </c>
      <c r="B1883" s="5" t="s">
        <v>2040</v>
      </c>
      <c r="C1883" s="17">
        <v>20120101</v>
      </c>
      <c r="D1883" s="17">
        <v>22991231</v>
      </c>
      <c r="E1883" s="25">
        <v>63.8</v>
      </c>
    </row>
    <row r="1884" spans="1:5" ht="26" x14ac:dyDescent="0.3">
      <c r="A1884" s="17" t="str">
        <f>"29700"</f>
        <v>29700</v>
      </c>
      <c r="B1884" s="5" t="s">
        <v>2041</v>
      </c>
      <c r="C1884" s="17">
        <v>19900101</v>
      </c>
      <c r="D1884" s="17">
        <v>22991231</v>
      </c>
      <c r="E1884" s="25">
        <v>40.03</v>
      </c>
    </row>
    <row r="1885" spans="1:5" x14ac:dyDescent="0.3">
      <c r="A1885" s="17" t="str">
        <f>"29705"</f>
        <v>29705</v>
      </c>
      <c r="B1885" s="5" t="s">
        <v>2042</v>
      </c>
      <c r="C1885" s="17">
        <v>19900101</v>
      </c>
      <c r="D1885" s="17">
        <v>22991231</v>
      </c>
      <c r="E1885" s="25">
        <v>32.520000000000003</v>
      </c>
    </row>
    <row r="1886" spans="1:5" ht="26" x14ac:dyDescent="0.3">
      <c r="A1886" s="17" t="str">
        <f>"29710"</f>
        <v>29710</v>
      </c>
      <c r="B1886" s="5" t="s">
        <v>2043</v>
      </c>
      <c r="C1886" s="17">
        <v>19900101</v>
      </c>
      <c r="D1886" s="17">
        <v>22991231</v>
      </c>
      <c r="E1886" s="25">
        <v>66.62</v>
      </c>
    </row>
    <row r="1887" spans="1:5" x14ac:dyDescent="0.3">
      <c r="A1887" s="17" t="str">
        <f>"29720"</f>
        <v>29720</v>
      </c>
      <c r="B1887" s="5" t="s">
        <v>2044</v>
      </c>
      <c r="C1887" s="17">
        <v>19900101</v>
      </c>
      <c r="D1887" s="17">
        <v>22991231</v>
      </c>
      <c r="E1887" s="25">
        <v>57.23</v>
      </c>
    </row>
    <row r="1888" spans="1:5" ht="26" x14ac:dyDescent="0.3">
      <c r="A1888" s="17" t="str">
        <f>"29730"</f>
        <v>29730</v>
      </c>
      <c r="B1888" s="5" t="s">
        <v>2045</v>
      </c>
      <c r="C1888" s="17">
        <v>19900101</v>
      </c>
      <c r="D1888" s="17">
        <v>22991231</v>
      </c>
      <c r="E1888" s="25">
        <v>34.4</v>
      </c>
    </row>
    <row r="1889" spans="1:5" x14ac:dyDescent="0.3">
      <c r="A1889" s="17" t="str">
        <f>"29740"</f>
        <v>29740</v>
      </c>
      <c r="B1889" s="5" t="s">
        <v>2046</v>
      </c>
      <c r="C1889" s="17">
        <v>19900101</v>
      </c>
      <c r="D1889" s="17">
        <v>22991231</v>
      </c>
      <c r="E1889" s="25">
        <v>52.23</v>
      </c>
    </row>
    <row r="1890" spans="1:5" x14ac:dyDescent="0.3">
      <c r="A1890" s="17" t="str">
        <f>"29750"</f>
        <v>29750</v>
      </c>
      <c r="B1890" s="5" t="s">
        <v>2047</v>
      </c>
      <c r="C1890" s="17">
        <v>19900101</v>
      </c>
      <c r="D1890" s="17">
        <v>22991231</v>
      </c>
      <c r="E1890" s="25">
        <v>54.41</v>
      </c>
    </row>
    <row r="1891" spans="1:5" x14ac:dyDescent="0.3">
      <c r="A1891" s="17" t="str">
        <f>"29800"</f>
        <v>29800</v>
      </c>
      <c r="B1891" s="5" t="s">
        <v>2048</v>
      </c>
      <c r="C1891" s="17">
        <v>19910401</v>
      </c>
      <c r="D1891" s="17">
        <v>22991231</v>
      </c>
      <c r="E1891" s="25">
        <v>1450.8</v>
      </c>
    </row>
    <row r="1892" spans="1:5" x14ac:dyDescent="0.3">
      <c r="A1892" s="17" t="str">
        <f>"29804"</f>
        <v>29804</v>
      </c>
      <c r="B1892" s="5" t="s">
        <v>2049</v>
      </c>
      <c r="C1892" s="17">
        <v>19910401</v>
      </c>
      <c r="D1892" s="17">
        <v>22991231</v>
      </c>
      <c r="E1892" s="25">
        <v>1450.8</v>
      </c>
    </row>
    <row r="1893" spans="1:5" x14ac:dyDescent="0.3">
      <c r="A1893" s="17" t="str">
        <f>"29805"</f>
        <v>29805</v>
      </c>
      <c r="B1893" s="5" t="s">
        <v>2050</v>
      </c>
      <c r="C1893" s="17">
        <v>20030401</v>
      </c>
      <c r="D1893" s="17">
        <v>22991231</v>
      </c>
      <c r="E1893" s="25">
        <v>1450.8</v>
      </c>
    </row>
    <row r="1894" spans="1:5" ht="26" x14ac:dyDescent="0.3">
      <c r="A1894" s="17" t="str">
        <f>"29806"</f>
        <v>29806</v>
      </c>
      <c r="B1894" s="5" t="s">
        <v>2051</v>
      </c>
      <c r="C1894" s="17">
        <v>20020101</v>
      </c>
      <c r="D1894" s="17">
        <v>22991231</v>
      </c>
      <c r="E1894" s="25">
        <v>3240.75</v>
      </c>
    </row>
    <row r="1895" spans="1:5" x14ac:dyDescent="0.3">
      <c r="A1895" s="17" t="str">
        <f>"29807"</f>
        <v>29807</v>
      </c>
      <c r="B1895" s="5" t="s">
        <v>2052</v>
      </c>
      <c r="C1895" s="17">
        <v>20030101</v>
      </c>
      <c r="D1895" s="17">
        <v>22991231</v>
      </c>
      <c r="E1895" s="25">
        <v>3240.75</v>
      </c>
    </row>
    <row r="1896" spans="1:5" ht="26" x14ac:dyDescent="0.3">
      <c r="A1896" s="17" t="str">
        <f>"29819"</f>
        <v>29819</v>
      </c>
      <c r="B1896" s="5" t="s">
        <v>2053</v>
      </c>
      <c r="C1896" s="17">
        <v>19900101</v>
      </c>
      <c r="D1896" s="17">
        <v>22991231</v>
      </c>
      <c r="E1896" s="25">
        <v>1450.8</v>
      </c>
    </row>
    <row r="1897" spans="1:5" ht="26" x14ac:dyDescent="0.3">
      <c r="A1897" s="17" t="str">
        <f>"29820"</f>
        <v>29820</v>
      </c>
      <c r="B1897" s="5" t="s">
        <v>2054</v>
      </c>
      <c r="C1897" s="17">
        <v>19900101</v>
      </c>
      <c r="D1897" s="17">
        <v>22991231</v>
      </c>
      <c r="E1897" s="25">
        <v>3240.75</v>
      </c>
    </row>
    <row r="1898" spans="1:5" ht="26" x14ac:dyDescent="0.3">
      <c r="A1898" s="17" t="str">
        <f>"29821"</f>
        <v>29821</v>
      </c>
      <c r="B1898" s="5" t="s">
        <v>2055</v>
      </c>
      <c r="C1898" s="17">
        <v>19900101</v>
      </c>
      <c r="D1898" s="17">
        <v>22991231</v>
      </c>
      <c r="E1898" s="25">
        <v>1450.8</v>
      </c>
    </row>
    <row r="1899" spans="1:5" ht="26" x14ac:dyDescent="0.3">
      <c r="A1899" s="17" t="str">
        <f>"29822"</f>
        <v>29822</v>
      </c>
      <c r="B1899" s="5" t="s">
        <v>2056</v>
      </c>
      <c r="C1899" s="17">
        <v>19900101</v>
      </c>
      <c r="D1899" s="17">
        <v>22991231</v>
      </c>
      <c r="E1899" s="25">
        <v>1450.8</v>
      </c>
    </row>
    <row r="1900" spans="1:5" ht="26" x14ac:dyDescent="0.3">
      <c r="A1900" s="17" t="str">
        <f>"29823"</f>
        <v>29823</v>
      </c>
      <c r="B1900" s="5" t="s">
        <v>2057</v>
      </c>
      <c r="C1900" s="17">
        <v>19900101</v>
      </c>
      <c r="D1900" s="17">
        <v>22991231</v>
      </c>
      <c r="E1900" s="25">
        <v>1450.8</v>
      </c>
    </row>
    <row r="1901" spans="1:5" ht="26" x14ac:dyDescent="0.3">
      <c r="A1901" s="17" t="str">
        <f>"29824"</f>
        <v>29824</v>
      </c>
      <c r="B1901" s="5" t="s">
        <v>2058</v>
      </c>
      <c r="C1901" s="17">
        <v>20030401</v>
      </c>
      <c r="D1901" s="17">
        <v>22991231</v>
      </c>
      <c r="E1901" s="25">
        <v>1450.8</v>
      </c>
    </row>
    <row r="1902" spans="1:5" ht="26" x14ac:dyDescent="0.3">
      <c r="A1902" s="17" t="str">
        <f>"29825"</f>
        <v>29825</v>
      </c>
      <c r="B1902" s="5" t="s">
        <v>2059</v>
      </c>
      <c r="C1902" s="17">
        <v>19900101</v>
      </c>
      <c r="D1902" s="17">
        <v>22991231</v>
      </c>
      <c r="E1902" s="25">
        <v>1450.8</v>
      </c>
    </row>
    <row r="1903" spans="1:5" ht="26" x14ac:dyDescent="0.3">
      <c r="A1903" s="17" t="str">
        <f>"29826"</f>
        <v>29826</v>
      </c>
      <c r="B1903" s="5" t="s">
        <v>2060</v>
      </c>
      <c r="C1903" s="17">
        <v>19900401</v>
      </c>
      <c r="D1903" s="17">
        <v>22991231</v>
      </c>
      <c r="E1903" s="25">
        <v>0</v>
      </c>
    </row>
    <row r="1904" spans="1:5" ht="26" x14ac:dyDescent="0.3">
      <c r="A1904" s="17" t="str">
        <f>"29827"</f>
        <v>29827</v>
      </c>
      <c r="B1904" s="5" t="s">
        <v>2061</v>
      </c>
      <c r="C1904" s="17">
        <v>20030101</v>
      </c>
      <c r="D1904" s="17">
        <v>22991231</v>
      </c>
      <c r="E1904" s="25">
        <v>3240.75</v>
      </c>
    </row>
    <row r="1905" spans="1:5" ht="26" x14ac:dyDescent="0.3">
      <c r="A1905" s="17" t="str">
        <f>"29828"</f>
        <v>29828</v>
      </c>
      <c r="B1905" s="5" t="s">
        <v>2062</v>
      </c>
      <c r="C1905" s="17">
        <v>20080101</v>
      </c>
      <c r="D1905" s="17">
        <v>22991231</v>
      </c>
      <c r="E1905" s="25">
        <v>3240.75</v>
      </c>
    </row>
    <row r="1906" spans="1:5" ht="26" x14ac:dyDescent="0.3">
      <c r="A1906" s="17" t="str">
        <f>"29830"</f>
        <v>29830</v>
      </c>
      <c r="B1906" s="5" t="s">
        <v>2063</v>
      </c>
      <c r="C1906" s="17">
        <v>19900101</v>
      </c>
      <c r="D1906" s="17">
        <v>22991231</v>
      </c>
      <c r="E1906" s="25">
        <v>1450.8</v>
      </c>
    </row>
    <row r="1907" spans="1:5" ht="26" x14ac:dyDescent="0.3">
      <c r="A1907" s="17" t="str">
        <f>"29834"</f>
        <v>29834</v>
      </c>
      <c r="B1907" s="5" t="s">
        <v>2064</v>
      </c>
      <c r="C1907" s="17">
        <v>19900101</v>
      </c>
      <c r="D1907" s="17">
        <v>22991231</v>
      </c>
      <c r="E1907" s="25">
        <v>1450.8</v>
      </c>
    </row>
    <row r="1908" spans="1:5" ht="26" x14ac:dyDescent="0.3">
      <c r="A1908" s="17" t="str">
        <f>"29835"</f>
        <v>29835</v>
      </c>
      <c r="B1908" s="5" t="s">
        <v>2065</v>
      </c>
      <c r="C1908" s="17">
        <v>19900101</v>
      </c>
      <c r="D1908" s="17">
        <v>22991231</v>
      </c>
      <c r="E1908" s="25">
        <v>1450.8</v>
      </c>
    </row>
    <row r="1909" spans="1:5" ht="26" x14ac:dyDescent="0.3">
      <c r="A1909" s="17" t="str">
        <f>"29836"</f>
        <v>29836</v>
      </c>
      <c r="B1909" s="5" t="s">
        <v>2066</v>
      </c>
      <c r="C1909" s="17">
        <v>19900101</v>
      </c>
      <c r="D1909" s="17">
        <v>22991231</v>
      </c>
      <c r="E1909" s="25">
        <v>3240.75</v>
      </c>
    </row>
    <row r="1910" spans="1:5" ht="26" x14ac:dyDescent="0.3">
      <c r="A1910" s="17" t="str">
        <f>"29837"</f>
        <v>29837</v>
      </c>
      <c r="B1910" s="5" t="s">
        <v>2067</v>
      </c>
      <c r="C1910" s="17">
        <v>19900101</v>
      </c>
      <c r="D1910" s="17">
        <v>22991231</v>
      </c>
      <c r="E1910" s="25">
        <v>1450.8</v>
      </c>
    </row>
    <row r="1911" spans="1:5" ht="26" x14ac:dyDescent="0.3">
      <c r="A1911" s="17" t="str">
        <f>"29838"</f>
        <v>29838</v>
      </c>
      <c r="B1911" s="5" t="s">
        <v>2068</v>
      </c>
      <c r="C1911" s="17">
        <v>19900101</v>
      </c>
      <c r="D1911" s="17">
        <v>22991231</v>
      </c>
      <c r="E1911" s="25">
        <v>1450.8</v>
      </c>
    </row>
    <row r="1912" spans="1:5" x14ac:dyDescent="0.3">
      <c r="A1912" s="17" t="str">
        <f>"29840"</f>
        <v>29840</v>
      </c>
      <c r="B1912" s="5" t="s">
        <v>2069</v>
      </c>
      <c r="C1912" s="17">
        <v>19900101</v>
      </c>
      <c r="D1912" s="17">
        <v>22991231</v>
      </c>
      <c r="E1912" s="25">
        <v>1450.8</v>
      </c>
    </row>
    <row r="1913" spans="1:5" ht="26" x14ac:dyDescent="0.3">
      <c r="A1913" s="17" t="str">
        <f>"29843"</f>
        <v>29843</v>
      </c>
      <c r="B1913" s="5" t="s">
        <v>2070</v>
      </c>
      <c r="C1913" s="17">
        <v>19900101</v>
      </c>
      <c r="D1913" s="17">
        <v>22991231</v>
      </c>
      <c r="E1913" s="25">
        <v>1450.8</v>
      </c>
    </row>
    <row r="1914" spans="1:5" ht="26" x14ac:dyDescent="0.3">
      <c r="A1914" s="17" t="str">
        <f>"29844"</f>
        <v>29844</v>
      </c>
      <c r="B1914" s="5" t="s">
        <v>2071</v>
      </c>
      <c r="C1914" s="17">
        <v>19900101</v>
      </c>
      <c r="D1914" s="17">
        <v>22991231</v>
      </c>
      <c r="E1914" s="25">
        <v>1450.8</v>
      </c>
    </row>
    <row r="1915" spans="1:5" ht="26" x14ac:dyDescent="0.3">
      <c r="A1915" s="17" t="str">
        <f>"29845"</f>
        <v>29845</v>
      </c>
      <c r="B1915" s="5" t="s">
        <v>2072</v>
      </c>
      <c r="C1915" s="17">
        <v>19900101</v>
      </c>
      <c r="D1915" s="17">
        <v>22991231</v>
      </c>
      <c r="E1915" s="25">
        <v>1450.8</v>
      </c>
    </row>
    <row r="1916" spans="1:5" ht="26" x14ac:dyDescent="0.3">
      <c r="A1916" s="17" t="str">
        <f>"29846"</f>
        <v>29846</v>
      </c>
      <c r="B1916" s="5" t="s">
        <v>2073</v>
      </c>
      <c r="C1916" s="17">
        <v>19900101</v>
      </c>
      <c r="D1916" s="17">
        <v>22991231</v>
      </c>
      <c r="E1916" s="25">
        <v>1450.8</v>
      </c>
    </row>
    <row r="1917" spans="1:5" ht="26" x14ac:dyDescent="0.3">
      <c r="A1917" s="17" t="str">
        <f>"29847"</f>
        <v>29847</v>
      </c>
      <c r="B1917" s="5" t="s">
        <v>2074</v>
      </c>
      <c r="C1917" s="17">
        <v>19900101</v>
      </c>
      <c r="D1917" s="17">
        <v>22991231</v>
      </c>
      <c r="E1917" s="25">
        <v>3240.75</v>
      </c>
    </row>
    <row r="1918" spans="1:5" x14ac:dyDescent="0.3">
      <c r="A1918" s="17" t="str">
        <f>"29848"</f>
        <v>29848</v>
      </c>
      <c r="B1918" s="5" t="s">
        <v>2075</v>
      </c>
      <c r="C1918" s="17">
        <v>19920115</v>
      </c>
      <c r="D1918" s="17">
        <v>22991231</v>
      </c>
      <c r="E1918" s="25">
        <v>782.3</v>
      </c>
    </row>
    <row r="1919" spans="1:5" ht="26" x14ac:dyDescent="0.3">
      <c r="A1919" s="17" t="str">
        <f>"29850"</f>
        <v>29850</v>
      </c>
      <c r="B1919" s="5" t="s">
        <v>2076</v>
      </c>
      <c r="C1919" s="17">
        <v>19930101</v>
      </c>
      <c r="D1919" s="17">
        <v>22991231</v>
      </c>
      <c r="E1919" s="25">
        <v>782.3</v>
      </c>
    </row>
    <row r="1920" spans="1:5" ht="26" x14ac:dyDescent="0.3">
      <c r="A1920" s="17" t="str">
        <f>"29851"</f>
        <v>29851</v>
      </c>
      <c r="B1920" s="5" t="s">
        <v>2077</v>
      </c>
      <c r="C1920" s="17">
        <v>19930101</v>
      </c>
      <c r="D1920" s="17">
        <v>22991231</v>
      </c>
      <c r="E1920" s="25">
        <v>782.3</v>
      </c>
    </row>
    <row r="1921" spans="1:5" ht="26" x14ac:dyDescent="0.3">
      <c r="A1921" s="17" t="str">
        <f>"29855"</f>
        <v>29855</v>
      </c>
      <c r="B1921" s="5" t="s">
        <v>2078</v>
      </c>
      <c r="C1921" s="17">
        <v>19930101</v>
      </c>
      <c r="D1921" s="17">
        <v>22991231</v>
      </c>
      <c r="E1921" s="25">
        <v>4628.62</v>
      </c>
    </row>
    <row r="1922" spans="1:5" ht="26" x14ac:dyDescent="0.3">
      <c r="A1922" s="17" t="str">
        <f>"29856"</f>
        <v>29856</v>
      </c>
      <c r="B1922" s="5" t="s">
        <v>2079</v>
      </c>
      <c r="C1922" s="17">
        <v>19930101</v>
      </c>
      <c r="D1922" s="17">
        <v>22991231</v>
      </c>
      <c r="E1922" s="25">
        <v>10027.49</v>
      </c>
    </row>
    <row r="1923" spans="1:5" x14ac:dyDescent="0.3">
      <c r="A1923" s="17" t="str">
        <f>"29860"</f>
        <v>29860</v>
      </c>
      <c r="B1923" s="5" t="s">
        <v>2080</v>
      </c>
      <c r="C1923" s="17">
        <v>19980101</v>
      </c>
      <c r="D1923" s="17">
        <v>22991231</v>
      </c>
      <c r="E1923" s="25">
        <v>3240.75</v>
      </c>
    </row>
    <row r="1924" spans="1:5" ht="26" x14ac:dyDescent="0.3">
      <c r="A1924" s="17" t="str">
        <f>"29861"</f>
        <v>29861</v>
      </c>
      <c r="B1924" s="5" t="s">
        <v>2081</v>
      </c>
      <c r="C1924" s="17">
        <v>19980101</v>
      </c>
      <c r="D1924" s="17">
        <v>22991231</v>
      </c>
      <c r="E1924" s="25">
        <v>3240.75</v>
      </c>
    </row>
    <row r="1925" spans="1:5" ht="26" x14ac:dyDescent="0.3">
      <c r="A1925" s="17" t="str">
        <f>"29862"</f>
        <v>29862</v>
      </c>
      <c r="B1925" s="5" t="s">
        <v>2082</v>
      </c>
      <c r="C1925" s="17">
        <v>19980101</v>
      </c>
      <c r="D1925" s="17">
        <v>22991231</v>
      </c>
      <c r="E1925" s="25">
        <v>3240.75</v>
      </c>
    </row>
    <row r="1926" spans="1:5" x14ac:dyDescent="0.3">
      <c r="A1926" s="17" t="str">
        <f>"29863"</f>
        <v>29863</v>
      </c>
      <c r="B1926" s="5" t="s">
        <v>2083</v>
      </c>
      <c r="C1926" s="17">
        <v>19980101</v>
      </c>
      <c r="D1926" s="17">
        <v>22991231</v>
      </c>
      <c r="E1926" s="25">
        <v>1450.8</v>
      </c>
    </row>
    <row r="1927" spans="1:5" ht="39" x14ac:dyDescent="0.3">
      <c r="A1927" s="17" t="str">
        <f>"29866"</f>
        <v>29866</v>
      </c>
      <c r="B1927" s="5" t="s">
        <v>2084</v>
      </c>
      <c r="C1927" s="17">
        <v>20230101</v>
      </c>
      <c r="D1927" s="17">
        <v>22991231</v>
      </c>
      <c r="E1927" s="25">
        <v>3240.75</v>
      </c>
    </row>
    <row r="1928" spans="1:5" ht="26" x14ac:dyDescent="0.3">
      <c r="A1928" s="17" t="str">
        <f>"29867"</f>
        <v>29867</v>
      </c>
      <c r="B1928" s="5" t="s">
        <v>2085</v>
      </c>
      <c r="C1928" s="17">
        <v>20230101</v>
      </c>
      <c r="D1928" s="17">
        <v>22991231</v>
      </c>
      <c r="E1928" s="25">
        <v>9276.76</v>
      </c>
    </row>
    <row r="1929" spans="1:5" ht="26" x14ac:dyDescent="0.3">
      <c r="A1929" s="17" t="str">
        <f>"29868"</f>
        <v>29868</v>
      </c>
      <c r="B1929" s="5" t="s">
        <v>2086</v>
      </c>
      <c r="C1929" s="17">
        <v>20240101</v>
      </c>
      <c r="D1929" s="17">
        <v>22991231</v>
      </c>
      <c r="E1929" s="25">
        <v>3240.75</v>
      </c>
    </row>
    <row r="1930" spans="1:5" x14ac:dyDescent="0.3">
      <c r="A1930" s="17" t="str">
        <f>"29870"</f>
        <v>29870</v>
      </c>
      <c r="B1930" s="5" t="s">
        <v>2087</v>
      </c>
      <c r="C1930" s="17">
        <v>19900101</v>
      </c>
      <c r="D1930" s="17">
        <v>22991231</v>
      </c>
      <c r="E1930" s="25">
        <v>1450.8</v>
      </c>
    </row>
    <row r="1931" spans="1:5" ht="26" x14ac:dyDescent="0.3">
      <c r="A1931" s="17" t="str">
        <f>"29871"</f>
        <v>29871</v>
      </c>
      <c r="B1931" s="5" t="s">
        <v>2088</v>
      </c>
      <c r="C1931" s="17">
        <v>19900101</v>
      </c>
      <c r="D1931" s="17">
        <v>22991231</v>
      </c>
      <c r="E1931" s="25">
        <v>1450.8</v>
      </c>
    </row>
    <row r="1932" spans="1:5" ht="26" x14ac:dyDescent="0.3">
      <c r="A1932" s="17" t="str">
        <f>"29873"</f>
        <v>29873</v>
      </c>
      <c r="B1932" s="5" t="s">
        <v>2089</v>
      </c>
      <c r="C1932" s="17">
        <v>20030101</v>
      </c>
      <c r="D1932" s="17">
        <v>22991231</v>
      </c>
      <c r="E1932" s="25">
        <v>1450.8</v>
      </c>
    </row>
    <row r="1933" spans="1:5" ht="26" x14ac:dyDescent="0.3">
      <c r="A1933" s="17" t="str">
        <f>"29874"</f>
        <v>29874</v>
      </c>
      <c r="B1933" s="5" t="s">
        <v>2090</v>
      </c>
      <c r="C1933" s="17">
        <v>19900101</v>
      </c>
      <c r="D1933" s="17">
        <v>22991231</v>
      </c>
      <c r="E1933" s="25">
        <v>1450.8</v>
      </c>
    </row>
    <row r="1934" spans="1:5" ht="26" x14ac:dyDescent="0.3">
      <c r="A1934" s="17" t="str">
        <f>"29875"</f>
        <v>29875</v>
      </c>
      <c r="B1934" s="5" t="s">
        <v>2091</v>
      </c>
      <c r="C1934" s="17">
        <v>19900101</v>
      </c>
      <c r="D1934" s="17">
        <v>22991231</v>
      </c>
      <c r="E1934" s="25">
        <v>1450.8</v>
      </c>
    </row>
    <row r="1935" spans="1:5" ht="26" x14ac:dyDescent="0.3">
      <c r="A1935" s="17" t="str">
        <f>"29876"</f>
        <v>29876</v>
      </c>
      <c r="B1935" s="5" t="s">
        <v>2092</v>
      </c>
      <c r="C1935" s="17">
        <v>19900101</v>
      </c>
      <c r="D1935" s="17">
        <v>22991231</v>
      </c>
      <c r="E1935" s="25">
        <v>1450.8</v>
      </c>
    </row>
    <row r="1936" spans="1:5" ht="26" x14ac:dyDescent="0.3">
      <c r="A1936" s="17" t="str">
        <f>"29877"</f>
        <v>29877</v>
      </c>
      <c r="B1936" s="5" t="s">
        <v>2093</v>
      </c>
      <c r="C1936" s="17">
        <v>19900101</v>
      </c>
      <c r="D1936" s="17">
        <v>22991231</v>
      </c>
      <c r="E1936" s="25">
        <v>1450.8</v>
      </c>
    </row>
    <row r="1937" spans="1:5" ht="26" x14ac:dyDescent="0.3">
      <c r="A1937" s="17" t="str">
        <f>"29879"</f>
        <v>29879</v>
      </c>
      <c r="B1937" s="5" t="s">
        <v>2094</v>
      </c>
      <c r="C1937" s="17">
        <v>19900101</v>
      </c>
      <c r="D1937" s="17">
        <v>22991231</v>
      </c>
      <c r="E1937" s="25">
        <v>1450.8</v>
      </c>
    </row>
    <row r="1938" spans="1:5" ht="26" x14ac:dyDescent="0.3">
      <c r="A1938" s="17" t="str">
        <f>"29880"</f>
        <v>29880</v>
      </c>
      <c r="B1938" s="5" t="s">
        <v>2095</v>
      </c>
      <c r="C1938" s="17">
        <v>19900101</v>
      </c>
      <c r="D1938" s="17">
        <v>22991231</v>
      </c>
      <c r="E1938" s="25">
        <v>1450.8</v>
      </c>
    </row>
    <row r="1939" spans="1:5" x14ac:dyDescent="0.3">
      <c r="A1939" s="17" t="str">
        <f>"29881"</f>
        <v>29881</v>
      </c>
      <c r="B1939" s="5" t="s">
        <v>2096</v>
      </c>
      <c r="C1939" s="17">
        <v>19900101</v>
      </c>
      <c r="D1939" s="17">
        <v>22991231</v>
      </c>
      <c r="E1939" s="25">
        <v>1450.8</v>
      </c>
    </row>
    <row r="1940" spans="1:5" ht="26" x14ac:dyDescent="0.3">
      <c r="A1940" s="17" t="str">
        <f>"29882"</f>
        <v>29882</v>
      </c>
      <c r="B1940" s="5" t="s">
        <v>2097</v>
      </c>
      <c r="C1940" s="17">
        <v>19900101</v>
      </c>
      <c r="D1940" s="17">
        <v>22991231</v>
      </c>
      <c r="E1940" s="25">
        <v>1450.8</v>
      </c>
    </row>
    <row r="1941" spans="1:5" ht="26" x14ac:dyDescent="0.3">
      <c r="A1941" s="17" t="str">
        <f>"29883"</f>
        <v>29883</v>
      </c>
      <c r="B1941" s="5" t="s">
        <v>2098</v>
      </c>
      <c r="C1941" s="17">
        <v>19900101</v>
      </c>
      <c r="D1941" s="17">
        <v>22991231</v>
      </c>
      <c r="E1941" s="25">
        <v>1450.8</v>
      </c>
    </row>
    <row r="1942" spans="1:5" ht="26" x14ac:dyDescent="0.3">
      <c r="A1942" s="17" t="str">
        <f>"29884"</f>
        <v>29884</v>
      </c>
      <c r="B1942" s="5" t="s">
        <v>2099</v>
      </c>
      <c r="C1942" s="17">
        <v>19900101</v>
      </c>
      <c r="D1942" s="17">
        <v>22991231</v>
      </c>
      <c r="E1942" s="25">
        <v>1450.8</v>
      </c>
    </row>
    <row r="1943" spans="1:5" ht="26" x14ac:dyDescent="0.3">
      <c r="A1943" s="17" t="str">
        <f>"29885"</f>
        <v>29885</v>
      </c>
      <c r="B1943" s="5" t="s">
        <v>2100</v>
      </c>
      <c r="C1943" s="17">
        <v>19970801</v>
      </c>
      <c r="D1943" s="17">
        <v>22991231</v>
      </c>
      <c r="E1943" s="25">
        <v>4160.57</v>
      </c>
    </row>
    <row r="1944" spans="1:5" ht="26" x14ac:dyDescent="0.3">
      <c r="A1944" s="17" t="str">
        <f>"29886"</f>
        <v>29886</v>
      </c>
      <c r="B1944" s="5" t="s">
        <v>2101</v>
      </c>
      <c r="C1944" s="17">
        <v>19900101</v>
      </c>
      <c r="D1944" s="17">
        <v>22991231</v>
      </c>
      <c r="E1944" s="25">
        <v>1450.8</v>
      </c>
    </row>
    <row r="1945" spans="1:5" ht="26" x14ac:dyDescent="0.3">
      <c r="A1945" s="17" t="str">
        <f>"29887"</f>
        <v>29887</v>
      </c>
      <c r="B1945" s="5" t="s">
        <v>2102</v>
      </c>
      <c r="C1945" s="17">
        <v>19900101</v>
      </c>
      <c r="D1945" s="17">
        <v>22991231</v>
      </c>
      <c r="E1945" s="25">
        <v>3240.75</v>
      </c>
    </row>
    <row r="1946" spans="1:5" ht="26" x14ac:dyDescent="0.3">
      <c r="A1946" s="17" t="str">
        <f>"29888"</f>
        <v>29888</v>
      </c>
      <c r="B1946" s="5" t="s">
        <v>2103</v>
      </c>
      <c r="C1946" s="17">
        <v>19900101</v>
      </c>
      <c r="D1946" s="17">
        <v>22991231</v>
      </c>
      <c r="E1946" s="25">
        <v>4295.3500000000004</v>
      </c>
    </row>
    <row r="1947" spans="1:5" ht="26" x14ac:dyDescent="0.3">
      <c r="A1947" s="17" t="str">
        <f>"29889"</f>
        <v>29889</v>
      </c>
      <c r="B1947" s="5" t="s">
        <v>2104</v>
      </c>
      <c r="C1947" s="17">
        <v>19970801</v>
      </c>
      <c r="D1947" s="17">
        <v>22991231</v>
      </c>
      <c r="E1947" s="25">
        <v>7819.46</v>
      </c>
    </row>
    <row r="1948" spans="1:5" ht="26" x14ac:dyDescent="0.3">
      <c r="A1948" s="17" t="str">
        <f>"29891"</f>
        <v>29891</v>
      </c>
      <c r="B1948" s="5" t="s">
        <v>2105</v>
      </c>
      <c r="C1948" s="17">
        <v>19980101</v>
      </c>
      <c r="D1948" s="17">
        <v>22991231</v>
      </c>
      <c r="E1948" s="25">
        <v>1450.8</v>
      </c>
    </row>
    <row r="1949" spans="1:5" ht="26" x14ac:dyDescent="0.3">
      <c r="A1949" s="17" t="str">
        <f>"29892"</f>
        <v>29892</v>
      </c>
      <c r="B1949" s="5" t="s">
        <v>2106</v>
      </c>
      <c r="C1949" s="17">
        <v>19980101</v>
      </c>
      <c r="D1949" s="17">
        <v>22991231</v>
      </c>
      <c r="E1949" s="25">
        <v>3240.75</v>
      </c>
    </row>
    <row r="1950" spans="1:5" ht="26" x14ac:dyDescent="0.3">
      <c r="A1950" s="17" t="str">
        <f>"29893"</f>
        <v>29893</v>
      </c>
      <c r="B1950" s="5" t="s">
        <v>2107</v>
      </c>
      <c r="C1950" s="17">
        <v>19980101</v>
      </c>
      <c r="D1950" s="17">
        <v>22991231</v>
      </c>
      <c r="E1950" s="25">
        <v>1450.8</v>
      </c>
    </row>
    <row r="1951" spans="1:5" ht="26" x14ac:dyDescent="0.3">
      <c r="A1951" s="17" t="str">
        <f>"29894"</f>
        <v>29894</v>
      </c>
      <c r="B1951" s="5" t="s">
        <v>2108</v>
      </c>
      <c r="C1951" s="17">
        <v>19900101</v>
      </c>
      <c r="D1951" s="17">
        <v>22991231</v>
      </c>
      <c r="E1951" s="25">
        <v>1450.8</v>
      </c>
    </row>
    <row r="1952" spans="1:5" ht="26" x14ac:dyDescent="0.3">
      <c r="A1952" s="17" t="str">
        <f>"29895"</f>
        <v>29895</v>
      </c>
      <c r="B1952" s="5" t="s">
        <v>2109</v>
      </c>
      <c r="C1952" s="17">
        <v>19900101</v>
      </c>
      <c r="D1952" s="17">
        <v>22991231</v>
      </c>
      <c r="E1952" s="25">
        <v>1450.8</v>
      </c>
    </row>
    <row r="1953" spans="1:5" ht="26" x14ac:dyDescent="0.3">
      <c r="A1953" s="17" t="str">
        <f>"29897"</f>
        <v>29897</v>
      </c>
      <c r="B1953" s="5" t="s">
        <v>2110</v>
      </c>
      <c r="C1953" s="17">
        <v>19900101</v>
      </c>
      <c r="D1953" s="17">
        <v>22991231</v>
      </c>
      <c r="E1953" s="25">
        <v>1450.8</v>
      </c>
    </row>
    <row r="1954" spans="1:5" ht="26" x14ac:dyDescent="0.3">
      <c r="A1954" s="17" t="str">
        <f>"29898"</f>
        <v>29898</v>
      </c>
      <c r="B1954" s="5" t="s">
        <v>2111</v>
      </c>
      <c r="C1954" s="17">
        <v>19900101</v>
      </c>
      <c r="D1954" s="17">
        <v>22991231</v>
      </c>
      <c r="E1954" s="25">
        <v>1450.8</v>
      </c>
    </row>
    <row r="1955" spans="1:5" x14ac:dyDescent="0.3">
      <c r="A1955" s="17" t="str">
        <f>"29899"</f>
        <v>29899</v>
      </c>
      <c r="B1955" s="5" t="s">
        <v>2112</v>
      </c>
      <c r="C1955" s="17">
        <v>20030401</v>
      </c>
      <c r="D1955" s="17">
        <v>22991231</v>
      </c>
      <c r="E1955" s="25">
        <v>4296.7</v>
      </c>
    </row>
    <row r="1956" spans="1:5" ht="26" x14ac:dyDescent="0.3">
      <c r="A1956" s="17" t="str">
        <f>"29900"</f>
        <v>29900</v>
      </c>
      <c r="B1956" s="5" t="s">
        <v>2113</v>
      </c>
      <c r="C1956" s="17">
        <v>20030401</v>
      </c>
      <c r="D1956" s="17">
        <v>22991231</v>
      </c>
      <c r="E1956" s="25">
        <v>1450.8</v>
      </c>
    </row>
    <row r="1957" spans="1:5" ht="26" x14ac:dyDescent="0.3">
      <c r="A1957" s="17" t="str">
        <f>"29901"</f>
        <v>29901</v>
      </c>
      <c r="B1957" s="5" t="s">
        <v>2114</v>
      </c>
      <c r="C1957" s="17">
        <v>20030401</v>
      </c>
      <c r="D1957" s="17">
        <v>22991231</v>
      </c>
      <c r="E1957" s="25">
        <v>1450.8</v>
      </c>
    </row>
    <row r="1958" spans="1:5" ht="26" x14ac:dyDescent="0.3">
      <c r="A1958" s="17" t="str">
        <f>"29902"</f>
        <v>29902</v>
      </c>
      <c r="B1958" s="5" t="s">
        <v>2115</v>
      </c>
      <c r="C1958" s="17">
        <v>20030401</v>
      </c>
      <c r="D1958" s="17">
        <v>22991231</v>
      </c>
      <c r="E1958" s="25">
        <v>782.3</v>
      </c>
    </row>
    <row r="1959" spans="1:5" ht="26" x14ac:dyDescent="0.3">
      <c r="A1959" s="17" t="str">
        <f>"29904"</f>
        <v>29904</v>
      </c>
      <c r="B1959" s="5" t="s">
        <v>2116</v>
      </c>
      <c r="C1959" s="17">
        <v>20080101</v>
      </c>
      <c r="D1959" s="17">
        <v>22991231</v>
      </c>
      <c r="E1959" s="25">
        <v>1450.8</v>
      </c>
    </row>
    <row r="1960" spans="1:5" ht="26" x14ac:dyDescent="0.3">
      <c r="A1960" s="17" t="str">
        <f>"29905"</f>
        <v>29905</v>
      </c>
      <c r="B1960" s="5" t="s">
        <v>2117</v>
      </c>
      <c r="C1960" s="17">
        <v>20080101</v>
      </c>
      <c r="D1960" s="17">
        <v>22991231</v>
      </c>
      <c r="E1960" s="25">
        <v>3240.75</v>
      </c>
    </row>
    <row r="1961" spans="1:5" ht="26" x14ac:dyDescent="0.3">
      <c r="A1961" s="17" t="str">
        <f>"29906"</f>
        <v>29906</v>
      </c>
      <c r="B1961" s="5" t="s">
        <v>2118</v>
      </c>
      <c r="C1961" s="17">
        <v>20080101</v>
      </c>
      <c r="D1961" s="17">
        <v>22991231</v>
      </c>
      <c r="E1961" s="25">
        <v>1450.8</v>
      </c>
    </row>
    <row r="1962" spans="1:5" x14ac:dyDescent="0.3">
      <c r="A1962" s="17" t="str">
        <f>"29907"</f>
        <v>29907</v>
      </c>
      <c r="B1962" s="5" t="s">
        <v>2119</v>
      </c>
      <c r="C1962" s="17">
        <v>20080101</v>
      </c>
      <c r="D1962" s="17">
        <v>22991231</v>
      </c>
      <c r="E1962" s="25">
        <v>8210.67</v>
      </c>
    </row>
    <row r="1963" spans="1:5" ht="26" x14ac:dyDescent="0.3">
      <c r="A1963" s="17" t="str">
        <f>"29914"</f>
        <v>29914</v>
      </c>
      <c r="B1963" s="5" t="s">
        <v>2120</v>
      </c>
      <c r="C1963" s="17">
        <v>20110101</v>
      </c>
      <c r="D1963" s="17">
        <v>22991231</v>
      </c>
      <c r="E1963" s="25">
        <v>3240.75</v>
      </c>
    </row>
    <row r="1964" spans="1:5" x14ac:dyDescent="0.3">
      <c r="A1964" s="17" t="str">
        <f>"29915"</f>
        <v>29915</v>
      </c>
      <c r="B1964" s="5" t="s">
        <v>2121</v>
      </c>
      <c r="C1964" s="17">
        <v>20110101</v>
      </c>
      <c r="D1964" s="17">
        <v>22991231</v>
      </c>
      <c r="E1964" s="25">
        <v>3240.75</v>
      </c>
    </row>
    <row r="1965" spans="1:5" ht="26" x14ac:dyDescent="0.3">
      <c r="A1965" s="17" t="str">
        <f>"29916"</f>
        <v>29916</v>
      </c>
      <c r="B1965" s="5" t="s">
        <v>2122</v>
      </c>
      <c r="C1965" s="17">
        <v>20110101</v>
      </c>
      <c r="D1965" s="17">
        <v>22991231</v>
      </c>
      <c r="E1965" s="25">
        <v>3240.75</v>
      </c>
    </row>
    <row r="1966" spans="1:5" ht="26" x14ac:dyDescent="0.3">
      <c r="A1966" s="17" t="str">
        <f>"30000"</f>
        <v>30000</v>
      </c>
      <c r="B1966" s="5" t="s">
        <v>2123</v>
      </c>
      <c r="C1966" s="17">
        <v>19900101</v>
      </c>
      <c r="D1966" s="17">
        <v>22991231</v>
      </c>
      <c r="E1966" s="25">
        <v>121.03</v>
      </c>
    </row>
    <row r="1967" spans="1:5" ht="26" x14ac:dyDescent="0.3">
      <c r="A1967" s="17" t="str">
        <f>"30020"</f>
        <v>30020</v>
      </c>
      <c r="B1967" s="5" t="s">
        <v>2124</v>
      </c>
      <c r="C1967" s="17">
        <v>19900101</v>
      </c>
      <c r="D1967" s="17">
        <v>22991231</v>
      </c>
      <c r="E1967" s="25">
        <v>201.41</v>
      </c>
    </row>
    <row r="1968" spans="1:5" x14ac:dyDescent="0.3">
      <c r="A1968" s="17" t="str">
        <f>"30100"</f>
        <v>30100</v>
      </c>
      <c r="B1968" s="5" t="s">
        <v>2125</v>
      </c>
      <c r="C1968" s="17">
        <v>19900101</v>
      </c>
      <c r="D1968" s="17">
        <v>22991231</v>
      </c>
      <c r="E1968" s="25">
        <v>99.14</v>
      </c>
    </row>
    <row r="1969" spans="1:5" x14ac:dyDescent="0.3">
      <c r="A1969" s="17" t="str">
        <f>"30110"</f>
        <v>30110</v>
      </c>
      <c r="B1969" s="5" t="s">
        <v>2126</v>
      </c>
      <c r="C1969" s="17">
        <v>19900101</v>
      </c>
      <c r="D1969" s="17">
        <v>22991231</v>
      </c>
      <c r="E1969" s="25">
        <v>175.15</v>
      </c>
    </row>
    <row r="1970" spans="1:5" x14ac:dyDescent="0.3">
      <c r="A1970" s="17" t="str">
        <f>"30115"</f>
        <v>30115</v>
      </c>
      <c r="B1970" s="5" t="s">
        <v>2127</v>
      </c>
      <c r="C1970" s="17">
        <v>19900101</v>
      </c>
      <c r="D1970" s="17">
        <v>22991231</v>
      </c>
      <c r="E1970" s="25">
        <v>1259.74</v>
      </c>
    </row>
    <row r="1971" spans="1:5" ht="26" x14ac:dyDescent="0.3">
      <c r="A1971" s="17" t="str">
        <f>"30117"</f>
        <v>30117</v>
      </c>
      <c r="B1971" s="5" t="s">
        <v>2128</v>
      </c>
      <c r="C1971" s="17">
        <v>19900101</v>
      </c>
      <c r="D1971" s="17">
        <v>22991231</v>
      </c>
      <c r="E1971" s="25">
        <v>1259.74</v>
      </c>
    </row>
    <row r="1972" spans="1:5" x14ac:dyDescent="0.3">
      <c r="A1972" s="17" t="str">
        <f>"30118"</f>
        <v>30118</v>
      </c>
      <c r="B1972" s="5" t="s">
        <v>2129</v>
      </c>
      <c r="C1972" s="17">
        <v>19900101</v>
      </c>
      <c r="D1972" s="17">
        <v>22991231</v>
      </c>
      <c r="E1972" s="25">
        <v>1259.74</v>
      </c>
    </row>
    <row r="1973" spans="1:5" x14ac:dyDescent="0.3">
      <c r="A1973" s="17" t="str">
        <f>"30120"</f>
        <v>30120</v>
      </c>
      <c r="B1973" s="5" t="s">
        <v>2130</v>
      </c>
      <c r="C1973" s="17">
        <v>19900101</v>
      </c>
      <c r="D1973" s="17">
        <v>22991231</v>
      </c>
      <c r="E1973" s="25">
        <v>1259.74</v>
      </c>
    </row>
    <row r="1974" spans="1:5" x14ac:dyDescent="0.3">
      <c r="A1974" s="17" t="str">
        <f>"30124"</f>
        <v>30124</v>
      </c>
      <c r="B1974" s="5" t="s">
        <v>2131</v>
      </c>
      <c r="C1974" s="17">
        <v>19900101</v>
      </c>
      <c r="D1974" s="17">
        <v>22991231</v>
      </c>
      <c r="E1974" s="25">
        <v>636.91999999999996</v>
      </c>
    </row>
    <row r="1975" spans="1:5" x14ac:dyDescent="0.3">
      <c r="A1975" s="17" t="str">
        <f>"30125"</f>
        <v>30125</v>
      </c>
      <c r="B1975" s="5" t="s">
        <v>2132</v>
      </c>
      <c r="C1975" s="17">
        <v>19900101</v>
      </c>
      <c r="D1975" s="17">
        <v>22991231</v>
      </c>
      <c r="E1975" s="25">
        <v>2637</v>
      </c>
    </row>
    <row r="1976" spans="1:5" x14ac:dyDescent="0.3">
      <c r="A1976" s="17" t="str">
        <f>"30130"</f>
        <v>30130</v>
      </c>
      <c r="B1976" s="5" t="s">
        <v>2133</v>
      </c>
      <c r="C1976" s="17">
        <v>19900101</v>
      </c>
      <c r="D1976" s="17">
        <v>22991231</v>
      </c>
      <c r="E1976" s="25">
        <v>1259.74</v>
      </c>
    </row>
    <row r="1977" spans="1:5" x14ac:dyDescent="0.3">
      <c r="A1977" s="17" t="str">
        <f>"30140"</f>
        <v>30140</v>
      </c>
      <c r="B1977" s="5" t="s">
        <v>2134</v>
      </c>
      <c r="C1977" s="17">
        <v>19900101</v>
      </c>
      <c r="D1977" s="17">
        <v>22991231</v>
      </c>
      <c r="E1977" s="25">
        <v>1259.74</v>
      </c>
    </row>
    <row r="1978" spans="1:5" x14ac:dyDescent="0.3">
      <c r="A1978" s="17" t="str">
        <f>"30150"</f>
        <v>30150</v>
      </c>
      <c r="B1978" s="5" t="s">
        <v>2135</v>
      </c>
      <c r="C1978" s="17">
        <v>19900101</v>
      </c>
      <c r="D1978" s="17">
        <v>22991231</v>
      </c>
      <c r="E1978" s="25">
        <v>2637</v>
      </c>
    </row>
    <row r="1979" spans="1:5" x14ac:dyDescent="0.3">
      <c r="A1979" s="17" t="str">
        <f>"30160"</f>
        <v>30160</v>
      </c>
      <c r="B1979" s="5" t="s">
        <v>2136</v>
      </c>
      <c r="C1979" s="17">
        <v>19900101</v>
      </c>
      <c r="D1979" s="17">
        <v>22991231</v>
      </c>
      <c r="E1979" s="25">
        <v>2637</v>
      </c>
    </row>
    <row r="1980" spans="1:5" x14ac:dyDescent="0.3">
      <c r="A1980" s="17" t="str">
        <f>"30200"</f>
        <v>30200</v>
      </c>
      <c r="B1980" s="5" t="s">
        <v>2137</v>
      </c>
      <c r="C1980" s="17">
        <v>20230101</v>
      </c>
      <c r="D1980" s="17">
        <v>22991231</v>
      </c>
      <c r="E1980" s="25">
        <v>76.319999999999993</v>
      </c>
    </row>
    <row r="1981" spans="1:5" x14ac:dyDescent="0.3">
      <c r="A1981" s="17" t="str">
        <f>"30210"</f>
        <v>30210</v>
      </c>
      <c r="B1981" s="5" t="s">
        <v>2138</v>
      </c>
      <c r="C1981" s="17">
        <v>19900101</v>
      </c>
      <c r="D1981" s="17">
        <v>22991231</v>
      </c>
      <c r="E1981" s="25">
        <v>102.9</v>
      </c>
    </row>
    <row r="1982" spans="1:5" x14ac:dyDescent="0.3">
      <c r="A1982" s="17" t="str">
        <f>"30220"</f>
        <v>30220</v>
      </c>
      <c r="B1982" s="5" t="s">
        <v>2139</v>
      </c>
      <c r="C1982" s="17">
        <v>19900101</v>
      </c>
      <c r="D1982" s="17">
        <v>22991231</v>
      </c>
      <c r="E1982" s="25">
        <v>636.91999999999996</v>
      </c>
    </row>
    <row r="1983" spans="1:5" x14ac:dyDescent="0.3">
      <c r="A1983" s="17" t="str">
        <f>"30300"</f>
        <v>30300</v>
      </c>
      <c r="B1983" s="5" t="s">
        <v>2140</v>
      </c>
      <c r="C1983" s="17">
        <v>19900101</v>
      </c>
      <c r="D1983" s="17">
        <v>22991231</v>
      </c>
      <c r="E1983" s="25">
        <v>0</v>
      </c>
    </row>
    <row r="1984" spans="1:5" ht="26" x14ac:dyDescent="0.3">
      <c r="A1984" s="17" t="str">
        <f>"30310"</f>
        <v>30310</v>
      </c>
      <c r="B1984" s="5" t="s">
        <v>2141</v>
      </c>
      <c r="C1984" s="17">
        <v>19900101</v>
      </c>
      <c r="D1984" s="17">
        <v>22991231</v>
      </c>
      <c r="E1984" s="25">
        <v>1259.74</v>
      </c>
    </row>
    <row r="1985" spans="1:5" x14ac:dyDescent="0.3">
      <c r="A1985" s="17" t="str">
        <f>"30320"</f>
        <v>30320</v>
      </c>
      <c r="B1985" s="5" t="s">
        <v>2142</v>
      </c>
      <c r="C1985" s="17">
        <v>19900101</v>
      </c>
      <c r="D1985" s="17">
        <v>22991231</v>
      </c>
      <c r="E1985" s="25">
        <v>636.91999999999996</v>
      </c>
    </row>
    <row r="1986" spans="1:5" x14ac:dyDescent="0.3">
      <c r="A1986" s="17" t="str">
        <f>"30400"</f>
        <v>30400</v>
      </c>
      <c r="B1986" s="5" t="s">
        <v>2143</v>
      </c>
      <c r="C1986" s="17">
        <v>19900101</v>
      </c>
      <c r="D1986" s="17">
        <v>22991231</v>
      </c>
      <c r="E1986" s="25">
        <v>2637</v>
      </c>
    </row>
    <row r="1987" spans="1:5" x14ac:dyDescent="0.3">
      <c r="A1987" s="17" t="str">
        <f>"30410"</f>
        <v>30410</v>
      </c>
      <c r="B1987" s="5" t="s">
        <v>2144</v>
      </c>
      <c r="C1987" s="17">
        <v>19900101</v>
      </c>
      <c r="D1987" s="17">
        <v>22991231</v>
      </c>
      <c r="E1987" s="25">
        <v>2637</v>
      </c>
    </row>
    <row r="1988" spans="1:5" ht="26" x14ac:dyDescent="0.3">
      <c r="A1988" s="17" t="str">
        <f>"30420"</f>
        <v>30420</v>
      </c>
      <c r="B1988" s="5" t="s">
        <v>2145</v>
      </c>
      <c r="C1988" s="17">
        <v>19900101</v>
      </c>
      <c r="D1988" s="17">
        <v>22991231</v>
      </c>
      <c r="E1988" s="25">
        <v>2637</v>
      </c>
    </row>
    <row r="1989" spans="1:5" ht="26" x14ac:dyDescent="0.3">
      <c r="A1989" s="17" t="str">
        <f>"30430"</f>
        <v>30430</v>
      </c>
      <c r="B1989" s="5" t="s">
        <v>2146</v>
      </c>
      <c r="C1989" s="17">
        <v>19900101</v>
      </c>
      <c r="D1989" s="17">
        <v>22991231</v>
      </c>
      <c r="E1989" s="25">
        <v>2637</v>
      </c>
    </row>
    <row r="1990" spans="1:5" ht="26" x14ac:dyDescent="0.3">
      <c r="A1990" s="17" t="str">
        <f>"30435"</f>
        <v>30435</v>
      </c>
      <c r="B1990" s="5" t="s">
        <v>2147</v>
      </c>
      <c r="C1990" s="17">
        <v>19900101</v>
      </c>
      <c r="D1990" s="17">
        <v>22991231</v>
      </c>
      <c r="E1990" s="25">
        <v>2637</v>
      </c>
    </row>
    <row r="1991" spans="1:5" ht="26" x14ac:dyDescent="0.3">
      <c r="A1991" s="17" t="str">
        <f>"30450"</f>
        <v>30450</v>
      </c>
      <c r="B1991" s="5" t="s">
        <v>2148</v>
      </c>
      <c r="C1991" s="17">
        <v>19900101</v>
      </c>
      <c r="D1991" s="17">
        <v>22991231</v>
      </c>
      <c r="E1991" s="25">
        <v>2637</v>
      </c>
    </row>
    <row r="1992" spans="1:5" ht="26" x14ac:dyDescent="0.3">
      <c r="A1992" s="17" t="str">
        <f>"30460"</f>
        <v>30460</v>
      </c>
      <c r="B1992" s="5" t="s">
        <v>2149</v>
      </c>
      <c r="C1992" s="17">
        <v>19930101</v>
      </c>
      <c r="D1992" s="17">
        <v>22991231</v>
      </c>
      <c r="E1992" s="25">
        <v>2637</v>
      </c>
    </row>
    <row r="1993" spans="1:5" ht="26" x14ac:dyDescent="0.3">
      <c r="A1993" s="17" t="str">
        <f>"30462"</f>
        <v>30462</v>
      </c>
      <c r="B1993" s="5" t="s">
        <v>2150</v>
      </c>
      <c r="C1993" s="17">
        <v>19930101</v>
      </c>
      <c r="D1993" s="17">
        <v>22991231</v>
      </c>
      <c r="E1993" s="25">
        <v>2637</v>
      </c>
    </row>
    <row r="1994" spans="1:5" x14ac:dyDescent="0.3">
      <c r="A1994" s="17" t="str">
        <f>"30465"</f>
        <v>30465</v>
      </c>
      <c r="B1994" s="5" t="s">
        <v>2151</v>
      </c>
      <c r="C1994" s="17">
        <v>20010101</v>
      </c>
      <c r="D1994" s="17">
        <v>22991231</v>
      </c>
      <c r="E1994" s="25">
        <v>2637</v>
      </c>
    </row>
    <row r="1995" spans="1:5" ht="26" x14ac:dyDescent="0.3">
      <c r="A1995" s="17" t="str">
        <f>"30468"</f>
        <v>30468</v>
      </c>
      <c r="B1995" s="5" t="s">
        <v>2152</v>
      </c>
      <c r="C1995" s="17">
        <v>20210101</v>
      </c>
      <c r="D1995" s="17">
        <v>22991231</v>
      </c>
      <c r="E1995" s="25">
        <v>3868.25</v>
      </c>
    </row>
    <row r="1996" spans="1:5" x14ac:dyDescent="0.3">
      <c r="A1996" s="17" t="str">
        <f>"30469"</f>
        <v>30469</v>
      </c>
      <c r="B1996" s="5" t="s">
        <v>2153</v>
      </c>
      <c r="C1996" s="17">
        <v>20230101</v>
      </c>
      <c r="D1996" s="17">
        <v>22991231</v>
      </c>
      <c r="E1996" s="25">
        <v>3321.03</v>
      </c>
    </row>
    <row r="1997" spans="1:5" x14ac:dyDescent="0.3">
      <c r="A1997" s="17" t="str">
        <f>"30520"</f>
        <v>30520</v>
      </c>
      <c r="B1997" s="5" t="s">
        <v>2154</v>
      </c>
      <c r="C1997" s="17">
        <v>19900101</v>
      </c>
      <c r="D1997" s="17">
        <v>22991231</v>
      </c>
      <c r="E1997" s="25">
        <v>1259.74</v>
      </c>
    </row>
    <row r="1998" spans="1:5" x14ac:dyDescent="0.3">
      <c r="A1998" s="17" t="str">
        <f>"30540"</f>
        <v>30540</v>
      </c>
      <c r="B1998" s="5" t="s">
        <v>2155</v>
      </c>
      <c r="C1998" s="17">
        <v>19900101</v>
      </c>
      <c r="D1998" s="17">
        <v>22991231</v>
      </c>
      <c r="E1998" s="25">
        <v>2637</v>
      </c>
    </row>
    <row r="1999" spans="1:5" x14ac:dyDescent="0.3">
      <c r="A1999" s="17" t="str">
        <f>"30545"</f>
        <v>30545</v>
      </c>
      <c r="B1999" s="5" t="s">
        <v>2156</v>
      </c>
      <c r="C1999" s="17">
        <v>19900101</v>
      </c>
      <c r="D1999" s="17">
        <v>22991231</v>
      </c>
      <c r="E1999" s="25">
        <v>2637</v>
      </c>
    </row>
    <row r="2000" spans="1:5" x14ac:dyDescent="0.3">
      <c r="A2000" s="17" t="str">
        <f>"30560"</f>
        <v>30560</v>
      </c>
      <c r="B2000" s="5" t="s">
        <v>2157</v>
      </c>
      <c r="C2000" s="17">
        <v>19900101</v>
      </c>
      <c r="D2000" s="17">
        <v>22991231</v>
      </c>
      <c r="E2000" s="25">
        <v>272.61</v>
      </c>
    </row>
    <row r="2001" spans="1:5" ht="26" x14ac:dyDescent="0.3">
      <c r="A2001" s="17" t="str">
        <f>"30580"</f>
        <v>30580</v>
      </c>
      <c r="B2001" s="5" t="s">
        <v>2158</v>
      </c>
      <c r="C2001" s="17">
        <v>19900101</v>
      </c>
      <c r="D2001" s="17">
        <v>22991231</v>
      </c>
      <c r="E2001" s="25">
        <v>2637</v>
      </c>
    </row>
    <row r="2002" spans="1:5" ht="26" x14ac:dyDescent="0.3">
      <c r="A2002" s="17" t="str">
        <f>"30600"</f>
        <v>30600</v>
      </c>
      <c r="B2002" s="5" t="s">
        <v>2159</v>
      </c>
      <c r="C2002" s="17">
        <v>19900101</v>
      </c>
      <c r="D2002" s="17">
        <v>22991231</v>
      </c>
      <c r="E2002" s="25">
        <v>2637</v>
      </c>
    </row>
    <row r="2003" spans="1:5" ht="26" x14ac:dyDescent="0.3">
      <c r="A2003" s="17" t="str">
        <f>"30620"</f>
        <v>30620</v>
      </c>
      <c r="B2003" s="5" t="s">
        <v>2160</v>
      </c>
      <c r="C2003" s="17">
        <v>19900101</v>
      </c>
      <c r="D2003" s="17">
        <v>22991231</v>
      </c>
      <c r="E2003" s="25">
        <v>2637</v>
      </c>
    </row>
    <row r="2004" spans="1:5" x14ac:dyDescent="0.3">
      <c r="A2004" s="17" t="str">
        <f>"30630"</f>
        <v>30630</v>
      </c>
      <c r="B2004" s="5" t="s">
        <v>2161</v>
      </c>
      <c r="C2004" s="17">
        <v>19900101</v>
      </c>
      <c r="D2004" s="17">
        <v>22991231</v>
      </c>
      <c r="E2004" s="25">
        <v>1259.74</v>
      </c>
    </row>
    <row r="2005" spans="1:5" x14ac:dyDescent="0.3">
      <c r="A2005" s="17" t="str">
        <f>"30801"</f>
        <v>30801</v>
      </c>
      <c r="B2005" s="5" t="s">
        <v>2162</v>
      </c>
      <c r="C2005" s="17">
        <v>19920115</v>
      </c>
      <c r="D2005" s="17">
        <v>22991231</v>
      </c>
      <c r="E2005" s="25">
        <v>636.91999999999996</v>
      </c>
    </row>
    <row r="2006" spans="1:5" ht="26" x14ac:dyDescent="0.3">
      <c r="A2006" s="17" t="str">
        <f>"30802"</f>
        <v>30802</v>
      </c>
      <c r="B2006" s="5" t="s">
        <v>2163</v>
      </c>
      <c r="C2006" s="17">
        <v>19920115</v>
      </c>
      <c r="D2006" s="17">
        <v>22991231</v>
      </c>
      <c r="E2006" s="25">
        <v>636.91999999999996</v>
      </c>
    </row>
    <row r="2007" spans="1:5" x14ac:dyDescent="0.3">
      <c r="A2007" s="17" t="str">
        <f>"30901"</f>
        <v>30901</v>
      </c>
      <c r="B2007" s="5" t="s">
        <v>2164</v>
      </c>
      <c r="C2007" s="17">
        <v>19900101</v>
      </c>
      <c r="D2007" s="17">
        <v>22991231</v>
      </c>
      <c r="E2007" s="25">
        <v>0</v>
      </c>
    </row>
    <row r="2008" spans="1:5" x14ac:dyDescent="0.3">
      <c r="A2008" s="17" t="str">
        <f>"30903"</f>
        <v>30903</v>
      </c>
      <c r="B2008" s="5" t="s">
        <v>2165</v>
      </c>
      <c r="C2008" s="17">
        <v>19900101</v>
      </c>
      <c r="D2008" s="17">
        <v>22991231</v>
      </c>
      <c r="E2008" s="25">
        <v>63.29</v>
      </c>
    </row>
    <row r="2009" spans="1:5" ht="26" x14ac:dyDescent="0.3">
      <c r="A2009" s="17" t="str">
        <f>"30905"</f>
        <v>30905</v>
      </c>
      <c r="B2009" s="5" t="s">
        <v>2166</v>
      </c>
      <c r="C2009" s="17">
        <v>19900101</v>
      </c>
      <c r="D2009" s="17">
        <v>22991231</v>
      </c>
      <c r="E2009" s="25">
        <v>63.29</v>
      </c>
    </row>
    <row r="2010" spans="1:5" ht="26" x14ac:dyDescent="0.3">
      <c r="A2010" s="17" t="str">
        <f>"30906"</f>
        <v>30906</v>
      </c>
      <c r="B2010" s="5" t="s">
        <v>2167</v>
      </c>
      <c r="C2010" s="17">
        <v>19900101</v>
      </c>
      <c r="D2010" s="17">
        <v>22991231</v>
      </c>
      <c r="E2010" s="25">
        <v>121.03</v>
      </c>
    </row>
    <row r="2011" spans="1:5" ht="26" x14ac:dyDescent="0.3">
      <c r="A2011" s="17" t="str">
        <f>"30915"</f>
        <v>30915</v>
      </c>
      <c r="B2011" s="5" t="s">
        <v>2168</v>
      </c>
      <c r="C2011" s="17">
        <v>19900101</v>
      </c>
      <c r="D2011" s="17">
        <v>22991231</v>
      </c>
      <c r="E2011" s="25">
        <v>1478.57</v>
      </c>
    </row>
    <row r="2012" spans="1:5" ht="26" x14ac:dyDescent="0.3">
      <c r="A2012" s="17" t="str">
        <f>"30920"</f>
        <v>30920</v>
      </c>
      <c r="B2012" s="5" t="s">
        <v>2169</v>
      </c>
      <c r="C2012" s="17">
        <v>19900101</v>
      </c>
      <c r="D2012" s="17">
        <v>22991231</v>
      </c>
      <c r="E2012" s="25">
        <v>1478.57</v>
      </c>
    </row>
    <row r="2013" spans="1:5" x14ac:dyDescent="0.3">
      <c r="A2013" s="17" t="str">
        <f>"30930"</f>
        <v>30930</v>
      </c>
      <c r="B2013" s="5" t="s">
        <v>2170</v>
      </c>
      <c r="C2013" s="17">
        <v>19900101</v>
      </c>
      <c r="D2013" s="17">
        <v>22991231</v>
      </c>
      <c r="E2013" s="25">
        <v>1259.74</v>
      </c>
    </row>
    <row r="2014" spans="1:5" x14ac:dyDescent="0.3">
      <c r="A2014" s="17" t="str">
        <f>"30999"</f>
        <v>30999</v>
      </c>
      <c r="B2014" s="5" t="s">
        <v>2171</v>
      </c>
      <c r="C2014" s="17">
        <v>19900101</v>
      </c>
      <c r="D2014" s="17">
        <v>22991231</v>
      </c>
      <c r="E2014" s="24" t="s">
        <v>7128</v>
      </c>
    </row>
    <row r="2015" spans="1:5" x14ac:dyDescent="0.3">
      <c r="A2015" s="17" t="str">
        <f>"31000"</f>
        <v>31000</v>
      </c>
      <c r="B2015" s="5" t="s">
        <v>2172</v>
      </c>
      <c r="C2015" s="17">
        <v>19900101</v>
      </c>
      <c r="D2015" s="17">
        <v>22991231</v>
      </c>
      <c r="E2015" s="25">
        <v>121.03</v>
      </c>
    </row>
    <row r="2016" spans="1:5" x14ac:dyDescent="0.3">
      <c r="A2016" s="17" t="str">
        <f>"31002"</f>
        <v>31002</v>
      </c>
      <c r="B2016" s="5" t="s">
        <v>2173</v>
      </c>
      <c r="C2016" s="17">
        <v>19900101</v>
      </c>
      <c r="D2016" s="17">
        <v>22991231</v>
      </c>
      <c r="E2016" s="25">
        <v>636.91999999999996</v>
      </c>
    </row>
    <row r="2017" spans="1:5" x14ac:dyDescent="0.3">
      <c r="A2017" s="17" t="str">
        <f>"31020"</f>
        <v>31020</v>
      </c>
      <c r="B2017" s="5" t="s">
        <v>2174</v>
      </c>
      <c r="C2017" s="17">
        <v>19900101</v>
      </c>
      <c r="D2017" s="17">
        <v>22991231</v>
      </c>
      <c r="E2017" s="25">
        <v>1259.74</v>
      </c>
    </row>
    <row r="2018" spans="1:5" x14ac:dyDescent="0.3">
      <c r="A2018" s="17" t="str">
        <f>"31030"</f>
        <v>31030</v>
      </c>
      <c r="B2018" s="5" t="s">
        <v>2175</v>
      </c>
      <c r="C2018" s="17">
        <v>19900101</v>
      </c>
      <c r="D2018" s="17">
        <v>22991231</v>
      </c>
      <c r="E2018" s="25">
        <v>2637</v>
      </c>
    </row>
    <row r="2019" spans="1:5" x14ac:dyDescent="0.3">
      <c r="A2019" s="17" t="str">
        <f>"31032"</f>
        <v>31032</v>
      </c>
      <c r="B2019" s="5" t="s">
        <v>2176</v>
      </c>
      <c r="C2019" s="17">
        <v>19900101</v>
      </c>
      <c r="D2019" s="17">
        <v>22991231</v>
      </c>
      <c r="E2019" s="25">
        <v>2637</v>
      </c>
    </row>
    <row r="2020" spans="1:5" ht="26" x14ac:dyDescent="0.3">
      <c r="A2020" s="17" t="str">
        <f>"31040"</f>
        <v>31040</v>
      </c>
      <c r="B2020" s="5" t="s">
        <v>2177</v>
      </c>
      <c r="C2020" s="17">
        <v>19900101</v>
      </c>
      <c r="D2020" s="17">
        <v>22991231</v>
      </c>
      <c r="E2020" s="25">
        <v>2637</v>
      </c>
    </row>
    <row r="2021" spans="1:5" x14ac:dyDescent="0.3">
      <c r="A2021" s="17" t="str">
        <f>"31050"</f>
        <v>31050</v>
      </c>
      <c r="B2021" s="5" t="s">
        <v>2178</v>
      </c>
      <c r="C2021" s="17">
        <v>19900101</v>
      </c>
      <c r="D2021" s="17">
        <v>22991231</v>
      </c>
      <c r="E2021" s="25">
        <v>2637</v>
      </c>
    </row>
    <row r="2022" spans="1:5" x14ac:dyDescent="0.3">
      <c r="A2022" s="17" t="str">
        <f>"31051"</f>
        <v>31051</v>
      </c>
      <c r="B2022" s="5" t="s">
        <v>2179</v>
      </c>
      <c r="C2022" s="17">
        <v>19900101</v>
      </c>
      <c r="D2022" s="17">
        <v>22991231</v>
      </c>
      <c r="E2022" s="25">
        <v>2637</v>
      </c>
    </row>
    <row r="2023" spans="1:5" x14ac:dyDescent="0.3">
      <c r="A2023" s="17" t="str">
        <f>"31070"</f>
        <v>31070</v>
      </c>
      <c r="B2023" s="5" t="s">
        <v>2180</v>
      </c>
      <c r="C2023" s="17">
        <v>19900101</v>
      </c>
      <c r="D2023" s="17">
        <v>22991231</v>
      </c>
      <c r="E2023" s="25">
        <v>2637</v>
      </c>
    </row>
    <row r="2024" spans="1:5" x14ac:dyDescent="0.3">
      <c r="A2024" s="17" t="str">
        <f>"31075"</f>
        <v>31075</v>
      </c>
      <c r="B2024" s="5" t="s">
        <v>2181</v>
      </c>
      <c r="C2024" s="17">
        <v>19900101</v>
      </c>
      <c r="D2024" s="17">
        <v>22991231</v>
      </c>
      <c r="E2024" s="25">
        <v>2637</v>
      </c>
    </row>
    <row r="2025" spans="1:5" ht="26" x14ac:dyDescent="0.3">
      <c r="A2025" s="17" t="str">
        <f>"31080"</f>
        <v>31080</v>
      </c>
      <c r="B2025" s="5" t="s">
        <v>2182</v>
      </c>
      <c r="C2025" s="17">
        <v>19900101</v>
      </c>
      <c r="D2025" s="17">
        <v>22991231</v>
      </c>
      <c r="E2025" s="25">
        <v>2637</v>
      </c>
    </row>
    <row r="2026" spans="1:5" ht="26" x14ac:dyDescent="0.3">
      <c r="A2026" s="17" t="str">
        <f>"31081"</f>
        <v>31081</v>
      </c>
      <c r="B2026" s="5" t="s">
        <v>2183</v>
      </c>
      <c r="C2026" s="17">
        <v>19900101</v>
      </c>
      <c r="D2026" s="17">
        <v>22991231</v>
      </c>
      <c r="E2026" s="25">
        <v>2637</v>
      </c>
    </row>
    <row r="2027" spans="1:5" ht="26" x14ac:dyDescent="0.3">
      <c r="A2027" s="17" t="str">
        <f>"31084"</f>
        <v>31084</v>
      </c>
      <c r="B2027" s="5" t="s">
        <v>2184</v>
      </c>
      <c r="C2027" s="17">
        <v>19900101</v>
      </c>
      <c r="D2027" s="17">
        <v>22991231</v>
      </c>
      <c r="E2027" s="25">
        <v>2637</v>
      </c>
    </row>
    <row r="2028" spans="1:5" ht="26" x14ac:dyDescent="0.3">
      <c r="A2028" s="17" t="str">
        <f>"31085"</f>
        <v>31085</v>
      </c>
      <c r="B2028" s="5" t="s">
        <v>2185</v>
      </c>
      <c r="C2028" s="17">
        <v>19900101</v>
      </c>
      <c r="D2028" s="17">
        <v>22991231</v>
      </c>
      <c r="E2028" s="25">
        <v>3409.95</v>
      </c>
    </row>
    <row r="2029" spans="1:5" ht="26" x14ac:dyDescent="0.3">
      <c r="A2029" s="17" t="str">
        <f>"31086"</f>
        <v>31086</v>
      </c>
      <c r="B2029" s="5" t="s">
        <v>2186</v>
      </c>
      <c r="C2029" s="17">
        <v>19900101</v>
      </c>
      <c r="D2029" s="17">
        <v>22991231</v>
      </c>
      <c r="E2029" s="25">
        <v>2637</v>
      </c>
    </row>
    <row r="2030" spans="1:5" ht="26" x14ac:dyDescent="0.3">
      <c r="A2030" s="17" t="str">
        <f>"31087"</f>
        <v>31087</v>
      </c>
      <c r="B2030" s="5" t="s">
        <v>2187</v>
      </c>
      <c r="C2030" s="17">
        <v>19900101</v>
      </c>
      <c r="D2030" s="17">
        <v>22991231</v>
      </c>
      <c r="E2030" s="25">
        <v>2637</v>
      </c>
    </row>
    <row r="2031" spans="1:5" ht="26" x14ac:dyDescent="0.3">
      <c r="A2031" s="17" t="str">
        <f>"31090"</f>
        <v>31090</v>
      </c>
      <c r="B2031" s="5" t="s">
        <v>2188</v>
      </c>
      <c r="C2031" s="17">
        <v>19900101</v>
      </c>
      <c r="D2031" s="17">
        <v>22991231</v>
      </c>
      <c r="E2031" s="25">
        <v>2637</v>
      </c>
    </row>
    <row r="2032" spans="1:5" x14ac:dyDescent="0.3">
      <c r="A2032" s="17" t="str">
        <f>"31200"</f>
        <v>31200</v>
      </c>
      <c r="B2032" s="5" t="s">
        <v>2189</v>
      </c>
      <c r="C2032" s="17">
        <v>19900101</v>
      </c>
      <c r="D2032" s="17">
        <v>22991231</v>
      </c>
      <c r="E2032" s="25">
        <v>2637</v>
      </c>
    </row>
    <row r="2033" spans="1:5" ht="26" x14ac:dyDescent="0.3">
      <c r="A2033" s="17" t="str">
        <f>"31201"</f>
        <v>31201</v>
      </c>
      <c r="B2033" s="5" t="s">
        <v>2190</v>
      </c>
      <c r="C2033" s="17">
        <v>19900101</v>
      </c>
      <c r="D2033" s="17">
        <v>22991231</v>
      </c>
      <c r="E2033" s="25">
        <v>636.91999999999996</v>
      </c>
    </row>
    <row r="2034" spans="1:5" ht="26" x14ac:dyDescent="0.3">
      <c r="A2034" s="17" t="str">
        <f>"31205"</f>
        <v>31205</v>
      </c>
      <c r="B2034" s="5" t="s">
        <v>2191</v>
      </c>
      <c r="C2034" s="17">
        <v>19900101</v>
      </c>
      <c r="D2034" s="17">
        <v>22991231</v>
      </c>
      <c r="E2034" s="25">
        <v>1259.74</v>
      </c>
    </row>
    <row r="2035" spans="1:5" x14ac:dyDescent="0.3">
      <c r="A2035" s="17" t="str">
        <f>"31225"</f>
        <v>31225</v>
      </c>
      <c r="B2035" s="5" t="s">
        <v>2192</v>
      </c>
      <c r="C2035" s="17">
        <v>19900101</v>
      </c>
      <c r="D2035" s="17">
        <v>22991231</v>
      </c>
      <c r="E2035" s="24" t="s">
        <v>7128</v>
      </c>
    </row>
    <row r="2036" spans="1:5" ht="26" x14ac:dyDescent="0.3">
      <c r="A2036" s="17" t="str">
        <f>"31231"</f>
        <v>31231</v>
      </c>
      <c r="B2036" s="5" t="s">
        <v>2193</v>
      </c>
      <c r="C2036" s="17">
        <v>19940101</v>
      </c>
      <c r="D2036" s="17">
        <v>22991231</v>
      </c>
      <c r="E2036" s="25">
        <v>98.14</v>
      </c>
    </row>
    <row r="2037" spans="1:5" ht="26" x14ac:dyDescent="0.3">
      <c r="A2037" s="17" t="str">
        <f>"31233"</f>
        <v>31233</v>
      </c>
      <c r="B2037" s="5" t="s">
        <v>2194</v>
      </c>
      <c r="C2037" s="17">
        <v>19940101</v>
      </c>
      <c r="D2037" s="17">
        <v>22991231</v>
      </c>
      <c r="E2037" s="25">
        <v>202.31</v>
      </c>
    </row>
    <row r="2038" spans="1:5" ht="26" x14ac:dyDescent="0.3">
      <c r="A2038" s="17" t="str">
        <f>"31235"</f>
        <v>31235</v>
      </c>
      <c r="B2038" s="5" t="s">
        <v>2195</v>
      </c>
      <c r="C2038" s="17">
        <v>19940101</v>
      </c>
      <c r="D2038" s="17">
        <v>22991231</v>
      </c>
      <c r="E2038" s="25">
        <v>723.17</v>
      </c>
    </row>
    <row r="2039" spans="1:5" ht="26" x14ac:dyDescent="0.3">
      <c r="A2039" s="17" t="str">
        <f>"31237"</f>
        <v>31237</v>
      </c>
      <c r="B2039" s="5" t="s">
        <v>2196</v>
      </c>
      <c r="C2039" s="17">
        <v>19940101</v>
      </c>
      <c r="D2039" s="17">
        <v>22991231</v>
      </c>
      <c r="E2039" s="25">
        <v>723.17</v>
      </c>
    </row>
    <row r="2040" spans="1:5" x14ac:dyDescent="0.3">
      <c r="A2040" s="17" t="str">
        <f>"31238"</f>
        <v>31238</v>
      </c>
      <c r="B2040" s="5" t="s">
        <v>2197</v>
      </c>
      <c r="C2040" s="17">
        <v>19940101</v>
      </c>
      <c r="D2040" s="17">
        <v>22991231</v>
      </c>
      <c r="E2040" s="25">
        <v>723.17</v>
      </c>
    </row>
    <row r="2041" spans="1:5" x14ac:dyDescent="0.3">
      <c r="A2041" s="17" t="str">
        <f>"31239"</f>
        <v>31239</v>
      </c>
      <c r="B2041" s="5" t="s">
        <v>2198</v>
      </c>
      <c r="C2041" s="17">
        <v>19940101</v>
      </c>
      <c r="D2041" s="17">
        <v>22991231</v>
      </c>
      <c r="E2041" s="25">
        <v>1496.36</v>
      </c>
    </row>
    <row r="2042" spans="1:5" ht="26" x14ac:dyDescent="0.3">
      <c r="A2042" s="17" t="str">
        <f>"31240"</f>
        <v>31240</v>
      </c>
      <c r="B2042" s="5" t="s">
        <v>2199</v>
      </c>
      <c r="C2042" s="17">
        <v>19940101</v>
      </c>
      <c r="D2042" s="17">
        <v>22991231</v>
      </c>
      <c r="E2042" s="25">
        <v>723.17</v>
      </c>
    </row>
    <row r="2043" spans="1:5" ht="26" x14ac:dyDescent="0.3">
      <c r="A2043" s="17" t="str">
        <f>"31241"</f>
        <v>31241</v>
      </c>
      <c r="B2043" s="5" t="s">
        <v>2200</v>
      </c>
      <c r="C2043" s="17">
        <v>20180101</v>
      </c>
      <c r="D2043" s="17">
        <v>22991231</v>
      </c>
      <c r="E2043" s="24" t="s">
        <v>7128</v>
      </c>
    </row>
    <row r="2044" spans="1:5" ht="26" x14ac:dyDescent="0.3">
      <c r="A2044" s="17" t="str">
        <f>"31242"</f>
        <v>31242</v>
      </c>
      <c r="B2044" s="5" t="s">
        <v>2201</v>
      </c>
      <c r="C2044" s="17">
        <v>20240101</v>
      </c>
      <c r="D2044" s="17">
        <v>22991231</v>
      </c>
      <c r="E2044" s="25">
        <v>3321.03</v>
      </c>
    </row>
    <row r="2045" spans="1:5" ht="26" x14ac:dyDescent="0.3">
      <c r="A2045" s="17" t="str">
        <f>"31243"</f>
        <v>31243</v>
      </c>
      <c r="B2045" s="5" t="s">
        <v>2202</v>
      </c>
      <c r="C2045" s="17">
        <v>20240101</v>
      </c>
      <c r="D2045" s="17">
        <v>22991231</v>
      </c>
      <c r="E2045" s="25">
        <v>3506.59</v>
      </c>
    </row>
    <row r="2046" spans="1:5" ht="26" x14ac:dyDescent="0.3">
      <c r="A2046" s="17" t="str">
        <f>"31253"</f>
        <v>31253</v>
      </c>
      <c r="B2046" s="5" t="s">
        <v>2203</v>
      </c>
      <c r="C2046" s="17">
        <v>20180101</v>
      </c>
      <c r="D2046" s="17">
        <v>22991231</v>
      </c>
      <c r="E2046" s="25">
        <v>2197.87</v>
      </c>
    </row>
    <row r="2047" spans="1:5" ht="26" x14ac:dyDescent="0.3">
      <c r="A2047" s="17" t="str">
        <f>"31254"</f>
        <v>31254</v>
      </c>
      <c r="B2047" s="5" t="s">
        <v>2204</v>
      </c>
      <c r="C2047" s="17">
        <v>19900101</v>
      </c>
      <c r="D2047" s="17">
        <v>22991231</v>
      </c>
      <c r="E2047" s="25">
        <v>2197.87</v>
      </c>
    </row>
    <row r="2048" spans="1:5" x14ac:dyDescent="0.3">
      <c r="A2048" s="17" t="str">
        <f>"31255"</f>
        <v>31255</v>
      </c>
      <c r="B2048" s="5" t="s">
        <v>2205</v>
      </c>
      <c r="C2048" s="17">
        <v>19900101</v>
      </c>
      <c r="D2048" s="17">
        <v>22991231</v>
      </c>
      <c r="E2048" s="25">
        <v>2197.87</v>
      </c>
    </row>
    <row r="2049" spans="1:5" x14ac:dyDescent="0.3">
      <c r="A2049" s="17" t="str">
        <f>"31256"</f>
        <v>31256</v>
      </c>
      <c r="B2049" s="5" t="s">
        <v>2206</v>
      </c>
      <c r="C2049" s="17">
        <v>19900101</v>
      </c>
      <c r="D2049" s="17">
        <v>22991231</v>
      </c>
      <c r="E2049" s="25">
        <v>1496.36</v>
      </c>
    </row>
    <row r="2050" spans="1:5" ht="26" x14ac:dyDescent="0.3">
      <c r="A2050" s="17" t="str">
        <f>"31257"</f>
        <v>31257</v>
      </c>
      <c r="B2050" s="5" t="s">
        <v>2207</v>
      </c>
      <c r="C2050" s="17">
        <v>20180101</v>
      </c>
      <c r="D2050" s="17">
        <v>22991231</v>
      </c>
      <c r="E2050" s="25">
        <v>2197.87</v>
      </c>
    </row>
    <row r="2051" spans="1:5" ht="26" x14ac:dyDescent="0.3">
      <c r="A2051" s="17" t="str">
        <f>"31259"</f>
        <v>31259</v>
      </c>
      <c r="B2051" s="5" t="s">
        <v>2208</v>
      </c>
      <c r="C2051" s="17">
        <v>20180101</v>
      </c>
      <c r="D2051" s="17">
        <v>22991231</v>
      </c>
      <c r="E2051" s="25">
        <v>2197.87</v>
      </c>
    </row>
    <row r="2052" spans="1:5" ht="26" x14ac:dyDescent="0.3">
      <c r="A2052" s="17" t="str">
        <f>"31267"</f>
        <v>31267</v>
      </c>
      <c r="B2052" s="5" t="s">
        <v>2209</v>
      </c>
      <c r="C2052" s="17">
        <v>19900101</v>
      </c>
      <c r="D2052" s="17">
        <v>22991231</v>
      </c>
      <c r="E2052" s="25">
        <v>2197.87</v>
      </c>
    </row>
    <row r="2053" spans="1:5" x14ac:dyDescent="0.3">
      <c r="A2053" s="17" t="str">
        <f>"31276"</f>
        <v>31276</v>
      </c>
      <c r="B2053" s="5" t="s">
        <v>2210</v>
      </c>
      <c r="C2053" s="17">
        <v>19940101</v>
      </c>
      <c r="D2053" s="17">
        <v>22991231</v>
      </c>
      <c r="E2053" s="25">
        <v>2197.87</v>
      </c>
    </row>
    <row r="2054" spans="1:5" ht="26" x14ac:dyDescent="0.3">
      <c r="A2054" s="17" t="str">
        <f>"31287"</f>
        <v>31287</v>
      </c>
      <c r="B2054" s="5" t="s">
        <v>2211</v>
      </c>
      <c r="C2054" s="17">
        <v>19940101</v>
      </c>
      <c r="D2054" s="17">
        <v>22991231</v>
      </c>
      <c r="E2054" s="25">
        <v>2197.87</v>
      </c>
    </row>
    <row r="2055" spans="1:5" ht="26" x14ac:dyDescent="0.3">
      <c r="A2055" s="17" t="str">
        <f>"31288"</f>
        <v>31288</v>
      </c>
      <c r="B2055" s="5" t="s">
        <v>2212</v>
      </c>
      <c r="C2055" s="17">
        <v>19940101</v>
      </c>
      <c r="D2055" s="17">
        <v>22991231</v>
      </c>
      <c r="E2055" s="25">
        <v>2197.87</v>
      </c>
    </row>
    <row r="2056" spans="1:5" ht="26" x14ac:dyDescent="0.3">
      <c r="A2056" s="17" t="str">
        <f>"31292"</f>
        <v>31292</v>
      </c>
      <c r="B2056" s="5" t="s">
        <v>2213</v>
      </c>
      <c r="C2056" s="17">
        <v>19940101</v>
      </c>
      <c r="D2056" s="17">
        <v>22991231</v>
      </c>
      <c r="E2056" s="24" t="s">
        <v>7128</v>
      </c>
    </row>
    <row r="2057" spans="1:5" ht="26" x14ac:dyDescent="0.3">
      <c r="A2057" s="17" t="str">
        <f>"31293"</f>
        <v>31293</v>
      </c>
      <c r="B2057" s="5" t="s">
        <v>2214</v>
      </c>
      <c r="C2057" s="17">
        <v>19940101</v>
      </c>
      <c r="D2057" s="17">
        <v>22991231</v>
      </c>
      <c r="E2057" s="24" t="s">
        <v>7128</v>
      </c>
    </row>
    <row r="2058" spans="1:5" ht="26" x14ac:dyDescent="0.3">
      <c r="A2058" s="17" t="str">
        <f>"31294"</f>
        <v>31294</v>
      </c>
      <c r="B2058" s="5" t="s">
        <v>2215</v>
      </c>
      <c r="C2058" s="17">
        <v>19940101</v>
      </c>
      <c r="D2058" s="17">
        <v>22991231</v>
      </c>
      <c r="E2058" s="24" t="s">
        <v>7128</v>
      </c>
    </row>
    <row r="2059" spans="1:5" x14ac:dyDescent="0.3">
      <c r="A2059" s="17" t="str">
        <f>"31295"</f>
        <v>31295</v>
      </c>
      <c r="B2059" s="5" t="s">
        <v>2216</v>
      </c>
      <c r="C2059" s="17">
        <v>20110101</v>
      </c>
      <c r="D2059" s="17">
        <v>22991231</v>
      </c>
      <c r="E2059" s="25">
        <v>2797.3</v>
      </c>
    </row>
    <row r="2060" spans="1:5" ht="26" x14ac:dyDescent="0.3">
      <c r="A2060" s="17" t="str">
        <f>"31296"</f>
        <v>31296</v>
      </c>
      <c r="B2060" s="5" t="s">
        <v>2217</v>
      </c>
      <c r="C2060" s="17">
        <v>20110101</v>
      </c>
      <c r="D2060" s="17">
        <v>22991231</v>
      </c>
      <c r="E2060" s="25">
        <v>1454.32</v>
      </c>
    </row>
    <row r="2061" spans="1:5" ht="26" x14ac:dyDescent="0.3">
      <c r="A2061" s="17" t="str">
        <f>"31297"</f>
        <v>31297</v>
      </c>
      <c r="B2061" s="5" t="s">
        <v>2218</v>
      </c>
      <c r="C2061" s="17">
        <v>20110101</v>
      </c>
      <c r="D2061" s="17">
        <v>22991231</v>
      </c>
      <c r="E2061" s="25">
        <v>1440.56</v>
      </c>
    </row>
    <row r="2062" spans="1:5" ht="26" x14ac:dyDescent="0.3">
      <c r="A2062" s="17" t="str">
        <f>"31298"</f>
        <v>31298</v>
      </c>
      <c r="B2062" s="5" t="s">
        <v>2219</v>
      </c>
      <c r="C2062" s="17">
        <v>20180101</v>
      </c>
      <c r="D2062" s="17">
        <v>22991231</v>
      </c>
      <c r="E2062" s="25">
        <v>2197.87</v>
      </c>
    </row>
    <row r="2063" spans="1:5" ht="26" x14ac:dyDescent="0.3">
      <c r="A2063" s="17" t="str">
        <f>"31300"</f>
        <v>31300</v>
      </c>
      <c r="B2063" s="5" t="s">
        <v>2220</v>
      </c>
      <c r="C2063" s="17">
        <v>19900101</v>
      </c>
      <c r="D2063" s="17">
        <v>22991231</v>
      </c>
      <c r="E2063" s="25">
        <v>1259.74</v>
      </c>
    </row>
    <row r="2064" spans="1:5" x14ac:dyDescent="0.3">
      <c r="A2064" s="17" t="str">
        <f>"31400"</f>
        <v>31400</v>
      </c>
      <c r="B2064" s="5" t="s">
        <v>2221</v>
      </c>
      <c r="C2064" s="17">
        <v>19900101</v>
      </c>
      <c r="D2064" s="17">
        <v>22991231</v>
      </c>
      <c r="E2064" s="25">
        <v>2637</v>
      </c>
    </row>
    <row r="2065" spans="1:5" x14ac:dyDescent="0.3">
      <c r="A2065" s="17" t="str">
        <f>"31420"</f>
        <v>31420</v>
      </c>
      <c r="B2065" s="5" t="s">
        <v>2222</v>
      </c>
      <c r="C2065" s="17">
        <v>19900101</v>
      </c>
      <c r="D2065" s="17">
        <v>22991231</v>
      </c>
      <c r="E2065" s="25">
        <v>2637</v>
      </c>
    </row>
    <row r="2066" spans="1:5" ht="26" x14ac:dyDescent="0.3">
      <c r="A2066" s="17" t="str">
        <f>"31500"</f>
        <v>31500</v>
      </c>
      <c r="B2066" s="5" t="s">
        <v>2223</v>
      </c>
      <c r="C2066" s="17">
        <v>19900101</v>
      </c>
      <c r="D2066" s="17">
        <v>22991231</v>
      </c>
      <c r="E2066" s="25">
        <v>121.03</v>
      </c>
    </row>
    <row r="2067" spans="1:5" x14ac:dyDescent="0.3">
      <c r="A2067" s="17" t="str">
        <f>"31502"</f>
        <v>31502</v>
      </c>
      <c r="B2067" s="5" t="s">
        <v>2224</v>
      </c>
      <c r="C2067" s="17">
        <v>19910401</v>
      </c>
      <c r="D2067" s="17">
        <v>22991231</v>
      </c>
      <c r="E2067" s="25">
        <v>121.03</v>
      </c>
    </row>
    <row r="2068" spans="1:5" ht="26" x14ac:dyDescent="0.3">
      <c r="A2068" s="17" t="str">
        <f>"31505"</f>
        <v>31505</v>
      </c>
      <c r="B2068" s="5" t="s">
        <v>2225</v>
      </c>
      <c r="C2068" s="17">
        <v>19900101</v>
      </c>
      <c r="D2068" s="17">
        <v>22991231</v>
      </c>
      <c r="E2068" s="25">
        <v>62.87</v>
      </c>
    </row>
    <row r="2069" spans="1:5" ht="26" x14ac:dyDescent="0.3">
      <c r="A2069" s="17" t="str">
        <f>"31510"</f>
        <v>31510</v>
      </c>
      <c r="B2069" s="5" t="s">
        <v>2226</v>
      </c>
      <c r="C2069" s="17">
        <v>19900101</v>
      </c>
      <c r="D2069" s="17">
        <v>22991231</v>
      </c>
      <c r="E2069" s="25">
        <v>1496.36</v>
      </c>
    </row>
    <row r="2070" spans="1:5" ht="26" x14ac:dyDescent="0.3">
      <c r="A2070" s="17" t="str">
        <f>"31511"</f>
        <v>31511</v>
      </c>
      <c r="B2070" s="5" t="s">
        <v>2227</v>
      </c>
      <c r="C2070" s="17">
        <v>19900101</v>
      </c>
      <c r="D2070" s="17">
        <v>22991231</v>
      </c>
      <c r="E2070" s="25">
        <v>98.14</v>
      </c>
    </row>
    <row r="2071" spans="1:5" ht="26" x14ac:dyDescent="0.3">
      <c r="A2071" s="17" t="str">
        <f>"31512"</f>
        <v>31512</v>
      </c>
      <c r="B2071" s="5" t="s">
        <v>2228</v>
      </c>
      <c r="C2071" s="17">
        <v>19900101</v>
      </c>
      <c r="D2071" s="17">
        <v>22991231</v>
      </c>
      <c r="E2071" s="25">
        <v>1496.36</v>
      </c>
    </row>
    <row r="2072" spans="1:5" ht="26" x14ac:dyDescent="0.3">
      <c r="A2072" s="17" t="str">
        <f>"31513"</f>
        <v>31513</v>
      </c>
      <c r="B2072" s="5" t="s">
        <v>2229</v>
      </c>
      <c r="C2072" s="17">
        <v>19900101</v>
      </c>
      <c r="D2072" s="17">
        <v>22991231</v>
      </c>
      <c r="E2072" s="25">
        <v>202.31</v>
      </c>
    </row>
    <row r="2073" spans="1:5" x14ac:dyDescent="0.3">
      <c r="A2073" s="17" t="str">
        <f>"31515"</f>
        <v>31515</v>
      </c>
      <c r="B2073" s="5" t="s">
        <v>2230</v>
      </c>
      <c r="C2073" s="17">
        <v>19900101</v>
      </c>
      <c r="D2073" s="17">
        <v>22991231</v>
      </c>
      <c r="E2073" s="25">
        <v>202.31</v>
      </c>
    </row>
    <row r="2074" spans="1:5" ht="26" x14ac:dyDescent="0.3">
      <c r="A2074" s="17" t="str">
        <f>"31520"</f>
        <v>31520</v>
      </c>
      <c r="B2074" s="5" t="s">
        <v>2231</v>
      </c>
      <c r="C2074" s="17">
        <v>19900101</v>
      </c>
      <c r="D2074" s="17">
        <v>22991231</v>
      </c>
      <c r="E2074" s="25">
        <v>202.31</v>
      </c>
    </row>
    <row r="2075" spans="1:5" ht="26" x14ac:dyDescent="0.3">
      <c r="A2075" s="17" t="str">
        <f>"31525"</f>
        <v>31525</v>
      </c>
      <c r="B2075" s="5" t="s">
        <v>2232</v>
      </c>
      <c r="C2075" s="17">
        <v>19900101</v>
      </c>
      <c r="D2075" s="17">
        <v>22991231</v>
      </c>
      <c r="E2075" s="25">
        <v>723.17</v>
      </c>
    </row>
    <row r="2076" spans="1:5" ht="39" x14ac:dyDescent="0.3">
      <c r="A2076" s="17" t="str">
        <f>"31526"</f>
        <v>31526</v>
      </c>
      <c r="B2076" s="5" t="s">
        <v>2233</v>
      </c>
      <c r="C2076" s="17">
        <v>19900101</v>
      </c>
      <c r="D2076" s="17">
        <v>22991231</v>
      </c>
      <c r="E2076" s="25">
        <v>723.17</v>
      </c>
    </row>
    <row r="2077" spans="1:5" ht="26" x14ac:dyDescent="0.3">
      <c r="A2077" s="17" t="str">
        <f>"31527"</f>
        <v>31527</v>
      </c>
      <c r="B2077" s="5" t="s">
        <v>2234</v>
      </c>
      <c r="C2077" s="17">
        <v>19900101</v>
      </c>
      <c r="D2077" s="17">
        <v>22991231</v>
      </c>
      <c r="E2077" s="25">
        <v>1496.36</v>
      </c>
    </row>
    <row r="2078" spans="1:5" x14ac:dyDescent="0.3">
      <c r="A2078" s="17" t="str">
        <f>"31528"</f>
        <v>31528</v>
      </c>
      <c r="B2078" s="5" t="s">
        <v>2235</v>
      </c>
      <c r="C2078" s="17">
        <v>19900101</v>
      </c>
      <c r="D2078" s="17">
        <v>22991231</v>
      </c>
      <c r="E2078" s="25">
        <v>1496.36</v>
      </c>
    </row>
    <row r="2079" spans="1:5" ht="26" x14ac:dyDescent="0.3">
      <c r="A2079" s="17" t="str">
        <f>"31529"</f>
        <v>31529</v>
      </c>
      <c r="B2079" s="5" t="s">
        <v>2236</v>
      </c>
      <c r="C2079" s="17">
        <v>19900101</v>
      </c>
      <c r="D2079" s="17">
        <v>22991231</v>
      </c>
      <c r="E2079" s="25">
        <v>1496.36</v>
      </c>
    </row>
    <row r="2080" spans="1:5" ht="26" x14ac:dyDescent="0.3">
      <c r="A2080" s="17" t="str">
        <f>"31530"</f>
        <v>31530</v>
      </c>
      <c r="B2080" s="5" t="s">
        <v>2237</v>
      </c>
      <c r="C2080" s="17">
        <v>19900101</v>
      </c>
      <c r="D2080" s="17">
        <v>22991231</v>
      </c>
      <c r="E2080" s="25">
        <v>723.17</v>
      </c>
    </row>
    <row r="2081" spans="1:5" ht="39" x14ac:dyDescent="0.3">
      <c r="A2081" s="17" t="str">
        <f>"31531"</f>
        <v>31531</v>
      </c>
      <c r="B2081" s="5" t="s">
        <v>2238</v>
      </c>
      <c r="C2081" s="17">
        <v>19900101</v>
      </c>
      <c r="D2081" s="17">
        <v>22991231</v>
      </c>
      <c r="E2081" s="25">
        <v>1496.36</v>
      </c>
    </row>
    <row r="2082" spans="1:5" x14ac:dyDescent="0.3">
      <c r="A2082" s="17" t="str">
        <f>"31535"</f>
        <v>31535</v>
      </c>
      <c r="B2082" s="5" t="s">
        <v>2239</v>
      </c>
      <c r="C2082" s="17">
        <v>19900101</v>
      </c>
      <c r="D2082" s="17">
        <v>22991231</v>
      </c>
      <c r="E2082" s="25">
        <v>1496.36</v>
      </c>
    </row>
    <row r="2083" spans="1:5" ht="26" x14ac:dyDescent="0.3">
      <c r="A2083" s="17" t="str">
        <f>"31536"</f>
        <v>31536</v>
      </c>
      <c r="B2083" s="5" t="s">
        <v>2240</v>
      </c>
      <c r="C2083" s="17">
        <v>19900101</v>
      </c>
      <c r="D2083" s="17">
        <v>22991231</v>
      </c>
      <c r="E2083" s="25">
        <v>1496.36</v>
      </c>
    </row>
    <row r="2084" spans="1:5" ht="26" x14ac:dyDescent="0.3">
      <c r="A2084" s="17" t="str">
        <f>"31540"</f>
        <v>31540</v>
      </c>
      <c r="B2084" s="5" t="s">
        <v>2241</v>
      </c>
      <c r="C2084" s="17">
        <v>19900101</v>
      </c>
      <c r="D2084" s="17">
        <v>22991231</v>
      </c>
      <c r="E2084" s="25">
        <v>1496.36</v>
      </c>
    </row>
    <row r="2085" spans="1:5" ht="39" x14ac:dyDescent="0.3">
      <c r="A2085" s="17" t="str">
        <f>"31541"</f>
        <v>31541</v>
      </c>
      <c r="B2085" s="5" t="s">
        <v>2242</v>
      </c>
      <c r="C2085" s="17">
        <v>19900101</v>
      </c>
      <c r="D2085" s="17">
        <v>22991231</v>
      </c>
      <c r="E2085" s="25">
        <v>1496.36</v>
      </c>
    </row>
    <row r="2086" spans="1:5" ht="52" x14ac:dyDescent="0.3">
      <c r="A2086" s="17" t="str">
        <f>"31545"</f>
        <v>31545</v>
      </c>
      <c r="B2086" s="5" t="s">
        <v>2243</v>
      </c>
      <c r="C2086" s="17">
        <v>20051001</v>
      </c>
      <c r="D2086" s="17">
        <v>22991231</v>
      </c>
      <c r="E2086" s="25">
        <v>1496.36</v>
      </c>
    </row>
    <row r="2087" spans="1:5" ht="39" x14ac:dyDescent="0.3">
      <c r="A2087" s="17" t="str">
        <f>"31546"</f>
        <v>31546</v>
      </c>
      <c r="B2087" s="5" t="s">
        <v>2244</v>
      </c>
      <c r="C2087" s="17">
        <v>20051001</v>
      </c>
      <c r="D2087" s="17">
        <v>22991231</v>
      </c>
      <c r="E2087" s="25">
        <v>2197.87</v>
      </c>
    </row>
    <row r="2088" spans="1:5" ht="26" x14ac:dyDescent="0.3">
      <c r="A2088" s="17" t="str">
        <f>"31551"</f>
        <v>31551</v>
      </c>
      <c r="B2088" s="5" t="s">
        <v>2245</v>
      </c>
      <c r="C2088" s="17">
        <v>20170101</v>
      </c>
      <c r="D2088" s="17">
        <v>22991231</v>
      </c>
      <c r="E2088" s="25">
        <v>2637</v>
      </c>
    </row>
    <row r="2089" spans="1:5" ht="26" x14ac:dyDescent="0.3">
      <c r="A2089" s="17" t="str">
        <f>"31552"</f>
        <v>31552</v>
      </c>
      <c r="B2089" s="5" t="s">
        <v>2246</v>
      </c>
      <c r="C2089" s="17">
        <v>20170101</v>
      </c>
      <c r="D2089" s="17">
        <v>22991231</v>
      </c>
      <c r="E2089" s="25">
        <v>2637</v>
      </c>
    </row>
    <row r="2090" spans="1:5" ht="39" x14ac:dyDescent="0.3">
      <c r="A2090" s="17" t="str">
        <f>"31553"</f>
        <v>31553</v>
      </c>
      <c r="B2090" s="5" t="s">
        <v>2247</v>
      </c>
      <c r="C2090" s="17">
        <v>20170101</v>
      </c>
      <c r="D2090" s="17">
        <v>22991231</v>
      </c>
      <c r="E2090" s="25">
        <v>2637</v>
      </c>
    </row>
    <row r="2091" spans="1:5" ht="26" x14ac:dyDescent="0.3">
      <c r="A2091" s="17" t="str">
        <f>"31554"</f>
        <v>31554</v>
      </c>
      <c r="B2091" s="5" t="s">
        <v>2248</v>
      </c>
      <c r="C2091" s="17">
        <v>20170101</v>
      </c>
      <c r="D2091" s="17">
        <v>22991231</v>
      </c>
      <c r="E2091" s="25">
        <v>2637</v>
      </c>
    </row>
    <row r="2092" spans="1:5" ht="26" x14ac:dyDescent="0.3">
      <c r="A2092" s="17" t="str">
        <f>"31560"</f>
        <v>31560</v>
      </c>
      <c r="B2092" s="5" t="s">
        <v>2249</v>
      </c>
      <c r="C2092" s="17">
        <v>19900101</v>
      </c>
      <c r="D2092" s="17">
        <v>22991231</v>
      </c>
      <c r="E2092" s="25">
        <v>2197.87</v>
      </c>
    </row>
    <row r="2093" spans="1:5" ht="39" x14ac:dyDescent="0.3">
      <c r="A2093" s="17" t="str">
        <f>"31561"</f>
        <v>31561</v>
      </c>
      <c r="B2093" s="5" t="s">
        <v>2250</v>
      </c>
      <c r="C2093" s="17">
        <v>19900101</v>
      </c>
      <c r="D2093" s="17">
        <v>22991231</v>
      </c>
      <c r="E2093" s="25">
        <v>2197.87</v>
      </c>
    </row>
    <row r="2094" spans="1:5" x14ac:dyDescent="0.3">
      <c r="A2094" s="17" t="str">
        <f>"31570"</f>
        <v>31570</v>
      </c>
      <c r="B2094" s="5" t="s">
        <v>2251</v>
      </c>
      <c r="C2094" s="17">
        <v>19900101</v>
      </c>
      <c r="D2094" s="17">
        <v>22991231</v>
      </c>
      <c r="E2094" s="25">
        <v>1496.36</v>
      </c>
    </row>
    <row r="2095" spans="1:5" ht="26" x14ac:dyDescent="0.3">
      <c r="A2095" s="17" t="str">
        <f>"31571"</f>
        <v>31571</v>
      </c>
      <c r="B2095" s="5" t="s">
        <v>2252</v>
      </c>
      <c r="C2095" s="17">
        <v>19900101</v>
      </c>
      <c r="D2095" s="17">
        <v>22991231</v>
      </c>
      <c r="E2095" s="25">
        <v>1496.36</v>
      </c>
    </row>
    <row r="2096" spans="1:5" ht="26" x14ac:dyDescent="0.3">
      <c r="A2096" s="17" t="str">
        <f>"31572"</f>
        <v>31572</v>
      </c>
      <c r="B2096" s="5" t="s">
        <v>2253</v>
      </c>
      <c r="C2096" s="17">
        <v>20170101</v>
      </c>
      <c r="D2096" s="17">
        <v>22991231</v>
      </c>
      <c r="E2096" s="25">
        <v>1496.36</v>
      </c>
    </row>
    <row r="2097" spans="1:5" ht="26" x14ac:dyDescent="0.3">
      <c r="A2097" s="17" t="str">
        <f>"31573"</f>
        <v>31573</v>
      </c>
      <c r="B2097" s="5" t="s">
        <v>2254</v>
      </c>
      <c r="C2097" s="17">
        <v>20170101</v>
      </c>
      <c r="D2097" s="17">
        <v>22991231</v>
      </c>
      <c r="E2097" s="25">
        <v>183.59</v>
      </c>
    </row>
    <row r="2098" spans="1:5" ht="26" x14ac:dyDescent="0.3">
      <c r="A2098" s="17" t="str">
        <f>"31574"</f>
        <v>31574</v>
      </c>
      <c r="B2098" s="5" t="s">
        <v>2255</v>
      </c>
      <c r="C2098" s="17">
        <v>20170101</v>
      </c>
      <c r="D2098" s="17">
        <v>22991231</v>
      </c>
      <c r="E2098" s="25">
        <v>723.17</v>
      </c>
    </row>
    <row r="2099" spans="1:5" ht="26" x14ac:dyDescent="0.3">
      <c r="A2099" s="17" t="str">
        <f>"31575"</f>
        <v>31575</v>
      </c>
      <c r="B2099" s="5" t="s">
        <v>2256</v>
      </c>
      <c r="C2099" s="17">
        <v>19900101</v>
      </c>
      <c r="D2099" s="17">
        <v>22991231</v>
      </c>
      <c r="E2099" s="25">
        <v>87.57</v>
      </c>
    </row>
    <row r="2100" spans="1:5" x14ac:dyDescent="0.3">
      <c r="A2100" s="17" t="str">
        <f>"31576"</f>
        <v>31576</v>
      </c>
      <c r="B2100" s="5" t="s">
        <v>2257</v>
      </c>
      <c r="C2100" s="17">
        <v>19900101</v>
      </c>
      <c r="D2100" s="17">
        <v>22991231</v>
      </c>
      <c r="E2100" s="25">
        <v>723.17</v>
      </c>
    </row>
    <row r="2101" spans="1:5" ht="26" x14ac:dyDescent="0.3">
      <c r="A2101" s="17" t="str">
        <f>"31577"</f>
        <v>31577</v>
      </c>
      <c r="B2101" s="5" t="s">
        <v>2258</v>
      </c>
      <c r="C2101" s="17">
        <v>19900101</v>
      </c>
      <c r="D2101" s="17">
        <v>22991231</v>
      </c>
      <c r="E2101" s="25">
        <v>202.31</v>
      </c>
    </row>
    <row r="2102" spans="1:5" ht="26" x14ac:dyDescent="0.3">
      <c r="A2102" s="17" t="str">
        <f>"31578"</f>
        <v>31578</v>
      </c>
      <c r="B2102" s="5" t="s">
        <v>2259</v>
      </c>
      <c r="C2102" s="17">
        <v>19900101</v>
      </c>
      <c r="D2102" s="17">
        <v>22991231</v>
      </c>
      <c r="E2102" s="25">
        <v>1496.36</v>
      </c>
    </row>
    <row r="2103" spans="1:5" ht="26" x14ac:dyDescent="0.3">
      <c r="A2103" s="17" t="str">
        <f>"31579"</f>
        <v>31579</v>
      </c>
      <c r="B2103" s="5" t="s">
        <v>2260</v>
      </c>
      <c r="C2103" s="17">
        <v>19900101</v>
      </c>
      <c r="D2103" s="17">
        <v>22991231</v>
      </c>
      <c r="E2103" s="25">
        <v>119.47</v>
      </c>
    </row>
    <row r="2104" spans="1:5" ht="26" x14ac:dyDescent="0.3">
      <c r="A2104" s="17" t="str">
        <f>"31580"</f>
        <v>31580</v>
      </c>
      <c r="B2104" s="5" t="s">
        <v>2261</v>
      </c>
      <c r="C2104" s="17">
        <v>19900101</v>
      </c>
      <c r="D2104" s="17">
        <v>22991231</v>
      </c>
      <c r="E2104" s="25">
        <v>2637</v>
      </c>
    </row>
    <row r="2105" spans="1:5" x14ac:dyDescent="0.3">
      <c r="A2105" s="17" t="str">
        <f>"31584"</f>
        <v>31584</v>
      </c>
      <c r="B2105" s="5" t="s">
        <v>2262</v>
      </c>
      <c r="C2105" s="17">
        <v>19900101</v>
      </c>
      <c r="D2105" s="17">
        <v>22991231</v>
      </c>
      <c r="E2105" s="24" t="s">
        <v>7128</v>
      </c>
    </row>
    <row r="2106" spans="1:5" x14ac:dyDescent="0.3">
      <c r="A2106" s="17" t="str">
        <f>"31587"</f>
        <v>31587</v>
      </c>
      <c r="B2106" s="5" t="s">
        <v>2263</v>
      </c>
      <c r="C2106" s="17">
        <v>19900101</v>
      </c>
      <c r="D2106" s="17">
        <v>22991231</v>
      </c>
      <c r="E2106" s="24" t="s">
        <v>7128</v>
      </c>
    </row>
    <row r="2107" spans="1:5" ht="26" x14ac:dyDescent="0.3">
      <c r="A2107" s="17" t="str">
        <f>"31590"</f>
        <v>31590</v>
      </c>
      <c r="B2107" s="5" t="s">
        <v>2264</v>
      </c>
      <c r="C2107" s="17">
        <v>19900101</v>
      </c>
      <c r="D2107" s="17">
        <v>22991231</v>
      </c>
      <c r="E2107" s="25">
        <v>2637</v>
      </c>
    </row>
    <row r="2108" spans="1:5" ht="26" x14ac:dyDescent="0.3">
      <c r="A2108" s="17" t="str">
        <f>"31591"</f>
        <v>31591</v>
      </c>
      <c r="B2108" s="5" t="s">
        <v>2265</v>
      </c>
      <c r="C2108" s="17">
        <v>20170101</v>
      </c>
      <c r="D2108" s="17">
        <v>22991231</v>
      </c>
      <c r="E2108" s="25">
        <v>2637</v>
      </c>
    </row>
    <row r="2109" spans="1:5" x14ac:dyDescent="0.3">
      <c r="A2109" s="17" t="str">
        <f>"31592"</f>
        <v>31592</v>
      </c>
      <c r="B2109" s="5" t="s">
        <v>2266</v>
      </c>
      <c r="C2109" s="17">
        <v>20170101</v>
      </c>
      <c r="D2109" s="17">
        <v>22991231</v>
      </c>
      <c r="E2109" s="25">
        <v>2637</v>
      </c>
    </row>
    <row r="2110" spans="1:5" ht="26" x14ac:dyDescent="0.3">
      <c r="A2110" s="17" t="str">
        <f>"31600"</f>
        <v>31600</v>
      </c>
      <c r="B2110" s="5" t="s">
        <v>2267</v>
      </c>
      <c r="C2110" s="17">
        <v>19900101</v>
      </c>
      <c r="D2110" s="17">
        <v>22991231</v>
      </c>
      <c r="E2110" s="24" t="s">
        <v>7128</v>
      </c>
    </row>
    <row r="2111" spans="1:5" ht="26" x14ac:dyDescent="0.3">
      <c r="A2111" s="17" t="str">
        <f>"31601"</f>
        <v>31601</v>
      </c>
      <c r="B2111" s="5" t="s">
        <v>2268</v>
      </c>
      <c r="C2111" s="17">
        <v>19900101</v>
      </c>
      <c r="D2111" s="17">
        <v>22991231</v>
      </c>
      <c r="E2111" s="24" t="s">
        <v>7128</v>
      </c>
    </row>
    <row r="2112" spans="1:5" ht="26" x14ac:dyDescent="0.3">
      <c r="A2112" s="17" t="str">
        <f>"31603"</f>
        <v>31603</v>
      </c>
      <c r="B2112" s="5" t="s">
        <v>2269</v>
      </c>
      <c r="C2112" s="17">
        <v>19900101</v>
      </c>
      <c r="D2112" s="17">
        <v>22991231</v>
      </c>
      <c r="E2112" s="25">
        <v>636.91999999999996</v>
      </c>
    </row>
    <row r="2113" spans="1:5" ht="26" x14ac:dyDescent="0.3">
      <c r="A2113" s="17" t="str">
        <f>"31605"</f>
        <v>31605</v>
      </c>
      <c r="B2113" s="5" t="s">
        <v>2270</v>
      </c>
      <c r="C2113" s="17">
        <v>19900101</v>
      </c>
      <c r="D2113" s="17">
        <v>22991231</v>
      </c>
      <c r="E2113" s="25">
        <v>121.03</v>
      </c>
    </row>
    <row r="2114" spans="1:5" ht="26" x14ac:dyDescent="0.3">
      <c r="A2114" s="17" t="str">
        <f>"31610"</f>
        <v>31610</v>
      </c>
      <c r="B2114" s="5" t="s">
        <v>2271</v>
      </c>
      <c r="C2114" s="17">
        <v>19900101</v>
      </c>
      <c r="D2114" s="17">
        <v>22991231</v>
      </c>
      <c r="E2114" s="24" t="s">
        <v>7128</v>
      </c>
    </row>
    <row r="2115" spans="1:5" ht="26" x14ac:dyDescent="0.3">
      <c r="A2115" s="17" t="str">
        <f>"31611"</f>
        <v>31611</v>
      </c>
      <c r="B2115" s="5" t="s">
        <v>2272</v>
      </c>
      <c r="C2115" s="17">
        <v>19900401</v>
      </c>
      <c r="D2115" s="17">
        <v>22991231</v>
      </c>
      <c r="E2115" s="25">
        <v>1259.74</v>
      </c>
    </row>
    <row r="2116" spans="1:5" ht="26" x14ac:dyDescent="0.3">
      <c r="A2116" s="17" t="str">
        <f>"31612"</f>
        <v>31612</v>
      </c>
      <c r="B2116" s="5" t="s">
        <v>2273</v>
      </c>
      <c r="C2116" s="17">
        <v>19900101</v>
      </c>
      <c r="D2116" s="17">
        <v>22991231</v>
      </c>
      <c r="E2116" s="25">
        <v>1259.74</v>
      </c>
    </row>
    <row r="2117" spans="1:5" ht="26" x14ac:dyDescent="0.3">
      <c r="A2117" s="17" t="str">
        <f>"31613"</f>
        <v>31613</v>
      </c>
      <c r="B2117" s="5" t="s">
        <v>2274</v>
      </c>
      <c r="C2117" s="17">
        <v>19900101</v>
      </c>
      <c r="D2117" s="17">
        <v>22991231</v>
      </c>
      <c r="E2117" s="25">
        <v>1259.74</v>
      </c>
    </row>
    <row r="2118" spans="1:5" ht="26" x14ac:dyDescent="0.3">
      <c r="A2118" s="17" t="str">
        <f>"31614"</f>
        <v>31614</v>
      </c>
      <c r="B2118" s="5" t="s">
        <v>2275</v>
      </c>
      <c r="C2118" s="17">
        <v>19900101</v>
      </c>
      <c r="D2118" s="17">
        <v>22991231</v>
      </c>
      <c r="E2118" s="25">
        <v>2637</v>
      </c>
    </row>
    <row r="2119" spans="1:5" ht="26" x14ac:dyDescent="0.3">
      <c r="A2119" s="17" t="str">
        <f>"31615"</f>
        <v>31615</v>
      </c>
      <c r="B2119" s="5" t="s">
        <v>2276</v>
      </c>
      <c r="C2119" s="17">
        <v>19900101</v>
      </c>
      <c r="D2119" s="17">
        <v>22991231</v>
      </c>
      <c r="E2119" s="25">
        <v>272.61</v>
      </c>
    </row>
    <row r="2120" spans="1:5" ht="26" x14ac:dyDescent="0.3">
      <c r="A2120" s="17" t="str">
        <f>"31622"</f>
        <v>31622</v>
      </c>
      <c r="B2120" s="5" t="s">
        <v>2277</v>
      </c>
      <c r="C2120" s="17">
        <v>19900101</v>
      </c>
      <c r="D2120" s="17">
        <v>22991231</v>
      </c>
      <c r="E2120" s="25">
        <v>723.17</v>
      </c>
    </row>
    <row r="2121" spans="1:5" x14ac:dyDescent="0.3">
      <c r="A2121" s="17" t="str">
        <f>"31623"</f>
        <v>31623</v>
      </c>
      <c r="B2121" s="5" t="s">
        <v>2278</v>
      </c>
      <c r="C2121" s="17">
        <v>19990101</v>
      </c>
      <c r="D2121" s="17">
        <v>22991231</v>
      </c>
      <c r="E2121" s="25">
        <v>723.17</v>
      </c>
    </row>
    <row r="2122" spans="1:5" ht="26" x14ac:dyDescent="0.3">
      <c r="A2122" s="17" t="str">
        <f>"31624"</f>
        <v>31624</v>
      </c>
      <c r="B2122" s="5" t="s">
        <v>2279</v>
      </c>
      <c r="C2122" s="17">
        <v>19990101</v>
      </c>
      <c r="D2122" s="17">
        <v>22991231</v>
      </c>
      <c r="E2122" s="25">
        <v>723.17</v>
      </c>
    </row>
    <row r="2123" spans="1:5" x14ac:dyDescent="0.3">
      <c r="A2123" s="17" t="str">
        <f>"31625"</f>
        <v>31625</v>
      </c>
      <c r="B2123" s="5" t="s">
        <v>2280</v>
      </c>
      <c r="C2123" s="17">
        <v>19900101</v>
      </c>
      <c r="D2123" s="17">
        <v>22991231</v>
      </c>
      <c r="E2123" s="25">
        <v>723.17</v>
      </c>
    </row>
    <row r="2124" spans="1:5" ht="26" x14ac:dyDescent="0.3">
      <c r="A2124" s="17" t="str">
        <f>"31626"</f>
        <v>31626</v>
      </c>
      <c r="B2124" s="5" t="s">
        <v>2281</v>
      </c>
      <c r="C2124" s="17">
        <v>20230101</v>
      </c>
      <c r="D2124" s="17">
        <v>22991231</v>
      </c>
      <c r="E2124" s="25">
        <v>2197.87</v>
      </c>
    </row>
    <row r="2125" spans="1:5" ht="26" x14ac:dyDescent="0.3">
      <c r="A2125" s="17" t="str">
        <f>"31627"</f>
        <v>31627</v>
      </c>
      <c r="B2125" s="5" t="s">
        <v>2282</v>
      </c>
      <c r="C2125" s="17">
        <v>20230101</v>
      </c>
      <c r="D2125" s="17">
        <v>22991231</v>
      </c>
      <c r="E2125" s="25">
        <v>0</v>
      </c>
    </row>
    <row r="2126" spans="1:5" ht="26" x14ac:dyDescent="0.3">
      <c r="A2126" s="17" t="str">
        <f>"31628"</f>
        <v>31628</v>
      </c>
      <c r="B2126" s="5" t="s">
        <v>2283</v>
      </c>
      <c r="C2126" s="17">
        <v>19900101</v>
      </c>
      <c r="D2126" s="17">
        <v>22991231</v>
      </c>
      <c r="E2126" s="25">
        <v>1496.36</v>
      </c>
    </row>
    <row r="2127" spans="1:5" ht="26" x14ac:dyDescent="0.3">
      <c r="A2127" s="17" t="str">
        <f>"31629"</f>
        <v>31629</v>
      </c>
      <c r="B2127" s="5" t="s">
        <v>2284</v>
      </c>
      <c r="C2127" s="17">
        <v>19900101</v>
      </c>
      <c r="D2127" s="17">
        <v>22991231</v>
      </c>
      <c r="E2127" s="25">
        <v>1496.36</v>
      </c>
    </row>
    <row r="2128" spans="1:5" ht="26" x14ac:dyDescent="0.3">
      <c r="A2128" s="17" t="str">
        <f>"31630"</f>
        <v>31630</v>
      </c>
      <c r="B2128" s="5" t="s">
        <v>2285</v>
      </c>
      <c r="C2128" s="17">
        <v>19900101</v>
      </c>
      <c r="D2128" s="17">
        <v>22991231</v>
      </c>
      <c r="E2128" s="25">
        <v>1496.36</v>
      </c>
    </row>
    <row r="2129" spans="1:5" ht="26" x14ac:dyDescent="0.3">
      <c r="A2129" s="17" t="str">
        <f>"31631"</f>
        <v>31631</v>
      </c>
      <c r="B2129" s="5" t="s">
        <v>2286</v>
      </c>
      <c r="C2129" s="17">
        <v>19900101</v>
      </c>
      <c r="D2129" s="17">
        <v>22991231</v>
      </c>
      <c r="E2129" s="25">
        <v>2197.87</v>
      </c>
    </row>
    <row r="2130" spans="1:5" ht="26" x14ac:dyDescent="0.3">
      <c r="A2130" s="17" t="str">
        <f>"31632"</f>
        <v>31632</v>
      </c>
      <c r="B2130" s="5" t="s">
        <v>2287</v>
      </c>
      <c r="C2130" s="17">
        <v>20031001</v>
      </c>
      <c r="D2130" s="17">
        <v>22991231</v>
      </c>
      <c r="E2130" s="25">
        <v>0</v>
      </c>
    </row>
    <row r="2131" spans="1:5" ht="26" x14ac:dyDescent="0.3">
      <c r="A2131" s="17" t="str">
        <f>"31633"</f>
        <v>31633</v>
      </c>
      <c r="B2131" s="5" t="s">
        <v>2288</v>
      </c>
      <c r="C2131" s="17">
        <v>20230101</v>
      </c>
      <c r="D2131" s="17">
        <v>22991231</v>
      </c>
      <c r="E2131" s="25">
        <v>0</v>
      </c>
    </row>
    <row r="2132" spans="1:5" ht="26" x14ac:dyDescent="0.3">
      <c r="A2132" s="17" t="str">
        <f>"31634"</f>
        <v>31634</v>
      </c>
      <c r="B2132" s="5" t="s">
        <v>2289</v>
      </c>
      <c r="C2132" s="17">
        <v>20110101</v>
      </c>
      <c r="D2132" s="17">
        <v>22991231</v>
      </c>
      <c r="E2132" s="25">
        <v>2197.87</v>
      </c>
    </row>
    <row r="2133" spans="1:5" ht="26" x14ac:dyDescent="0.3">
      <c r="A2133" s="17" t="str">
        <f>"31635"</f>
        <v>31635</v>
      </c>
      <c r="B2133" s="5" t="s">
        <v>2290</v>
      </c>
      <c r="C2133" s="17">
        <v>19900101</v>
      </c>
      <c r="D2133" s="17">
        <v>22991231</v>
      </c>
      <c r="E2133" s="25">
        <v>723.17</v>
      </c>
    </row>
    <row r="2134" spans="1:5" ht="26" x14ac:dyDescent="0.3">
      <c r="A2134" s="17" t="str">
        <f>"31636"</f>
        <v>31636</v>
      </c>
      <c r="B2134" s="5" t="s">
        <v>2291</v>
      </c>
      <c r="C2134" s="17">
        <v>20230101</v>
      </c>
      <c r="D2134" s="17">
        <v>22991231</v>
      </c>
      <c r="E2134" s="25">
        <v>2938.83</v>
      </c>
    </row>
    <row r="2135" spans="1:5" ht="26" x14ac:dyDescent="0.3">
      <c r="A2135" s="17" t="str">
        <f>"31637"</f>
        <v>31637</v>
      </c>
      <c r="B2135" s="5" t="s">
        <v>2292</v>
      </c>
      <c r="C2135" s="17">
        <v>20230101</v>
      </c>
      <c r="D2135" s="17">
        <v>22991231</v>
      </c>
      <c r="E2135" s="25">
        <v>0</v>
      </c>
    </row>
    <row r="2136" spans="1:5" ht="26" x14ac:dyDescent="0.3">
      <c r="A2136" s="17" t="str">
        <f>"31638"</f>
        <v>31638</v>
      </c>
      <c r="B2136" s="5" t="s">
        <v>2293</v>
      </c>
      <c r="C2136" s="17">
        <v>20230101</v>
      </c>
      <c r="D2136" s="17">
        <v>22991231</v>
      </c>
      <c r="E2136" s="25">
        <v>2197.87</v>
      </c>
    </row>
    <row r="2137" spans="1:5" ht="26" x14ac:dyDescent="0.3">
      <c r="A2137" s="17" t="str">
        <f>"31640"</f>
        <v>31640</v>
      </c>
      <c r="B2137" s="5" t="s">
        <v>2294</v>
      </c>
      <c r="C2137" s="17">
        <v>19900101</v>
      </c>
      <c r="D2137" s="17">
        <v>22991231</v>
      </c>
      <c r="E2137" s="25">
        <v>1496.36</v>
      </c>
    </row>
    <row r="2138" spans="1:5" ht="26" x14ac:dyDescent="0.3">
      <c r="A2138" s="17" t="str">
        <f>"31641"</f>
        <v>31641</v>
      </c>
      <c r="B2138" s="5" t="s">
        <v>2295</v>
      </c>
      <c r="C2138" s="17">
        <v>19900101</v>
      </c>
      <c r="D2138" s="17">
        <v>22991231</v>
      </c>
      <c r="E2138" s="25">
        <v>1496.36</v>
      </c>
    </row>
    <row r="2139" spans="1:5" ht="26" x14ac:dyDescent="0.3">
      <c r="A2139" s="17" t="str">
        <f>"31643"</f>
        <v>31643</v>
      </c>
      <c r="B2139" s="5" t="s">
        <v>2296</v>
      </c>
      <c r="C2139" s="17">
        <v>19990101</v>
      </c>
      <c r="D2139" s="17">
        <v>22991231</v>
      </c>
      <c r="E2139" s="25">
        <v>723.17</v>
      </c>
    </row>
    <row r="2140" spans="1:5" ht="26" x14ac:dyDescent="0.3">
      <c r="A2140" s="17" t="str">
        <f>"31645"</f>
        <v>31645</v>
      </c>
      <c r="B2140" s="5" t="s">
        <v>2297</v>
      </c>
      <c r="C2140" s="17">
        <v>19900101</v>
      </c>
      <c r="D2140" s="17">
        <v>22991231</v>
      </c>
      <c r="E2140" s="25">
        <v>723.17</v>
      </c>
    </row>
    <row r="2141" spans="1:5" ht="39" x14ac:dyDescent="0.3">
      <c r="A2141" s="17" t="str">
        <f>"31646"</f>
        <v>31646</v>
      </c>
      <c r="B2141" s="5" t="s">
        <v>2298</v>
      </c>
      <c r="C2141" s="17">
        <v>19900101</v>
      </c>
      <c r="D2141" s="17">
        <v>22991231</v>
      </c>
      <c r="E2141" s="25">
        <v>202.31</v>
      </c>
    </row>
    <row r="2142" spans="1:5" ht="39" x14ac:dyDescent="0.3">
      <c r="A2142" s="17" t="str">
        <f>"31647"</f>
        <v>31647</v>
      </c>
      <c r="B2142" s="5" t="s">
        <v>2299</v>
      </c>
      <c r="C2142" s="17">
        <v>20130101</v>
      </c>
      <c r="D2142" s="17">
        <v>22991231</v>
      </c>
      <c r="E2142" s="25">
        <v>2768.36</v>
      </c>
    </row>
    <row r="2143" spans="1:5" ht="26" x14ac:dyDescent="0.3">
      <c r="A2143" s="17" t="str">
        <f>"31648"</f>
        <v>31648</v>
      </c>
      <c r="B2143" s="5" t="s">
        <v>2300</v>
      </c>
      <c r="C2143" s="17">
        <v>20130101</v>
      </c>
      <c r="D2143" s="17">
        <v>22991231</v>
      </c>
      <c r="E2143" s="25">
        <v>1496.36</v>
      </c>
    </row>
    <row r="2144" spans="1:5" ht="39" x14ac:dyDescent="0.3">
      <c r="A2144" s="17" t="str">
        <f>"31649"</f>
        <v>31649</v>
      </c>
      <c r="B2144" s="5" t="s">
        <v>2301</v>
      </c>
      <c r="C2144" s="17">
        <v>20130101</v>
      </c>
      <c r="D2144" s="17">
        <v>22991231</v>
      </c>
      <c r="E2144" s="25">
        <v>723.17</v>
      </c>
    </row>
    <row r="2145" spans="1:5" ht="39" x14ac:dyDescent="0.3">
      <c r="A2145" s="17" t="str">
        <f>"31651"</f>
        <v>31651</v>
      </c>
      <c r="B2145" s="5" t="s">
        <v>2302</v>
      </c>
      <c r="C2145" s="17">
        <v>20130101</v>
      </c>
      <c r="D2145" s="17">
        <v>22991231</v>
      </c>
      <c r="E2145" s="25">
        <v>0</v>
      </c>
    </row>
    <row r="2146" spans="1:5" ht="39" x14ac:dyDescent="0.3">
      <c r="A2146" s="17" t="str">
        <f>"31652"</f>
        <v>31652</v>
      </c>
      <c r="B2146" s="5" t="s">
        <v>2303</v>
      </c>
      <c r="C2146" s="17">
        <v>20230101</v>
      </c>
      <c r="D2146" s="17">
        <v>22991231</v>
      </c>
      <c r="E2146" s="25">
        <v>1496.36</v>
      </c>
    </row>
    <row r="2147" spans="1:5" ht="39" x14ac:dyDescent="0.3">
      <c r="A2147" s="17" t="str">
        <f>"31653"</f>
        <v>31653</v>
      </c>
      <c r="B2147" s="5" t="s">
        <v>2304</v>
      </c>
      <c r="C2147" s="17">
        <v>20230101</v>
      </c>
      <c r="D2147" s="17">
        <v>22991231</v>
      </c>
      <c r="E2147" s="25">
        <v>1496.36</v>
      </c>
    </row>
    <row r="2148" spans="1:5" ht="39" x14ac:dyDescent="0.3">
      <c r="A2148" s="17" t="str">
        <f>"31654"</f>
        <v>31654</v>
      </c>
      <c r="B2148" s="5" t="s">
        <v>2305</v>
      </c>
      <c r="C2148" s="17">
        <v>20230101</v>
      </c>
      <c r="D2148" s="17">
        <v>22991231</v>
      </c>
      <c r="E2148" s="25">
        <v>0</v>
      </c>
    </row>
    <row r="2149" spans="1:5" x14ac:dyDescent="0.3">
      <c r="A2149" s="17" t="str">
        <f>"31717"</f>
        <v>31717</v>
      </c>
      <c r="B2149" s="5" t="s">
        <v>2306</v>
      </c>
      <c r="C2149" s="17">
        <v>19900101</v>
      </c>
      <c r="D2149" s="17">
        <v>22991231</v>
      </c>
      <c r="E2149" s="25">
        <v>202.31</v>
      </c>
    </row>
    <row r="2150" spans="1:5" ht="26" x14ac:dyDescent="0.3">
      <c r="A2150" s="17" t="str">
        <f>"31720"</f>
        <v>31720</v>
      </c>
      <c r="B2150" s="5" t="s">
        <v>2307</v>
      </c>
      <c r="C2150" s="17">
        <v>19900101</v>
      </c>
      <c r="D2150" s="17">
        <v>22991231</v>
      </c>
      <c r="E2150" s="25">
        <v>0</v>
      </c>
    </row>
    <row r="2151" spans="1:5" ht="26" x14ac:dyDescent="0.3">
      <c r="A2151" s="17" t="str">
        <f>"31730"</f>
        <v>31730</v>
      </c>
      <c r="B2151" s="5" t="s">
        <v>2308</v>
      </c>
      <c r="C2151" s="17">
        <v>20230101</v>
      </c>
      <c r="D2151" s="17">
        <v>22991231</v>
      </c>
      <c r="E2151" s="25">
        <v>723.17</v>
      </c>
    </row>
    <row r="2152" spans="1:5" x14ac:dyDescent="0.3">
      <c r="A2152" s="17" t="str">
        <f>"31750"</f>
        <v>31750</v>
      </c>
      <c r="B2152" s="5" t="s">
        <v>2309</v>
      </c>
      <c r="C2152" s="17">
        <v>19900101</v>
      </c>
      <c r="D2152" s="17">
        <v>22991231</v>
      </c>
      <c r="E2152" s="25">
        <v>2637</v>
      </c>
    </row>
    <row r="2153" spans="1:5" ht="26" x14ac:dyDescent="0.3">
      <c r="A2153" s="17" t="str">
        <f>"31755"</f>
        <v>31755</v>
      </c>
      <c r="B2153" s="5" t="s">
        <v>2310</v>
      </c>
      <c r="C2153" s="17">
        <v>19900101</v>
      </c>
      <c r="D2153" s="17">
        <v>22991231</v>
      </c>
      <c r="E2153" s="25">
        <v>2637</v>
      </c>
    </row>
    <row r="2154" spans="1:5" x14ac:dyDescent="0.3">
      <c r="A2154" s="17" t="str">
        <f>"31785"</f>
        <v>31785</v>
      </c>
      <c r="B2154" s="5" t="s">
        <v>2311</v>
      </c>
      <c r="C2154" s="17">
        <v>19900101</v>
      </c>
      <c r="D2154" s="17">
        <v>22991231</v>
      </c>
      <c r="E2154" s="24" t="s">
        <v>7128</v>
      </c>
    </row>
    <row r="2155" spans="1:5" ht="26" x14ac:dyDescent="0.3">
      <c r="A2155" s="17" t="str">
        <f>"31820"</f>
        <v>31820</v>
      </c>
      <c r="B2155" s="5" t="s">
        <v>2312</v>
      </c>
      <c r="C2155" s="17">
        <v>19900101</v>
      </c>
      <c r="D2155" s="17">
        <v>22991231</v>
      </c>
      <c r="E2155" s="25">
        <v>1259.74</v>
      </c>
    </row>
    <row r="2156" spans="1:5" ht="26" x14ac:dyDescent="0.3">
      <c r="A2156" s="17" t="str">
        <f>"31825"</f>
        <v>31825</v>
      </c>
      <c r="B2156" s="5" t="s">
        <v>2313</v>
      </c>
      <c r="C2156" s="17">
        <v>19900101</v>
      </c>
      <c r="D2156" s="17">
        <v>22991231</v>
      </c>
      <c r="E2156" s="25">
        <v>1259.74</v>
      </c>
    </row>
    <row r="2157" spans="1:5" x14ac:dyDescent="0.3">
      <c r="A2157" s="17" t="str">
        <f>"31830"</f>
        <v>31830</v>
      </c>
      <c r="B2157" s="5" t="s">
        <v>2314</v>
      </c>
      <c r="C2157" s="17">
        <v>19900101</v>
      </c>
      <c r="D2157" s="17">
        <v>22991231</v>
      </c>
      <c r="E2157" s="25">
        <v>1259.74</v>
      </c>
    </row>
    <row r="2158" spans="1:5" x14ac:dyDescent="0.3">
      <c r="A2158" s="17" t="str">
        <f>"32400"</f>
        <v>32400</v>
      </c>
      <c r="B2158" s="5" t="s">
        <v>2315</v>
      </c>
      <c r="C2158" s="17">
        <v>19900101</v>
      </c>
      <c r="D2158" s="17">
        <v>22991231</v>
      </c>
      <c r="E2158" s="25">
        <v>652.27</v>
      </c>
    </row>
    <row r="2159" spans="1:5" ht="26" x14ac:dyDescent="0.3">
      <c r="A2159" s="17" t="str">
        <f>"32408"</f>
        <v>32408</v>
      </c>
      <c r="B2159" s="5" t="s">
        <v>2316</v>
      </c>
      <c r="C2159" s="17">
        <v>20210101</v>
      </c>
      <c r="D2159" s="17">
        <v>22991231</v>
      </c>
      <c r="E2159" s="25">
        <v>652.27</v>
      </c>
    </row>
    <row r="2160" spans="1:5" ht="26" x14ac:dyDescent="0.3">
      <c r="A2160" s="17" t="str">
        <f>"32550"</f>
        <v>32550</v>
      </c>
      <c r="B2160" s="5" t="s">
        <v>2317</v>
      </c>
      <c r="C2160" s="17">
        <v>20080101</v>
      </c>
      <c r="D2160" s="17">
        <v>22991231</v>
      </c>
      <c r="E2160" s="25">
        <v>2025.03</v>
      </c>
    </row>
    <row r="2161" spans="1:5" ht="26" x14ac:dyDescent="0.3">
      <c r="A2161" s="17" t="str">
        <f>"32551"</f>
        <v>32551</v>
      </c>
      <c r="B2161" s="5" t="s">
        <v>2318</v>
      </c>
      <c r="C2161" s="17">
        <v>20080101</v>
      </c>
      <c r="D2161" s="17">
        <v>22991231</v>
      </c>
      <c r="E2161" s="24" t="s">
        <v>7128</v>
      </c>
    </row>
    <row r="2162" spans="1:5" x14ac:dyDescent="0.3">
      <c r="A2162" s="17" t="str">
        <f>"32552"</f>
        <v>32552</v>
      </c>
      <c r="B2162" s="5" t="s">
        <v>2319</v>
      </c>
      <c r="C2162" s="17">
        <v>20230101</v>
      </c>
      <c r="D2162" s="17">
        <v>22991231</v>
      </c>
      <c r="E2162" s="25">
        <v>311.25</v>
      </c>
    </row>
    <row r="2163" spans="1:5" ht="26" x14ac:dyDescent="0.3">
      <c r="A2163" s="17" t="str">
        <f>"32553"</f>
        <v>32553</v>
      </c>
      <c r="B2163" s="5" t="s">
        <v>2320</v>
      </c>
      <c r="C2163" s="17">
        <v>20230101</v>
      </c>
      <c r="D2163" s="17">
        <v>22991231</v>
      </c>
      <c r="E2163" s="25">
        <v>686.53</v>
      </c>
    </row>
    <row r="2164" spans="1:5" x14ac:dyDescent="0.3">
      <c r="A2164" s="17" t="str">
        <f>"32554"</f>
        <v>32554</v>
      </c>
      <c r="B2164" s="5" t="s">
        <v>2321</v>
      </c>
      <c r="C2164" s="17">
        <v>20130101</v>
      </c>
      <c r="D2164" s="17">
        <v>22991231</v>
      </c>
      <c r="E2164" s="25">
        <v>311.25</v>
      </c>
    </row>
    <row r="2165" spans="1:5" ht="26" x14ac:dyDescent="0.3">
      <c r="A2165" s="17" t="str">
        <f>"32555"</f>
        <v>32555</v>
      </c>
      <c r="B2165" s="5" t="s">
        <v>2322</v>
      </c>
      <c r="C2165" s="17">
        <v>20130101</v>
      </c>
      <c r="D2165" s="17">
        <v>22991231</v>
      </c>
      <c r="E2165" s="25">
        <v>311.25</v>
      </c>
    </row>
    <row r="2166" spans="1:5" ht="26" x14ac:dyDescent="0.3">
      <c r="A2166" s="17" t="str">
        <f>"32556"</f>
        <v>32556</v>
      </c>
      <c r="B2166" s="5" t="s">
        <v>2323</v>
      </c>
      <c r="C2166" s="17">
        <v>20130101</v>
      </c>
      <c r="D2166" s="17">
        <v>22991231</v>
      </c>
      <c r="E2166" s="25">
        <v>794.51</v>
      </c>
    </row>
    <row r="2167" spans="1:5" ht="39" x14ac:dyDescent="0.3">
      <c r="A2167" s="17" t="str">
        <f>"32557"</f>
        <v>32557</v>
      </c>
      <c r="B2167" s="5" t="s">
        <v>2324</v>
      </c>
      <c r="C2167" s="17">
        <v>20130101</v>
      </c>
      <c r="D2167" s="17">
        <v>22991231</v>
      </c>
      <c r="E2167" s="25">
        <v>591.41</v>
      </c>
    </row>
    <row r="2168" spans="1:5" ht="26" x14ac:dyDescent="0.3">
      <c r="A2168" s="17" t="str">
        <f>"32560"</f>
        <v>32560</v>
      </c>
      <c r="B2168" s="27" t="s">
        <v>7132</v>
      </c>
      <c r="C2168" s="17">
        <v>20080101</v>
      </c>
      <c r="D2168" s="17">
        <v>22991231</v>
      </c>
      <c r="E2168" s="24" t="s">
        <v>7128</v>
      </c>
    </row>
    <row r="2169" spans="1:5" ht="26" x14ac:dyDescent="0.3">
      <c r="A2169" s="17" t="str">
        <f>"32601"</f>
        <v>32601</v>
      </c>
      <c r="B2169" s="5" t="s">
        <v>2325</v>
      </c>
      <c r="C2169" s="17">
        <v>19940101</v>
      </c>
      <c r="D2169" s="17">
        <v>22991231</v>
      </c>
      <c r="E2169" s="24" t="s">
        <v>7128</v>
      </c>
    </row>
    <row r="2170" spans="1:5" x14ac:dyDescent="0.3">
      <c r="A2170" s="17" t="str">
        <f>"32604"</f>
        <v>32604</v>
      </c>
      <c r="B2170" s="5" t="s">
        <v>2326</v>
      </c>
      <c r="C2170" s="17">
        <v>19940101</v>
      </c>
      <c r="D2170" s="17">
        <v>22991231</v>
      </c>
      <c r="E2170" s="24" t="s">
        <v>7128</v>
      </c>
    </row>
    <row r="2171" spans="1:5" x14ac:dyDescent="0.3">
      <c r="A2171" s="17" t="str">
        <f>"32606"</f>
        <v>32606</v>
      </c>
      <c r="B2171" s="5" t="s">
        <v>2327</v>
      </c>
      <c r="C2171" s="17">
        <v>19940101</v>
      </c>
      <c r="D2171" s="17">
        <v>22991231</v>
      </c>
      <c r="E2171" s="24" t="s">
        <v>7128</v>
      </c>
    </row>
    <row r="2172" spans="1:5" x14ac:dyDescent="0.3">
      <c r="A2172" s="17" t="str">
        <f>"32960"</f>
        <v>32960</v>
      </c>
      <c r="B2172" s="5" t="s">
        <v>2328</v>
      </c>
      <c r="C2172" s="17">
        <v>19900101</v>
      </c>
      <c r="D2172" s="17">
        <v>22991231</v>
      </c>
      <c r="E2172" s="24">
        <v>311.25</v>
      </c>
    </row>
    <row r="2173" spans="1:5" x14ac:dyDescent="0.3">
      <c r="A2173" s="17" t="str">
        <f>"32994"</f>
        <v>32994</v>
      </c>
      <c r="B2173" s="5" t="s">
        <v>2329</v>
      </c>
      <c r="C2173" s="17">
        <v>20180101</v>
      </c>
      <c r="D2173" s="17">
        <v>22991231</v>
      </c>
      <c r="E2173" s="24">
        <v>5847.4</v>
      </c>
    </row>
    <row r="2174" spans="1:5" ht="26" x14ac:dyDescent="0.3">
      <c r="A2174" s="17" t="str">
        <f>"32998"</f>
        <v>32998</v>
      </c>
      <c r="B2174" s="5" t="s">
        <v>2330</v>
      </c>
      <c r="C2174" s="17">
        <v>20230101</v>
      </c>
      <c r="D2174" s="17">
        <v>22991231</v>
      </c>
      <c r="E2174" s="25">
        <v>2584.12</v>
      </c>
    </row>
    <row r="2175" spans="1:5" x14ac:dyDescent="0.3">
      <c r="A2175" s="17" t="str">
        <f>"33016"</f>
        <v>33016</v>
      </c>
      <c r="B2175" s="5" t="s">
        <v>2331</v>
      </c>
      <c r="C2175" s="17">
        <v>20200101</v>
      </c>
      <c r="D2175" s="17">
        <v>22991231</v>
      </c>
      <c r="E2175" s="25">
        <v>591.41</v>
      </c>
    </row>
    <row r="2176" spans="1:5" ht="26" x14ac:dyDescent="0.3">
      <c r="A2176" s="17" t="str">
        <f>"33206"</f>
        <v>33206</v>
      </c>
      <c r="B2176" s="5" t="s">
        <v>2332</v>
      </c>
      <c r="C2176" s="17">
        <v>19900101</v>
      </c>
      <c r="D2176" s="17">
        <v>22991231</v>
      </c>
      <c r="E2176" s="25">
        <v>6894.4</v>
      </c>
    </row>
    <row r="2177" spans="1:5" ht="26" x14ac:dyDescent="0.3">
      <c r="A2177" s="17" t="str">
        <f>"33207"</f>
        <v>33207</v>
      </c>
      <c r="B2177" s="5" t="s">
        <v>2333</v>
      </c>
      <c r="C2177" s="17">
        <v>19900101</v>
      </c>
      <c r="D2177" s="17">
        <v>22991231</v>
      </c>
      <c r="E2177" s="25">
        <v>7082.53</v>
      </c>
    </row>
    <row r="2178" spans="1:5" ht="26" x14ac:dyDescent="0.3">
      <c r="A2178" s="17" t="str">
        <f>"33208"</f>
        <v>33208</v>
      </c>
      <c r="B2178" s="5" t="s">
        <v>2334</v>
      </c>
      <c r="C2178" s="17">
        <v>19900101</v>
      </c>
      <c r="D2178" s="17">
        <v>22991231</v>
      </c>
      <c r="E2178" s="25">
        <v>7290.45</v>
      </c>
    </row>
    <row r="2179" spans="1:5" ht="26" x14ac:dyDescent="0.3">
      <c r="A2179" s="17" t="str">
        <f>"33210"</f>
        <v>33210</v>
      </c>
      <c r="B2179" s="5" t="s">
        <v>2335</v>
      </c>
      <c r="C2179" s="17">
        <v>19900101</v>
      </c>
      <c r="D2179" s="17">
        <v>22991231</v>
      </c>
      <c r="E2179" s="25">
        <v>5504.31</v>
      </c>
    </row>
    <row r="2180" spans="1:5" ht="26" x14ac:dyDescent="0.3">
      <c r="A2180" s="17" t="str">
        <f>"33211"</f>
        <v>33211</v>
      </c>
      <c r="B2180" s="5" t="s">
        <v>2336</v>
      </c>
      <c r="C2180" s="17">
        <v>19940101</v>
      </c>
      <c r="D2180" s="17">
        <v>22991231</v>
      </c>
      <c r="E2180" s="25">
        <v>6906.15</v>
      </c>
    </row>
    <row r="2181" spans="1:5" ht="26" x14ac:dyDescent="0.3">
      <c r="A2181" s="17" t="str">
        <f>"33212"</f>
        <v>33212</v>
      </c>
      <c r="B2181" s="5" t="s">
        <v>2337</v>
      </c>
      <c r="C2181" s="17">
        <v>19900101</v>
      </c>
      <c r="D2181" s="17">
        <v>22991231</v>
      </c>
      <c r="E2181" s="25">
        <v>6028.19</v>
      </c>
    </row>
    <row r="2182" spans="1:5" ht="26" x14ac:dyDescent="0.3">
      <c r="A2182" s="17" t="str">
        <f>"33213"</f>
        <v>33213</v>
      </c>
      <c r="B2182" s="5" t="s">
        <v>2338</v>
      </c>
      <c r="C2182" s="17">
        <v>19940101</v>
      </c>
      <c r="D2182" s="17">
        <v>22991231</v>
      </c>
      <c r="E2182" s="25">
        <v>7242</v>
      </c>
    </row>
    <row r="2183" spans="1:5" x14ac:dyDescent="0.3">
      <c r="A2183" s="17" t="str">
        <f>"33214"</f>
        <v>33214</v>
      </c>
      <c r="B2183" s="5" t="s">
        <v>2339</v>
      </c>
      <c r="C2183" s="17">
        <v>19940101</v>
      </c>
      <c r="D2183" s="17">
        <v>22991231</v>
      </c>
      <c r="E2183" s="25">
        <v>7313.46</v>
      </c>
    </row>
    <row r="2184" spans="1:5" ht="26" x14ac:dyDescent="0.3">
      <c r="A2184" s="17" t="str">
        <f>"33215"</f>
        <v>33215</v>
      </c>
      <c r="B2184" s="5" t="s">
        <v>2340</v>
      </c>
      <c r="C2184" s="17">
        <v>20230101</v>
      </c>
      <c r="D2184" s="17">
        <v>22991231</v>
      </c>
      <c r="E2184" s="25">
        <v>1478.57</v>
      </c>
    </row>
    <row r="2185" spans="1:5" ht="26" x14ac:dyDescent="0.3">
      <c r="A2185" s="17" t="str">
        <f>"33216"</f>
        <v>33216</v>
      </c>
      <c r="B2185" s="5" t="s">
        <v>2341</v>
      </c>
      <c r="C2185" s="17">
        <v>19900101</v>
      </c>
      <c r="D2185" s="17">
        <v>22991231</v>
      </c>
      <c r="E2185" s="25">
        <v>5387.2</v>
      </c>
    </row>
    <row r="2186" spans="1:5" ht="26" x14ac:dyDescent="0.3">
      <c r="A2186" s="17" t="str">
        <f>"33217"</f>
        <v>33217</v>
      </c>
      <c r="B2186" s="5" t="s">
        <v>2342</v>
      </c>
      <c r="C2186" s="17">
        <v>19940101</v>
      </c>
      <c r="D2186" s="17">
        <v>22991231</v>
      </c>
      <c r="E2186" s="25">
        <v>5183.9799999999996</v>
      </c>
    </row>
    <row r="2187" spans="1:5" ht="26" x14ac:dyDescent="0.3">
      <c r="A2187" s="17" t="str">
        <f>"33218"</f>
        <v>33218</v>
      </c>
      <c r="B2187" s="5" t="s">
        <v>2343</v>
      </c>
      <c r="C2187" s="17">
        <v>19900101</v>
      </c>
      <c r="D2187" s="17">
        <v>22991231</v>
      </c>
      <c r="E2187" s="25">
        <v>1945.71</v>
      </c>
    </row>
    <row r="2188" spans="1:5" ht="26" x14ac:dyDescent="0.3">
      <c r="A2188" s="17" t="str">
        <f>"33220"</f>
        <v>33220</v>
      </c>
      <c r="B2188" s="5" t="s">
        <v>2344</v>
      </c>
      <c r="C2188" s="17">
        <v>19940101</v>
      </c>
      <c r="D2188" s="17">
        <v>22991231</v>
      </c>
      <c r="E2188" s="25">
        <v>2540.7800000000002</v>
      </c>
    </row>
    <row r="2189" spans="1:5" ht="26" x14ac:dyDescent="0.3">
      <c r="A2189" s="17" t="str">
        <f>"33221"</f>
        <v>33221</v>
      </c>
      <c r="B2189" s="5" t="s">
        <v>2345</v>
      </c>
      <c r="C2189" s="17">
        <v>20120101</v>
      </c>
      <c r="D2189" s="17">
        <v>22991231</v>
      </c>
      <c r="E2189" s="25">
        <v>12456.35</v>
      </c>
    </row>
    <row r="2190" spans="1:5" x14ac:dyDescent="0.3">
      <c r="A2190" s="17" t="str">
        <f>"33222"</f>
        <v>33222</v>
      </c>
      <c r="B2190" s="5" t="s">
        <v>2346</v>
      </c>
      <c r="C2190" s="17">
        <v>20030401</v>
      </c>
      <c r="D2190" s="17">
        <v>22991231</v>
      </c>
      <c r="E2190" s="25">
        <v>903.54</v>
      </c>
    </row>
    <row r="2191" spans="1:5" x14ac:dyDescent="0.3">
      <c r="A2191" s="17" t="str">
        <f>"33223"</f>
        <v>33223</v>
      </c>
      <c r="B2191" s="5" t="s">
        <v>2347</v>
      </c>
      <c r="C2191" s="17">
        <v>19940101</v>
      </c>
      <c r="D2191" s="17">
        <v>22991231</v>
      </c>
      <c r="E2191" s="25">
        <v>903.54</v>
      </c>
    </row>
    <row r="2192" spans="1:5" ht="26" x14ac:dyDescent="0.3">
      <c r="A2192" s="17" t="str">
        <f>"33224"</f>
        <v>33224</v>
      </c>
      <c r="B2192" s="5" t="s">
        <v>2348</v>
      </c>
      <c r="C2192" s="17">
        <v>20230101</v>
      </c>
      <c r="D2192" s="17">
        <v>22991231</v>
      </c>
      <c r="E2192" s="25">
        <v>7371.6</v>
      </c>
    </row>
    <row r="2193" spans="1:5" ht="26" x14ac:dyDescent="0.3">
      <c r="A2193" s="17" t="str">
        <f>"33225"</f>
        <v>33225</v>
      </c>
      <c r="B2193" s="5" t="s">
        <v>2349</v>
      </c>
      <c r="C2193" s="17">
        <v>20230101</v>
      </c>
      <c r="D2193" s="17">
        <v>22991231</v>
      </c>
      <c r="E2193" s="25">
        <v>0</v>
      </c>
    </row>
    <row r="2194" spans="1:5" x14ac:dyDescent="0.3">
      <c r="A2194" s="17" t="str">
        <f>"33226"</f>
        <v>33226</v>
      </c>
      <c r="B2194" s="5" t="s">
        <v>2350</v>
      </c>
      <c r="C2194" s="17">
        <v>20230101</v>
      </c>
      <c r="D2194" s="17">
        <v>22991231</v>
      </c>
      <c r="E2194" s="25">
        <v>1862.11</v>
      </c>
    </row>
    <row r="2195" spans="1:5" ht="26" x14ac:dyDescent="0.3">
      <c r="A2195" s="17" t="str">
        <f>"33227"</f>
        <v>33227</v>
      </c>
      <c r="B2195" s="5" t="s">
        <v>2351</v>
      </c>
      <c r="C2195" s="17">
        <v>20120101</v>
      </c>
      <c r="D2195" s="17">
        <v>22991231</v>
      </c>
      <c r="E2195" s="25">
        <v>6010.28</v>
      </c>
    </row>
    <row r="2196" spans="1:5" ht="26" x14ac:dyDescent="0.3">
      <c r="A2196" s="17" t="str">
        <f>"33228"</f>
        <v>33228</v>
      </c>
      <c r="B2196" s="5" t="s">
        <v>2352</v>
      </c>
      <c r="C2196" s="17">
        <v>20120101</v>
      </c>
      <c r="D2196" s="17">
        <v>22991231</v>
      </c>
      <c r="E2196" s="25">
        <v>7125.33</v>
      </c>
    </row>
    <row r="2197" spans="1:5" ht="26" x14ac:dyDescent="0.3">
      <c r="A2197" s="17" t="str">
        <f>"33229"</f>
        <v>33229</v>
      </c>
      <c r="B2197" s="5" t="s">
        <v>2353</v>
      </c>
      <c r="C2197" s="17">
        <v>20120101</v>
      </c>
      <c r="D2197" s="17">
        <v>22991231</v>
      </c>
      <c r="E2197" s="25">
        <v>12280.51</v>
      </c>
    </row>
    <row r="2198" spans="1:5" x14ac:dyDescent="0.3">
      <c r="A2198" s="17" t="str">
        <f>"33230"</f>
        <v>33230</v>
      </c>
      <c r="B2198" s="5" t="s">
        <v>2354</v>
      </c>
      <c r="C2198" s="17">
        <v>20120101</v>
      </c>
      <c r="D2198" s="17">
        <v>22991231</v>
      </c>
      <c r="E2198" s="25">
        <v>18170.29</v>
      </c>
    </row>
    <row r="2199" spans="1:5" ht="26" x14ac:dyDescent="0.3">
      <c r="A2199" s="17" t="str">
        <f>"33231"</f>
        <v>33231</v>
      </c>
      <c r="B2199" s="5" t="s">
        <v>2355</v>
      </c>
      <c r="C2199" s="17">
        <v>20120101</v>
      </c>
      <c r="D2199" s="17">
        <v>22991231</v>
      </c>
      <c r="E2199" s="25">
        <v>24032.05</v>
      </c>
    </row>
    <row r="2200" spans="1:5" ht="26" x14ac:dyDescent="0.3">
      <c r="A2200" s="17" t="str">
        <f>"33233"</f>
        <v>33233</v>
      </c>
      <c r="B2200" s="5" t="s">
        <v>2356</v>
      </c>
      <c r="C2200" s="17">
        <v>19940101</v>
      </c>
      <c r="D2200" s="17">
        <v>22991231</v>
      </c>
      <c r="E2200" s="25">
        <v>5326.58</v>
      </c>
    </row>
    <row r="2201" spans="1:5" x14ac:dyDescent="0.3">
      <c r="A2201" s="17" t="str">
        <f>"33234"</f>
        <v>33234</v>
      </c>
      <c r="B2201" s="5" t="s">
        <v>2357</v>
      </c>
      <c r="C2201" s="17">
        <v>19940101</v>
      </c>
      <c r="D2201" s="17">
        <v>22991231</v>
      </c>
      <c r="E2201" s="25">
        <v>2567.64</v>
      </c>
    </row>
    <row r="2202" spans="1:5" x14ac:dyDescent="0.3">
      <c r="A2202" s="17" t="str">
        <f>"33235"</f>
        <v>33235</v>
      </c>
      <c r="B2202" s="5" t="s">
        <v>2358</v>
      </c>
      <c r="C2202" s="17">
        <v>19940101</v>
      </c>
      <c r="D2202" s="17">
        <v>22991231</v>
      </c>
      <c r="E2202" s="25">
        <v>1945.71</v>
      </c>
    </row>
    <row r="2203" spans="1:5" ht="26" x14ac:dyDescent="0.3">
      <c r="A2203" s="17" t="str">
        <f>"33240"</f>
        <v>33240</v>
      </c>
      <c r="B2203" s="5" t="s">
        <v>2359</v>
      </c>
      <c r="C2203" s="17">
        <v>19940101</v>
      </c>
      <c r="D2203" s="17">
        <v>22991231</v>
      </c>
      <c r="E2203" s="25">
        <v>18935.72</v>
      </c>
    </row>
    <row r="2204" spans="1:5" x14ac:dyDescent="0.3">
      <c r="A2204" s="17" t="str">
        <f>"33241"</f>
        <v>33241</v>
      </c>
      <c r="B2204" s="5" t="s">
        <v>2360</v>
      </c>
      <c r="C2204" s="17">
        <v>19940101</v>
      </c>
      <c r="D2204" s="17">
        <v>22991231</v>
      </c>
      <c r="E2204" s="25">
        <v>1945.71</v>
      </c>
    </row>
    <row r="2205" spans="1:5" x14ac:dyDescent="0.3">
      <c r="A2205" s="17" t="str">
        <f>"33244"</f>
        <v>33244</v>
      </c>
      <c r="B2205" s="5" t="s">
        <v>2361</v>
      </c>
      <c r="C2205" s="17">
        <v>19940101</v>
      </c>
      <c r="D2205" s="17">
        <v>22991231</v>
      </c>
      <c r="E2205" s="24" t="s">
        <v>7128</v>
      </c>
    </row>
    <row r="2206" spans="1:5" x14ac:dyDescent="0.3">
      <c r="A2206" s="17" t="str">
        <f>"33249"</f>
        <v>33249</v>
      </c>
      <c r="B2206" s="5" t="s">
        <v>2362</v>
      </c>
      <c r="C2206" s="17">
        <v>19940101</v>
      </c>
      <c r="D2206" s="17">
        <v>22991231</v>
      </c>
      <c r="E2206" s="25">
        <v>23708.53</v>
      </c>
    </row>
    <row r="2207" spans="1:5" ht="26" x14ac:dyDescent="0.3">
      <c r="A2207" s="17" t="str">
        <f>"33262"</f>
        <v>33262</v>
      </c>
      <c r="B2207" s="5" t="s">
        <v>2363</v>
      </c>
      <c r="C2207" s="17">
        <v>20120101</v>
      </c>
      <c r="D2207" s="17">
        <v>22991231</v>
      </c>
      <c r="E2207" s="25">
        <v>18271.759999999998</v>
      </c>
    </row>
    <row r="2208" spans="1:5" ht="26" x14ac:dyDescent="0.3">
      <c r="A2208" s="17" t="str">
        <f>"33263"</f>
        <v>33263</v>
      </c>
      <c r="B2208" s="5" t="s">
        <v>2364</v>
      </c>
      <c r="C2208" s="17">
        <v>20120101</v>
      </c>
      <c r="D2208" s="17">
        <v>22991231</v>
      </c>
      <c r="E2208" s="25">
        <v>18255.330000000002</v>
      </c>
    </row>
    <row r="2209" spans="1:5" ht="26" x14ac:dyDescent="0.3">
      <c r="A2209" s="17" t="str">
        <f>"33264"</f>
        <v>33264</v>
      </c>
      <c r="B2209" s="5" t="s">
        <v>2365</v>
      </c>
      <c r="C2209" s="17">
        <v>20120101</v>
      </c>
      <c r="D2209" s="17">
        <v>22991231</v>
      </c>
      <c r="E2209" s="25">
        <v>23883.32</v>
      </c>
    </row>
    <row r="2210" spans="1:5" ht="26" x14ac:dyDescent="0.3">
      <c r="A2210" s="17" t="str">
        <f>"33270"</f>
        <v>33270</v>
      </c>
      <c r="B2210" s="5" t="s">
        <v>2366</v>
      </c>
      <c r="C2210" s="17">
        <v>20230101</v>
      </c>
      <c r="D2210" s="17">
        <v>22991231</v>
      </c>
      <c r="E2210" s="25">
        <v>24022.14</v>
      </c>
    </row>
    <row r="2211" spans="1:5" x14ac:dyDescent="0.3">
      <c r="A2211" s="17" t="str">
        <f>"33271"</f>
        <v>33271</v>
      </c>
      <c r="B2211" s="5" t="s">
        <v>2367</v>
      </c>
      <c r="C2211" s="17">
        <v>20230101</v>
      </c>
      <c r="D2211" s="17">
        <v>22991231</v>
      </c>
      <c r="E2211" s="25">
        <v>5849.77</v>
      </c>
    </row>
    <row r="2212" spans="1:5" x14ac:dyDescent="0.3">
      <c r="A2212" s="17" t="str">
        <f>"33273"</f>
        <v>33273</v>
      </c>
      <c r="B2212" s="5" t="s">
        <v>2368</v>
      </c>
      <c r="C2212" s="17">
        <v>20230101</v>
      </c>
      <c r="D2212" s="17">
        <v>22991231</v>
      </c>
      <c r="E2212" s="25">
        <v>1945.71</v>
      </c>
    </row>
    <row r="2213" spans="1:5" ht="26" x14ac:dyDescent="0.3">
      <c r="A2213" s="17" t="str">
        <f>"33274"</f>
        <v>33274</v>
      </c>
      <c r="B2213" s="5" t="s">
        <v>2369</v>
      </c>
      <c r="C2213" s="17">
        <v>20230101</v>
      </c>
      <c r="D2213" s="17">
        <v>22991231</v>
      </c>
      <c r="E2213" s="25">
        <v>12569.77</v>
      </c>
    </row>
    <row r="2214" spans="1:5" ht="26" x14ac:dyDescent="0.3">
      <c r="A2214" s="17" t="str">
        <f>"33275"</f>
        <v>33275</v>
      </c>
      <c r="B2214" s="5" t="s">
        <v>2370</v>
      </c>
      <c r="C2214" s="17">
        <v>20200101</v>
      </c>
      <c r="D2214" s="17">
        <v>22991231</v>
      </c>
      <c r="E2214" s="25">
        <v>2204.94</v>
      </c>
    </row>
    <row r="2215" spans="1:5" ht="26" x14ac:dyDescent="0.3">
      <c r="A2215" s="17" t="str">
        <f>"33276"</f>
        <v>33276</v>
      </c>
      <c r="B2215" s="5" t="s">
        <v>2371</v>
      </c>
      <c r="C2215" s="17">
        <v>20240101</v>
      </c>
      <c r="D2215" s="17">
        <v>22991231</v>
      </c>
      <c r="E2215" s="25">
        <v>38748.78</v>
      </c>
    </row>
    <row r="2216" spans="1:5" ht="26" x14ac:dyDescent="0.3">
      <c r="A2216" s="17" t="str">
        <f>"33277"</f>
        <v>33277</v>
      </c>
      <c r="B2216" s="5" t="s">
        <v>2372</v>
      </c>
      <c r="C2216" s="17">
        <v>20240101</v>
      </c>
      <c r="D2216" s="17">
        <v>22991231</v>
      </c>
      <c r="E2216" s="25">
        <v>0</v>
      </c>
    </row>
    <row r="2217" spans="1:5" ht="26" x14ac:dyDescent="0.3">
      <c r="A2217" s="17" t="str">
        <f>"33278"</f>
        <v>33278</v>
      </c>
      <c r="B2217" s="5" t="s">
        <v>2373</v>
      </c>
      <c r="C2217" s="17">
        <v>20240101</v>
      </c>
      <c r="D2217" s="17">
        <v>22991231</v>
      </c>
      <c r="E2217" s="25">
        <v>1813.03</v>
      </c>
    </row>
    <row r="2218" spans="1:5" ht="26" x14ac:dyDescent="0.3">
      <c r="A2218" s="17" t="str">
        <f>"33279"</f>
        <v>33279</v>
      </c>
      <c r="B2218" s="5" t="s">
        <v>2374</v>
      </c>
      <c r="C2218" s="17">
        <v>20240101</v>
      </c>
      <c r="D2218" s="17">
        <v>22991231</v>
      </c>
      <c r="E2218" s="25">
        <v>2283.31</v>
      </c>
    </row>
    <row r="2219" spans="1:5" ht="26" x14ac:dyDescent="0.3">
      <c r="A2219" s="17" t="str">
        <f>"33280"</f>
        <v>33280</v>
      </c>
      <c r="B2219" s="5" t="s">
        <v>2375</v>
      </c>
      <c r="C2219" s="17">
        <v>20240101</v>
      </c>
      <c r="D2219" s="17">
        <v>22991231</v>
      </c>
      <c r="E2219" s="25">
        <v>1813.03</v>
      </c>
    </row>
    <row r="2220" spans="1:5" ht="26" x14ac:dyDescent="0.3">
      <c r="A2220" s="17" t="str">
        <f>"33281"</f>
        <v>33281</v>
      </c>
      <c r="B2220" s="5" t="s">
        <v>2376</v>
      </c>
      <c r="C2220" s="17">
        <v>20240101</v>
      </c>
      <c r="D2220" s="17">
        <v>22991231</v>
      </c>
      <c r="E2220" s="25">
        <v>1813.03</v>
      </c>
    </row>
    <row r="2221" spans="1:5" x14ac:dyDescent="0.3">
      <c r="A2221" s="17" t="str">
        <f>"33285"</f>
        <v>33285</v>
      </c>
      <c r="B2221" s="5" t="s">
        <v>2377</v>
      </c>
      <c r="C2221" s="17">
        <v>20230101</v>
      </c>
      <c r="D2221" s="17">
        <v>22991231</v>
      </c>
      <c r="E2221" s="25">
        <v>6588.92</v>
      </c>
    </row>
    <row r="2222" spans="1:5" ht="26" x14ac:dyDescent="0.3">
      <c r="A2222" s="17" t="str">
        <f>"33286"</f>
        <v>33286</v>
      </c>
      <c r="B2222" s="5" t="s">
        <v>2378</v>
      </c>
      <c r="C2222" s="17">
        <v>20230101</v>
      </c>
      <c r="D2222" s="17">
        <v>22991231</v>
      </c>
      <c r="E2222" s="25">
        <v>348.6</v>
      </c>
    </row>
    <row r="2223" spans="1:5" ht="26" x14ac:dyDescent="0.3">
      <c r="A2223" s="17" t="str">
        <f>"33287"</f>
        <v>33287</v>
      </c>
      <c r="B2223" s="5" t="s">
        <v>2379</v>
      </c>
      <c r="C2223" s="17">
        <v>20240101</v>
      </c>
      <c r="D2223" s="17">
        <v>22991231</v>
      </c>
      <c r="E2223" s="25">
        <v>23077.09</v>
      </c>
    </row>
    <row r="2224" spans="1:5" ht="26" x14ac:dyDescent="0.3">
      <c r="A2224" s="17" t="str">
        <f>"33288"</f>
        <v>33288</v>
      </c>
      <c r="B2224" s="5" t="s">
        <v>2380</v>
      </c>
      <c r="C2224" s="17">
        <v>20240101</v>
      </c>
      <c r="D2224" s="17">
        <v>22991231</v>
      </c>
      <c r="E2224" s="25">
        <v>10477.370000000001</v>
      </c>
    </row>
    <row r="2225" spans="1:5" ht="26" x14ac:dyDescent="0.3">
      <c r="A2225" s="17" t="str">
        <f>"33289"</f>
        <v>33289</v>
      </c>
      <c r="B2225" s="5" t="s">
        <v>2381</v>
      </c>
      <c r="C2225" s="17">
        <v>20240101</v>
      </c>
      <c r="D2225" s="17">
        <v>22991231</v>
      </c>
      <c r="E2225" s="25">
        <v>23583.68</v>
      </c>
    </row>
    <row r="2226" spans="1:5" ht="26" x14ac:dyDescent="0.3">
      <c r="A2226" s="17" t="str">
        <f>"33419"</f>
        <v>33419</v>
      </c>
      <c r="B2226" s="5" t="s">
        <v>2382</v>
      </c>
      <c r="C2226" s="17">
        <v>20230101</v>
      </c>
      <c r="D2226" s="17">
        <v>22991231</v>
      </c>
      <c r="E2226" s="25">
        <v>0</v>
      </c>
    </row>
    <row r="2227" spans="1:5" x14ac:dyDescent="0.3">
      <c r="A2227" s="17" t="str">
        <f>"33475"</f>
        <v>33475</v>
      </c>
      <c r="B2227" s="5" t="s">
        <v>2383</v>
      </c>
      <c r="C2227" s="17">
        <v>19940101</v>
      </c>
      <c r="D2227" s="17">
        <v>22991231</v>
      </c>
      <c r="E2227" s="24" t="s">
        <v>7128</v>
      </c>
    </row>
    <row r="2228" spans="1:5" x14ac:dyDescent="0.3">
      <c r="A2228" s="17" t="str">
        <f>"33508"</f>
        <v>33508</v>
      </c>
      <c r="B2228" s="5" t="s">
        <v>2384</v>
      </c>
      <c r="C2228" s="17">
        <v>20230101</v>
      </c>
      <c r="D2228" s="17">
        <v>22991231</v>
      </c>
      <c r="E2228" s="25">
        <v>0</v>
      </c>
    </row>
    <row r="2229" spans="1:5" ht="39" x14ac:dyDescent="0.3">
      <c r="A2229" s="17" t="str">
        <f>"33741"</f>
        <v>33741</v>
      </c>
      <c r="B2229" s="5" t="s">
        <v>2385</v>
      </c>
      <c r="C2229" s="17">
        <v>20210101</v>
      </c>
      <c r="D2229" s="17">
        <v>22991231</v>
      </c>
      <c r="E2229" s="24" t="s">
        <v>7128</v>
      </c>
    </row>
    <row r="2230" spans="1:5" ht="39" x14ac:dyDescent="0.3">
      <c r="A2230" s="17" t="str">
        <f>"33745"</f>
        <v>33745</v>
      </c>
      <c r="B2230" s="5" t="s">
        <v>2386</v>
      </c>
      <c r="C2230" s="17">
        <v>20210101</v>
      </c>
      <c r="D2230" s="17">
        <v>22991231</v>
      </c>
      <c r="E2230" s="24" t="s">
        <v>7128</v>
      </c>
    </row>
    <row r="2231" spans="1:5" ht="39" x14ac:dyDescent="0.3">
      <c r="A2231" s="17" t="str">
        <f>"33746"</f>
        <v>33746</v>
      </c>
      <c r="B2231" s="5" t="s">
        <v>2387</v>
      </c>
      <c r="C2231" s="17">
        <v>20210101</v>
      </c>
      <c r="D2231" s="17">
        <v>22991231</v>
      </c>
      <c r="E2231" s="24" t="s">
        <v>7128</v>
      </c>
    </row>
    <row r="2232" spans="1:5" x14ac:dyDescent="0.3">
      <c r="A2232" s="17" t="str">
        <f>"33866"</f>
        <v>33866</v>
      </c>
      <c r="B2232" s="5" t="s">
        <v>2388</v>
      </c>
      <c r="C2232" s="17">
        <v>20230101</v>
      </c>
      <c r="D2232" s="17">
        <v>22991231</v>
      </c>
      <c r="E2232" s="25">
        <v>0</v>
      </c>
    </row>
    <row r="2233" spans="1:5" ht="39" x14ac:dyDescent="0.3">
      <c r="A2233" s="17" t="str">
        <f>"33900"</f>
        <v>33900</v>
      </c>
      <c r="B2233" s="5" t="s">
        <v>2389</v>
      </c>
      <c r="C2233" s="17">
        <v>20230101</v>
      </c>
      <c r="D2233" s="17">
        <v>22991231</v>
      </c>
      <c r="E2233" s="25">
        <v>5831.08</v>
      </c>
    </row>
    <row r="2234" spans="1:5" ht="39" x14ac:dyDescent="0.3">
      <c r="A2234" s="17" t="str">
        <f>"33901"</f>
        <v>33901</v>
      </c>
      <c r="B2234" s="5" t="s">
        <v>2390</v>
      </c>
      <c r="C2234" s="17">
        <v>20230101</v>
      </c>
      <c r="D2234" s="17">
        <v>22991231</v>
      </c>
      <c r="E2234" s="25">
        <v>5831.08</v>
      </c>
    </row>
    <row r="2235" spans="1:5" ht="39" x14ac:dyDescent="0.3">
      <c r="A2235" s="17" t="str">
        <f>"33902"</f>
        <v>33902</v>
      </c>
      <c r="B2235" s="5" t="s">
        <v>2391</v>
      </c>
      <c r="C2235" s="17">
        <v>20230101</v>
      </c>
      <c r="D2235" s="17">
        <v>22991231</v>
      </c>
      <c r="E2235" s="25">
        <v>9461.34</v>
      </c>
    </row>
    <row r="2236" spans="1:5" ht="39" x14ac:dyDescent="0.3">
      <c r="A2236" s="17" t="str">
        <f>"33903"</f>
        <v>33903</v>
      </c>
      <c r="B2236" s="5" t="s">
        <v>2392</v>
      </c>
      <c r="C2236" s="17">
        <v>20230101</v>
      </c>
      <c r="D2236" s="17">
        <v>22991231</v>
      </c>
      <c r="E2236" s="25">
        <v>5831.08</v>
      </c>
    </row>
    <row r="2237" spans="1:5" ht="52" x14ac:dyDescent="0.3">
      <c r="A2237" s="17" t="str">
        <f>"33995"</f>
        <v>33995</v>
      </c>
      <c r="B2237" s="5" t="s">
        <v>2393</v>
      </c>
      <c r="C2237" s="17">
        <v>20210101</v>
      </c>
      <c r="D2237" s="17">
        <v>22991231</v>
      </c>
      <c r="E2237" s="24" t="s">
        <v>7128</v>
      </c>
    </row>
    <row r="2238" spans="1:5" ht="26" x14ac:dyDescent="0.3">
      <c r="A2238" s="17" t="str">
        <f>"33997"</f>
        <v>33997</v>
      </c>
      <c r="B2238" s="5" t="s">
        <v>2394</v>
      </c>
      <c r="C2238" s="17">
        <v>20210101</v>
      </c>
      <c r="D2238" s="17">
        <v>22991231</v>
      </c>
      <c r="E2238" s="24" t="s">
        <v>7128</v>
      </c>
    </row>
    <row r="2239" spans="1:5" x14ac:dyDescent="0.3">
      <c r="A2239" s="17" t="str">
        <f>"34101"</f>
        <v>34101</v>
      </c>
      <c r="B2239" s="5" t="s">
        <v>2395</v>
      </c>
      <c r="C2239" s="17">
        <v>19900101</v>
      </c>
      <c r="D2239" s="17">
        <v>22991231</v>
      </c>
      <c r="E2239" s="24" t="s">
        <v>7128</v>
      </c>
    </row>
    <row r="2240" spans="1:5" x14ac:dyDescent="0.3">
      <c r="A2240" s="17" t="str">
        <f>"34201"</f>
        <v>34201</v>
      </c>
      <c r="B2240" s="5" t="s">
        <v>2396</v>
      </c>
      <c r="C2240" s="17">
        <v>19900101</v>
      </c>
      <c r="D2240" s="17">
        <v>22991231</v>
      </c>
      <c r="E2240" s="24" t="s">
        <v>7128</v>
      </c>
    </row>
    <row r="2241" spans="1:5" x14ac:dyDescent="0.3">
      <c r="A2241" s="17" t="str">
        <f>"34203"</f>
        <v>34203</v>
      </c>
      <c r="B2241" s="5" t="s">
        <v>2397</v>
      </c>
      <c r="C2241" s="17">
        <v>19900101</v>
      </c>
      <c r="D2241" s="17">
        <v>22991231</v>
      </c>
      <c r="E2241" s="24" t="s">
        <v>7128</v>
      </c>
    </row>
    <row r="2242" spans="1:5" ht="26" x14ac:dyDescent="0.3">
      <c r="A2242" s="17" t="str">
        <f>"34421"</f>
        <v>34421</v>
      </c>
      <c r="B2242" s="5" t="s">
        <v>2398</v>
      </c>
      <c r="C2242" s="17">
        <v>19900101</v>
      </c>
      <c r="D2242" s="17">
        <v>22991231</v>
      </c>
      <c r="E2242" s="24" t="s">
        <v>7128</v>
      </c>
    </row>
    <row r="2243" spans="1:5" x14ac:dyDescent="0.3">
      <c r="A2243" s="17" t="str">
        <f>"34471"</f>
        <v>34471</v>
      </c>
      <c r="B2243" s="5" t="s">
        <v>2399</v>
      </c>
      <c r="C2243" s="17">
        <v>19900101</v>
      </c>
      <c r="D2243" s="17">
        <v>22991231</v>
      </c>
      <c r="E2243" s="24" t="s">
        <v>7128</v>
      </c>
    </row>
    <row r="2244" spans="1:5" ht="26" x14ac:dyDescent="0.3">
      <c r="A2244" s="17" t="str">
        <f>"34490"</f>
        <v>34490</v>
      </c>
      <c r="B2244" s="5" t="s">
        <v>2400</v>
      </c>
      <c r="C2244" s="17">
        <v>19900101</v>
      </c>
      <c r="D2244" s="17">
        <v>22991231</v>
      </c>
      <c r="E2244" s="25">
        <v>1478.57</v>
      </c>
    </row>
    <row r="2245" spans="1:5" x14ac:dyDescent="0.3">
      <c r="A2245" s="17" t="str">
        <f>"34713"</f>
        <v>34713</v>
      </c>
      <c r="B2245" s="5" t="s">
        <v>2401</v>
      </c>
      <c r="C2245" s="17">
        <v>20180101</v>
      </c>
      <c r="D2245" s="17">
        <v>22991231</v>
      </c>
      <c r="E2245" s="25">
        <v>0</v>
      </c>
    </row>
    <row r="2246" spans="1:5" ht="26" x14ac:dyDescent="0.3">
      <c r="A2246" s="17" t="str">
        <f>"34714"</f>
        <v>34714</v>
      </c>
      <c r="B2246" s="5" t="s">
        <v>2402</v>
      </c>
      <c r="C2246" s="17">
        <v>20180101</v>
      </c>
      <c r="D2246" s="17">
        <v>22991231</v>
      </c>
      <c r="E2246" s="25">
        <v>0</v>
      </c>
    </row>
    <row r="2247" spans="1:5" ht="26" x14ac:dyDescent="0.3">
      <c r="A2247" s="17" t="str">
        <f>"34715"</f>
        <v>34715</v>
      </c>
      <c r="B2247" s="5" t="s">
        <v>2403</v>
      </c>
      <c r="C2247" s="17">
        <v>20180101</v>
      </c>
      <c r="D2247" s="17">
        <v>22991231</v>
      </c>
      <c r="E2247" s="25">
        <v>0</v>
      </c>
    </row>
    <row r="2248" spans="1:5" ht="26" x14ac:dyDescent="0.3">
      <c r="A2248" s="17" t="str">
        <f>"34716"</f>
        <v>34716</v>
      </c>
      <c r="B2248" s="5" t="s">
        <v>2404</v>
      </c>
      <c r="C2248" s="17">
        <v>20180101</v>
      </c>
      <c r="D2248" s="17">
        <v>22991231</v>
      </c>
      <c r="E2248" s="25">
        <v>0</v>
      </c>
    </row>
    <row r="2249" spans="1:5" x14ac:dyDescent="0.3">
      <c r="A2249" s="17" t="str">
        <f>"35011"</f>
        <v>35011</v>
      </c>
      <c r="B2249" s="5" t="s">
        <v>2405</v>
      </c>
      <c r="C2249" s="17">
        <v>19900101</v>
      </c>
      <c r="D2249" s="17">
        <v>22991231</v>
      </c>
      <c r="E2249" s="24" t="s">
        <v>7128</v>
      </c>
    </row>
    <row r="2250" spans="1:5" ht="26" x14ac:dyDescent="0.3">
      <c r="A2250" s="17" t="str">
        <f>"35188"</f>
        <v>35188</v>
      </c>
      <c r="B2250" s="5" t="s">
        <v>2406</v>
      </c>
      <c r="C2250" s="17">
        <v>20030401</v>
      </c>
      <c r="D2250" s="17">
        <v>22991231</v>
      </c>
      <c r="E2250" s="25">
        <v>2772.9</v>
      </c>
    </row>
    <row r="2251" spans="1:5" x14ac:dyDescent="0.3">
      <c r="A2251" s="17" t="str">
        <f>"35201"</f>
        <v>35201</v>
      </c>
      <c r="B2251" s="5" t="s">
        <v>2407</v>
      </c>
      <c r="C2251" s="17">
        <v>19900101</v>
      </c>
      <c r="D2251" s="17">
        <v>22991231</v>
      </c>
      <c r="E2251" s="24" t="s">
        <v>7128</v>
      </c>
    </row>
    <row r="2252" spans="1:5" x14ac:dyDescent="0.3">
      <c r="A2252" s="17" t="str">
        <f>"35206"</f>
        <v>35206</v>
      </c>
      <c r="B2252" s="5" t="s">
        <v>2408</v>
      </c>
      <c r="C2252" s="17">
        <v>19900101</v>
      </c>
      <c r="D2252" s="17">
        <v>22991231</v>
      </c>
      <c r="E2252" s="24" t="s">
        <v>7128</v>
      </c>
    </row>
    <row r="2253" spans="1:5" x14ac:dyDescent="0.3">
      <c r="A2253" s="17" t="str">
        <f>"35207"</f>
        <v>35207</v>
      </c>
      <c r="B2253" s="5" t="s">
        <v>2409</v>
      </c>
      <c r="C2253" s="17">
        <v>19900101</v>
      </c>
      <c r="D2253" s="17">
        <v>22991231</v>
      </c>
      <c r="E2253" s="25">
        <v>1478.57</v>
      </c>
    </row>
    <row r="2254" spans="1:5" x14ac:dyDescent="0.3">
      <c r="A2254" s="17" t="str">
        <f>"35226"</f>
        <v>35226</v>
      </c>
      <c r="B2254" s="5" t="s">
        <v>2410</v>
      </c>
      <c r="C2254" s="17">
        <v>19900101</v>
      </c>
      <c r="D2254" s="17">
        <v>22991231</v>
      </c>
      <c r="E2254" s="24" t="s">
        <v>7128</v>
      </c>
    </row>
    <row r="2255" spans="1:5" x14ac:dyDescent="0.3">
      <c r="A2255" s="17" t="str">
        <f>"35231"</f>
        <v>35231</v>
      </c>
      <c r="B2255" s="5" t="s">
        <v>2411</v>
      </c>
      <c r="C2255" s="17">
        <v>19900101</v>
      </c>
      <c r="D2255" s="17">
        <v>22991231</v>
      </c>
      <c r="E2255" s="24" t="s">
        <v>7128</v>
      </c>
    </row>
    <row r="2256" spans="1:5" x14ac:dyDescent="0.3">
      <c r="A2256" s="17" t="str">
        <f>"35236"</f>
        <v>35236</v>
      </c>
      <c r="B2256" s="5" t="s">
        <v>2412</v>
      </c>
      <c r="C2256" s="17">
        <v>19900101</v>
      </c>
      <c r="D2256" s="17">
        <v>22991231</v>
      </c>
      <c r="E2256" s="24" t="s">
        <v>7128</v>
      </c>
    </row>
    <row r="2257" spans="1:5" x14ac:dyDescent="0.3">
      <c r="A2257" s="17" t="str">
        <f>"35256"</f>
        <v>35256</v>
      </c>
      <c r="B2257" s="5" t="s">
        <v>2413</v>
      </c>
      <c r="C2257" s="17">
        <v>19900101</v>
      </c>
      <c r="D2257" s="17">
        <v>22991231</v>
      </c>
      <c r="E2257" s="24" t="s">
        <v>7128</v>
      </c>
    </row>
    <row r="2258" spans="1:5" x14ac:dyDescent="0.3">
      <c r="A2258" s="17" t="str">
        <f>"35261"</f>
        <v>35261</v>
      </c>
      <c r="B2258" s="5" t="s">
        <v>2414</v>
      </c>
      <c r="C2258" s="17">
        <v>19900101</v>
      </c>
      <c r="D2258" s="17">
        <v>22991231</v>
      </c>
      <c r="E2258" s="24" t="s">
        <v>7128</v>
      </c>
    </row>
    <row r="2259" spans="1:5" x14ac:dyDescent="0.3">
      <c r="A2259" s="17" t="str">
        <f>"35266"</f>
        <v>35266</v>
      </c>
      <c r="B2259" s="5" t="s">
        <v>2415</v>
      </c>
      <c r="C2259" s="17">
        <v>19900101</v>
      </c>
      <c r="D2259" s="17">
        <v>22991231</v>
      </c>
      <c r="E2259" s="24" t="s">
        <v>7128</v>
      </c>
    </row>
    <row r="2260" spans="1:5" x14ac:dyDescent="0.3">
      <c r="A2260" s="17" t="str">
        <f>"35286"</f>
        <v>35286</v>
      </c>
      <c r="B2260" s="5" t="s">
        <v>2416</v>
      </c>
      <c r="C2260" s="17">
        <v>19900101</v>
      </c>
      <c r="D2260" s="17">
        <v>22991231</v>
      </c>
      <c r="E2260" s="24" t="s">
        <v>7128</v>
      </c>
    </row>
    <row r="2261" spans="1:5" ht="26" x14ac:dyDescent="0.3">
      <c r="A2261" s="17" t="str">
        <f>"35321"</f>
        <v>35321</v>
      </c>
      <c r="B2261" s="5" t="s">
        <v>2417</v>
      </c>
      <c r="C2261" s="17">
        <v>19900101</v>
      </c>
      <c r="D2261" s="17">
        <v>22991231</v>
      </c>
      <c r="E2261" s="24" t="s">
        <v>7128</v>
      </c>
    </row>
    <row r="2262" spans="1:5" x14ac:dyDescent="0.3">
      <c r="A2262" s="17" t="str">
        <f>"35500"</f>
        <v>35500</v>
      </c>
      <c r="B2262" s="5" t="s">
        <v>2418</v>
      </c>
      <c r="C2262" s="17">
        <v>19990101</v>
      </c>
      <c r="D2262" s="17">
        <v>22991231</v>
      </c>
      <c r="E2262" s="24" t="s">
        <v>7128</v>
      </c>
    </row>
    <row r="2263" spans="1:5" x14ac:dyDescent="0.3">
      <c r="A2263" s="17" t="str">
        <f>"35572"</f>
        <v>35572</v>
      </c>
      <c r="B2263" s="5" t="s">
        <v>2419</v>
      </c>
      <c r="C2263" s="17">
        <v>20230101</v>
      </c>
      <c r="D2263" s="17">
        <v>22991231</v>
      </c>
      <c r="E2263" s="25">
        <v>0</v>
      </c>
    </row>
    <row r="2264" spans="1:5" ht="26" x14ac:dyDescent="0.3">
      <c r="A2264" s="17" t="str">
        <f>"35860"</f>
        <v>35860</v>
      </c>
      <c r="B2264" s="5" t="s">
        <v>2420</v>
      </c>
      <c r="C2264" s="17">
        <v>19900101</v>
      </c>
      <c r="D2264" s="17">
        <v>22991231</v>
      </c>
      <c r="E2264" s="24" t="s">
        <v>7128</v>
      </c>
    </row>
    <row r="2265" spans="1:5" x14ac:dyDescent="0.3">
      <c r="A2265" s="17" t="str">
        <f>"35875"</f>
        <v>35875</v>
      </c>
      <c r="B2265" s="5" t="s">
        <v>2421</v>
      </c>
      <c r="C2265" s="17">
        <v>20230101</v>
      </c>
      <c r="D2265" s="17">
        <v>22991231</v>
      </c>
      <c r="E2265" s="25">
        <v>2772.9</v>
      </c>
    </row>
    <row r="2266" spans="1:5" ht="26" x14ac:dyDescent="0.3">
      <c r="A2266" s="17" t="str">
        <f>"35876"</f>
        <v>35876</v>
      </c>
      <c r="B2266" s="5" t="s">
        <v>2422</v>
      </c>
      <c r="C2266" s="17">
        <v>19940101</v>
      </c>
      <c r="D2266" s="17">
        <v>22991231</v>
      </c>
      <c r="E2266" s="25">
        <v>2772.9</v>
      </c>
    </row>
    <row r="2267" spans="1:5" x14ac:dyDescent="0.3">
      <c r="A2267" s="17" t="str">
        <f>"35879"</f>
        <v>35879</v>
      </c>
      <c r="B2267" s="5" t="s">
        <v>2423</v>
      </c>
      <c r="C2267" s="17">
        <v>20000101</v>
      </c>
      <c r="D2267" s="17">
        <v>22991231</v>
      </c>
      <c r="E2267" s="24" t="s">
        <v>7128</v>
      </c>
    </row>
    <row r="2268" spans="1:5" ht="26" x14ac:dyDescent="0.3">
      <c r="A2268" s="17" t="str">
        <f>"35881"</f>
        <v>35881</v>
      </c>
      <c r="B2268" s="5" t="s">
        <v>2424</v>
      </c>
      <c r="C2268" s="17">
        <v>20000101</v>
      </c>
      <c r="D2268" s="17">
        <v>22991231</v>
      </c>
      <c r="E2268" s="24" t="s">
        <v>7128</v>
      </c>
    </row>
    <row r="2269" spans="1:5" x14ac:dyDescent="0.3">
      <c r="A2269" s="17" t="str">
        <f>"35903"</f>
        <v>35903</v>
      </c>
      <c r="B2269" s="5" t="s">
        <v>2425</v>
      </c>
      <c r="C2269" s="17">
        <v>19940101</v>
      </c>
      <c r="D2269" s="17">
        <v>22991231</v>
      </c>
      <c r="E2269" s="24" t="s">
        <v>7128</v>
      </c>
    </row>
    <row r="2270" spans="1:5" x14ac:dyDescent="0.3">
      <c r="A2270" s="17" t="str">
        <f>"36000"</f>
        <v>36000</v>
      </c>
      <c r="B2270" s="5" t="s">
        <v>2426</v>
      </c>
      <c r="C2270" s="17">
        <v>19900101</v>
      </c>
      <c r="D2270" s="17">
        <v>22991231</v>
      </c>
      <c r="E2270" s="25">
        <v>0</v>
      </c>
    </row>
    <row r="2271" spans="1:5" ht="26" x14ac:dyDescent="0.3">
      <c r="A2271" s="17" t="str">
        <f>"36002"</f>
        <v>36002</v>
      </c>
      <c r="B2271" s="5" t="s">
        <v>2427</v>
      </c>
      <c r="C2271" s="17">
        <v>20230101</v>
      </c>
      <c r="D2271" s="17">
        <v>22991231</v>
      </c>
      <c r="E2271" s="25">
        <v>311.25</v>
      </c>
    </row>
    <row r="2272" spans="1:5" ht="26" x14ac:dyDescent="0.3">
      <c r="A2272" s="17" t="str">
        <f>"36005"</f>
        <v>36005</v>
      </c>
      <c r="B2272" s="5" t="s">
        <v>2428</v>
      </c>
      <c r="C2272" s="17">
        <v>20230101</v>
      </c>
      <c r="D2272" s="17">
        <v>22991231</v>
      </c>
      <c r="E2272" s="25">
        <v>0</v>
      </c>
    </row>
    <row r="2273" spans="1:5" x14ac:dyDescent="0.3">
      <c r="A2273" s="17" t="str">
        <f>"36010"</f>
        <v>36010</v>
      </c>
      <c r="B2273" s="5" t="s">
        <v>2429</v>
      </c>
      <c r="C2273" s="17">
        <v>19900101</v>
      </c>
      <c r="D2273" s="17">
        <v>22991231</v>
      </c>
      <c r="E2273" s="25">
        <v>0</v>
      </c>
    </row>
    <row r="2274" spans="1:5" x14ac:dyDescent="0.3">
      <c r="A2274" s="17" t="str">
        <f>"36011"</f>
        <v>36011</v>
      </c>
      <c r="B2274" s="5" t="s">
        <v>2430</v>
      </c>
      <c r="C2274" s="17">
        <v>19920115</v>
      </c>
      <c r="D2274" s="17">
        <v>22991231</v>
      </c>
      <c r="E2274" s="25">
        <v>0</v>
      </c>
    </row>
    <row r="2275" spans="1:5" x14ac:dyDescent="0.3">
      <c r="A2275" s="17" t="str">
        <f>"36012"</f>
        <v>36012</v>
      </c>
      <c r="B2275" s="5" t="s">
        <v>2431</v>
      </c>
      <c r="C2275" s="17">
        <v>19920115</v>
      </c>
      <c r="D2275" s="17">
        <v>22991231</v>
      </c>
      <c r="E2275" s="25">
        <v>0</v>
      </c>
    </row>
    <row r="2276" spans="1:5" ht="26" x14ac:dyDescent="0.3">
      <c r="A2276" s="17" t="str">
        <f>"36013"</f>
        <v>36013</v>
      </c>
      <c r="B2276" s="5" t="s">
        <v>2432</v>
      </c>
      <c r="C2276" s="17">
        <v>19920115</v>
      </c>
      <c r="D2276" s="17">
        <v>22991231</v>
      </c>
      <c r="E2276" s="25">
        <v>0</v>
      </c>
    </row>
    <row r="2277" spans="1:5" ht="26" x14ac:dyDescent="0.3">
      <c r="A2277" s="17" t="str">
        <f>"36014"</f>
        <v>36014</v>
      </c>
      <c r="B2277" s="5" t="s">
        <v>2433</v>
      </c>
      <c r="C2277" s="17">
        <v>19920115</v>
      </c>
      <c r="D2277" s="17">
        <v>22991231</v>
      </c>
      <c r="E2277" s="25">
        <v>0</v>
      </c>
    </row>
    <row r="2278" spans="1:5" x14ac:dyDescent="0.3">
      <c r="A2278" s="17" t="str">
        <f>"36015"</f>
        <v>36015</v>
      </c>
      <c r="B2278" s="5" t="s">
        <v>2434</v>
      </c>
      <c r="C2278" s="17">
        <v>19920115</v>
      </c>
      <c r="D2278" s="17">
        <v>22991231</v>
      </c>
      <c r="E2278" s="25">
        <v>0</v>
      </c>
    </row>
    <row r="2279" spans="1:5" ht="26" x14ac:dyDescent="0.3">
      <c r="A2279" s="17" t="str">
        <f>"36100"</f>
        <v>36100</v>
      </c>
      <c r="B2279" s="5" t="s">
        <v>2435</v>
      </c>
      <c r="C2279" s="17">
        <v>19900101</v>
      </c>
      <c r="D2279" s="17">
        <v>22991231</v>
      </c>
      <c r="E2279" s="25">
        <v>0</v>
      </c>
    </row>
    <row r="2280" spans="1:5" ht="26" x14ac:dyDescent="0.3">
      <c r="A2280" s="17" t="str">
        <f>"36140"</f>
        <v>36140</v>
      </c>
      <c r="B2280" s="5" t="s">
        <v>2436</v>
      </c>
      <c r="C2280" s="17">
        <v>19900101</v>
      </c>
      <c r="D2280" s="17">
        <v>22991231</v>
      </c>
      <c r="E2280" s="25">
        <v>0</v>
      </c>
    </row>
    <row r="2281" spans="1:5" x14ac:dyDescent="0.3">
      <c r="A2281" s="17" t="str">
        <f>"36160"</f>
        <v>36160</v>
      </c>
      <c r="B2281" s="5" t="s">
        <v>2437</v>
      </c>
      <c r="C2281" s="17">
        <v>19900101</v>
      </c>
      <c r="D2281" s="17">
        <v>22991231</v>
      </c>
      <c r="E2281" s="25">
        <v>0</v>
      </c>
    </row>
    <row r="2282" spans="1:5" x14ac:dyDescent="0.3">
      <c r="A2282" s="17" t="str">
        <f>"36200"</f>
        <v>36200</v>
      </c>
      <c r="B2282" s="5" t="s">
        <v>2438</v>
      </c>
      <c r="C2282" s="17">
        <v>19900101</v>
      </c>
      <c r="D2282" s="17">
        <v>22991231</v>
      </c>
      <c r="E2282" s="25">
        <v>0</v>
      </c>
    </row>
    <row r="2283" spans="1:5" ht="26" x14ac:dyDescent="0.3">
      <c r="A2283" s="17" t="str">
        <f>"36215"</f>
        <v>36215</v>
      </c>
      <c r="B2283" s="5" t="s">
        <v>2439</v>
      </c>
      <c r="C2283" s="17">
        <v>19900101</v>
      </c>
      <c r="D2283" s="17">
        <v>22991231</v>
      </c>
      <c r="E2283" s="25">
        <v>0</v>
      </c>
    </row>
    <row r="2284" spans="1:5" ht="26" x14ac:dyDescent="0.3">
      <c r="A2284" s="17" t="str">
        <f>"36216"</f>
        <v>36216</v>
      </c>
      <c r="B2284" s="5" t="s">
        <v>2440</v>
      </c>
      <c r="C2284" s="17">
        <v>19920115</v>
      </c>
      <c r="D2284" s="17">
        <v>22991231</v>
      </c>
      <c r="E2284" s="25">
        <v>0</v>
      </c>
    </row>
    <row r="2285" spans="1:5" ht="26" x14ac:dyDescent="0.3">
      <c r="A2285" s="17" t="str">
        <f>"36217"</f>
        <v>36217</v>
      </c>
      <c r="B2285" s="5" t="s">
        <v>2441</v>
      </c>
      <c r="C2285" s="17">
        <v>19920115</v>
      </c>
      <c r="D2285" s="17">
        <v>22991231</v>
      </c>
      <c r="E2285" s="25">
        <v>0</v>
      </c>
    </row>
    <row r="2286" spans="1:5" ht="26" x14ac:dyDescent="0.3">
      <c r="A2286" s="17" t="str">
        <f>"36218"</f>
        <v>36218</v>
      </c>
      <c r="B2286" s="5" t="s">
        <v>2442</v>
      </c>
      <c r="C2286" s="17">
        <v>19920115</v>
      </c>
      <c r="D2286" s="17">
        <v>22991231</v>
      </c>
      <c r="E2286" s="25">
        <v>0</v>
      </c>
    </row>
    <row r="2287" spans="1:5" ht="26" x14ac:dyDescent="0.3">
      <c r="A2287" s="17" t="str">
        <f>"36221"</f>
        <v>36221</v>
      </c>
      <c r="B2287" s="5" t="s">
        <v>2443</v>
      </c>
      <c r="C2287" s="17">
        <v>20130101</v>
      </c>
      <c r="D2287" s="17">
        <v>22991231</v>
      </c>
      <c r="E2287" s="25">
        <v>0</v>
      </c>
    </row>
    <row r="2288" spans="1:5" ht="26" x14ac:dyDescent="0.3">
      <c r="A2288" s="17" t="str">
        <f>"36222"</f>
        <v>36222</v>
      </c>
      <c r="B2288" s="5" t="s">
        <v>2444</v>
      </c>
      <c r="C2288" s="17">
        <v>20130101</v>
      </c>
      <c r="D2288" s="17">
        <v>22991231</v>
      </c>
      <c r="E2288" s="25">
        <v>0</v>
      </c>
    </row>
    <row r="2289" spans="1:5" ht="26" x14ac:dyDescent="0.3">
      <c r="A2289" s="17" t="str">
        <f>"36223"</f>
        <v>36223</v>
      </c>
      <c r="B2289" s="5" t="s">
        <v>2445</v>
      </c>
      <c r="C2289" s="17">
        <v>20130101</v>
      </c>
      <c r="D2289" s="17">
        <v>22991231</v>
      </c>
      <c r="E2289" s="25">
        <v>0</v>
      </c>
    </row>
    <row r="2290" spans="1:5" ht="26" x14ac:dyDescent="0.3">
      <c r="A2290" s="17" t="str">
        <f>"36224"</f>
        <v>36224</v>
      </c>
      <c r="B2290" s="5" t="s">
        <v>2446</v>
      </c>
      <c r="C2290" s="17">
        <v>20130101</v>
      </c>
      <c r="D2290" s="17">
        <v>22991231</v>
      </c>
      <c r="E2290" s="25">
        <v>0</v>
      </c>
    </row>
    <row r="2291" spans="1:5" ht="26" x14ac:dyDescent="0.3">
      <c r="A2291" s="17" t="str">
        <f>"36225"</f>
        <v>36225</v>
      </c>
      <c r="B2291" s="5" t="s">
        <v>2447</v>
      </c>
      <c r="C2291" s="17">
        <v>20130101</v>
      </c>
      <c r="D2291" s="17">
        <v>22991231</v>
      </c>
      <c r="E2291" s="25">
        <v>0</v>
      </c>
    </row>
    <row r="2292" spans="1:5" ht="26" x14ac:dyDescent="0.3">
      <c r="A2292" s="17" t="str">
        <f>"36226"</f>
        <v>36226</v>
      </c>
      <c r="B2292" s="5" t="s">
        <v>2448</v>
      </c>
      <c r="C2292" s="17">
        <v>20130101</v>
      </c>
      <c r="D2292" s="17">
        <v>22991231</v>
      </c>
      <c r="E2292" s="25">
        <v>0</v>
      </c>
    </row>
    <row r="2293" spans="1:5" ht="26" x14ac:dyDescent="0.3">
      <c r="A2293" s="17" t="str">
        <f>"36227"</f>
        <v>36227</v>
      </c>
      <c r="B2293" s="5" t="s">
        <v>2449</v>
      </c>
      <c r="C2293" s="17">
        <v>20130101</v>
      </c>
      <c r="D2293" s="17">
        <v>22991231</v>
      </c>
      <c r="E2293" s="25">
        <v>0</v>
      </c>
    </row>
    <row r="2294" spans="1:5" ht="26" x14ac:dyDescent="0.3">
      <c r="A2294" s="17" t="str">
        <f>"36228"</f>
        <v>36228</v>
      </c>
      <c r="B2294" s="5" t="s">
        <v>2450</v>
      </c>
      <c r="C2294" s="17">
        <v>20130101</v>
      </c>
      <c r="D2294" s="17">
        <v>22991231</v>
      </c>
      <c r="E2294" s="25">
        <v>0</v>
      </c>
    </row>
    <row r="2295" spans="1:5" ht="26" x14ac:dyDescent="0.3">
      <c r="A2295" s="17" t="str">
        <f>"36245"</f>
        <v>36245</v>
      </c>
      <c r="B2295" s="5" t="s">
        <v>2451</v>
      </c>
      <c r="C2295" s="17">
        <v>19900101</v>
      </c>
      <c r="D2295" s="17">
        <v>22991231</v>
      </c>
      <c r="E2295" s="25">
        <v>0</v>
      </c>
    </row>
    <row r="2296" spans="1:5" ht="26" x14ac:dyDescent="0.3">
      <c r="A2296" s="17" t="str">
        <f>"36246"</f>
        <v>36246</v>
      </c>
      <c r="B2296" s="5" t="s">
        <v>2452</v>
      </c>
      <c r="C2296" s="17">
        <v>19920115</v>
      </c>
      <c r="D2296" s="17">
        <v>22991231</v>
      </c>
      <c r="E2296" s="25">
        <v>0</v>
      </c>
    </row>
    <row r="2297" spans="1:5" ht="26" x14ac:dyDescent="0.3">
      <c r="A2297" s="17" t="str">
        <f>"36247"</f>
        <v>36247</v>
      </c>
      <c r="B2297" s="5" t="s">
        <v>2453</v>
      </c>
      <c r="C2297" s="17">
        <v>19920115</v>
      </c>
      <c r="D2297" s="17">
        <v>22991231</v>
      </c>
      <c r="E2297" s="25">
        <v>0</v>
      </c>
    </row>
    <row r="2298" spans="1:5" ht="26" x14ac:dyDescent="0.3">
      <c r="A2298" s="17" t="str">
        <f>"36248"</f>
        <v>36248</v>
      </c>
      <c r="B2298" s="5" t="s">
        <v>2454</v>
      </c>
      <c r="C2298" s="17">
        <v>19920115</v>
      </c>
      <c r="D2298" s="17">
        <v>22991231</v>
      </c>
      <c r="E2298" s="25">
        <v>0</v>
      </c>
    </row>
    <row r="2299" spans="1:5" ht="39" x14ac:dyDescent="0.3">
      <c r="A2299" s="17" t="str">
        <f>"36251"</f>
        <v>36251</v>
      </c>
      <c r="B2299" s="5" t="s">
        <v>2455</v>
      </c>
      <c r="C2299" s="17">
        <v>20120101</v>
      </c>
      <c r="D2299" s="17">
        <v>22991231</v>
      </c>
      <c r="E2299" s="25">
        <v>0</v>
      </c>
    </row>
    <row r="2300" spans="1:5" ht="39" x14ac:dyDescent="0.3">
      <c r="A2300" s="17" t="str">
        <f>"36252"</f>
        <v>36252</v>
      </c>
      <c r="B2300" s="5" t="s">
        <v>2456</v>
      </c>
      <c r="C2300" s="17">
        <v>20120101</v>
      </c>
      <c r="D2300" s="17">
        <v>22991231</v>
      </c>
      <c r="E2300" s="25">
        <v>0</v>
      </c>
    </row>
    <row r="2301" spans="1:5" ht="39" x14ac:dyDescent="0.3">
      <c r="A2301" s="17" t="str">
        <f>"36253"</f>
        <v>36253</v>
      </c>
      <c r="B2301" s="5" t="s">
        <v>2457</v>
      </c>
      <c r="C2301" s="17">
        <v>20120101</v>
      </c>
      <c r="D2301" s="17">
        <v>22991231</v>
      </c>
      <c r="E2301" s="25">
        <v>0</v>
      </c>
    </row>
    <row r="2302" spans="1:5" ht="39" x14ac:dyDescent="0.3">
      <c r="A2302" s="17" t="str">
        <f>"36254"</f>
        <v>36254</v>
      </c>
      <c r="B2302" s="5" t="s">
        <v>2458</v>
      </c>
      <c r="C2302" s="17">
        <v>20120101</v>
      </c>
      <c r="D2302" s="17">
        <v>22991231</v>
      </c>
      <c r="E2302" s="25">
        <v>0</v>
      </c>
    </row>
    <row r="2303" spans="1:5" x14ac:dyDescent="0.3">
      <c r="A2303" s="17" t="str">
        <f>"36260"</f>
        <v>36260</v>
      </c>
      <c r="B2303" s="5" t="s">
        <v>2459</v>
      </c>
      <c r="C2303" s="17">
        <v>19900101</v>
      </c>
      <c r="D2303" s="17">
        <v>22991231</v>
      </c>
      <c r="E2303" s="25">
        <v>2772.9</v>
      </c>
    </row>
    <row r="2304" spans="1:5" x14ac:dyDescent="0.3">
      <c r="A2304" s="17" t="str">
        <f>"36261"</f>
        <v>36261</v>
      </c>
      <c r="B2304" s="5" t="s">
        <v>2460</v>
      </c>
      <c r="C2304" s="17">
        <v>19900101</v>
      </c>
      <c r="D2304" s="17">
        <v>22991231</v>
      </c>
      <c r="E2304" s="25">
        <v>2693.66</v>
      </c>
    </row>
    <row r="2305" spans="1:5" x14ac:dyDescent="0.3">
      <c r="A2305" s="17" t="str">
        <f>"36262"</f>
        <v>36262</v>
      </c>
      <c r="B2305" s="5" t="s">
        <v>2461</v>
      </c>
      <c r="C2305" s="17">
        <v>19900101</v>
      </c>
      <c r="D2305" s="17">
        <v>22991231</v>
      </c>
      <c r="E2305" s="25">
        <v>1945.71</v>
      </c>
    </row>
    <row r="2306" spans="1:5" ht="26" x14ac:dyDescent="0.3">
      <c r="A2306" s="17" t="str">
        <f>"36400"</f>
        <v>36400</v>
      </c>
      <c r="B2306" s="5" t="s">
        <v>2462</v>
      </c>
      <c r="C2306" s="17">
        <v>19900101</v>
      </c>
      <c r="D2306" s="17">
        <v>22991231</v>
      </c>
      <c r="E2306" s="25">
        <v>0</v>
      </c>
    </row>
    <row r="2307" spans="1:5" ht="26" x14ac:dyDescent="0.3">
      <c r="A2307" s="17" t="str">
        <f>"36405"</f>
        <v>36405</v>
      </c>
      <c r="B2307" s="5" t="s">
        <v>2463</v>
      </c>
      <c r="C2307" s="17">
        <v>19900101</v>
      </c>
      <c r="D2307" s="17">
        <v>22991231</v>
      </c>
      <c r="E2307" s="25">
        <v>0</v>
      </c>
    </row>
    <row r="2308" spans="1:5" ht="26" x14ac:dyDescent="0.3">
      <c r="A2308" s="17" t="str">
        <f>"36406"</f>
        <v>36406</v>
      </c>
      <c r="B2308" s="5" t="s">
        <v>2464</v>
      </c>
      <c r="C2308" s="17">
        <v>19900101</v>
      </c>
      <c r="D2308" s="17">
        <v>22991231</v>
      </c>
      <c r="E2308" s="25">
        <v>0</v>
      </c>
    </row>
    <row r="2309" spans="1:5" x14ac:dyDescent="0.3">
      <c r="A2309" s="17" t="str">
        <f>"36410"</f>
        <v>36410</v>
      </c>
      <c r="B2309" s="5" t="s">
        <v>2465</v>
      </c>
      <c r="C2309" s="17">
        <v>19900101</v>
      </c>
      <c r="D2309" s="17">
        <v>22991231</v>
      </c>
      <c r="E2309" s="25">
        <v>0</v>
      </c>
    </row>
    <row r="2310" spans="1:5" ht="26" x14ac:dyDescent="0.3">
      <c r="A2310" s="17" t="str">
        <f>"36415"</f>
        <v>36415</v>
      </c>
      <c r="B2310" s="5" t="s">
        <v>2466</v>
      </c>
      <c r="C2310" s="17">
        <v>19900101</v>
      </c>
      <c r="D2310" s="17">
        <v>22991231</v>
      </c>
      <c r="E2310" s="24" t="s">
        <v>7128</v>
      </c>
    </row>
    <row r="2311" spans="1:5" x14ac:dyDescent="0.3">
      <c r="A2311" s="17" t="str">
        <f>"36416"</f>
        <v>36416</v>
      </c>
      <c r="B2311" s="5" t="s">
        <v>2467</v>
      </c>
      <c r="C2311" s="17">
        <v>20230101</v>
      </c>
      <c r="D2311" s="17">
        <v>22991231</v>
      </c>
      <c r="E2311" s="25">
        <v>0</v>
      </c>
    </row>
    <row r="2312" spans="1:5" ht="26" x14ac:dyDescent="0.3">
      <c r="A2312" s="17" t="str">
        <f>"36420"</f>
        <v>36420</v>
      </c>
      <c r="B2312" s="5" t="s">
        <v>2468</v>
      </c>
      <c r="C2312" s="17">
        <v>19900101</v>
      </c>
      <c r="D2312" s="17">
        <v>22991231</v>
      </c>
      <c r="E2312" s="25">
        <v>0</v>
      </c>
    </row>
    <row r="2313" spans="1:5" ht="26" x14ac:dyDescent="0.3">
      <c r="A2313" s="17" t="str">
        <f>"36425"</f>
        <v>36425</v>
      </c>
      <c r="B2313" s="5" t="s">
        <v>2469</v>
      </c>
      <c r="C2313" s="17">
        <v>19900101</v>
      </c>
      <c r="D2313" s="17">
        <v>22991231</v>
      </c>
      <c r="E2313" s="25">
        <v>0</v>
      </c>
    </row>
    <row r="2314" spans="1:5" x14ac:dyDescent="0.3">
      <c r="A2314" s="17" t="str">
        <f>"36430"</f>
        <v>36430</v>
      </c>
      <c r="B2314" s="5" t="s">
        <v>2470</v>
      </c>
      <c r="C2314" s="17">
        <v>19900101</v>
      </c>
      <c r="D2314" s="17">
        <v>22991231</v>
      </c>
      <c r="E2314" s="25">
        <v>38.78</v>
      </c>
    </row>
    <row r="2315" spans="1:5" x14ac:dyDescent="0.3">
      <c r="A2315" s="17" t="str">
        <f>"36440"</f>
        <v>36440</v>
      </c>
      <c r="B2315" s="5" t="s">
        <v>2471</v>
      </c>
      <c r="C2315" s="17">
        <v>19900101</v>
      </c>
      <c r="D2315" s="17">
        <v>22991231</v>
      </c>
      <c r="E2315" s="25">
        <v>215.09</v>
      </c>
    </row>
    <row r="2316" spans="1:5" x14ac:dyDescent="0.3">
      <c r="A2316" s="17" t="str">
        <f>"36450"</f>
        <v>36450</v>
      </c>
      <c r="B2316" s="5" t="s">
        <v>2472</v>
      </c>
      <c r="C2316" s="17">
        <v>19900101</v>
      </c>
      <c r="D2316" s="17">
        <v>22991231</v>
      </c>
      <c r="E2316" s="25">
        <v>215.09</v>
      </c>
    </row>
    <row r="2317" spans="1:5" x14ac:dyDescent="0.3">
      <c r="A2317" s="17" t="str">
        <f>"36455"</f>
        <v>36455</v>
      </c>
      <c r="B2317" s="5" t="s">
        <v>2473</v>
      </c>
      <c r="C2317" s="17">
        <v>19900101</v>
      </c>
      <c r="D2317" s="17">
        <v>22991231</v>
      </c>
      <c r="E2317" s="25">
        <v>215.09</v>
      </c>
    </row>
    <row r="2318" spans="1:5" x14ac:dyDescent="0.3">
      <c r="A2318" s="17" t="str">
        <f>"36456"</f>
        <v>36456</v>
      </c>
      <c r="B2318" s="5" t="s">
        <v>2474</v>
      </c>
      <c r="C2318" s="17">
        <v>20170101</v>
      </c>
      <c r="D2318" s="17">
        <v>22991231</v>
      </c>
      <c r="E2318" s="24" t="s">
        <v>7128</v>
      </c>
    </row>
    <row r="2319" spans="1:5" x14ac:dyDescent="0.3">
      <c r="A2319" s="17" t="str">
        <f>"36460"</f>
        <v>36460</v>
      </c>
      <c r="B2319" s="5" t="s">
        <v>2475</v>
      </c>
      <c r="C2319" s="17">
        <v>19900101</v>
      </c>
      <c r="D2319" s="17">
        <v>22991231</v>
      </c>
      <c r="E2319" s="24" t="s">
        <v>7128</v>
      </c>
    </row>
    <row r="2320" spans="1:5" ht="39" x14ac:dyDescent="0.3">
      <c r="A2320" s="17" t="str">
        <f>"36465"</f>
        <v>36465</v>
      </c>
      <c r="B2320" s="5" t="s">
        <v>2476</v>
      </c>
      <c r="C2320" s="17">
        <v>20180101</v>
      </c>
      <c r="D2320" s="17">
        <v>22991231</v>
      </c>
      <c r="E2320" s="25">
        <v>903.54</v>
      </c>
    </row>
    <row r="2321" spans="1:5" ht="39" x14ac:dyDescent="0.3">
      <c r="A2321" s="17" t="str">
        <f>"36466"</f>
        <v>36466</v>
      </c>
      <c r="B2321" s="5" t="s">
        <v>2477</v>
      </c>
      <c r="C2321" s="17">
        <v>20180101</v>
      </c>
      <c r="D2321" s="17">
        <v>22991231</v>
      </c>
      <c r="E2321" s="25">
        <v>903.54</v>
      </c>
    </row>
    <row r="2322" spans="1:5" ht="26" x14ac:dyDescent="0.3">
      <c r="A2322" s="17" t="str">
        <f>"36468"</f>
        <v>36468</v>
      </c>
      <c r="B2322" s="5" t="s">
        <v>2478</v>
      </c>
      <c r="C2322" s="17">
        <v>20230101</v>
      </c>
      <c r="D2322" s="17">
        <v>22991231</v>
      </c>
      <c r="E2322" s="25">
        <v>0</v>
      </c>
    </row>
    <row r="2323" spans="1:5" ht="26" x14ac:dyDescent="0.3">
      <c r="A2323" s="17" t="str">
        <f>"36470"</f>
        <v>36470</v>
      </c>
      <c r="B2323" s="5" t="s">
        <v>2479</v>
      </c>
      <c r="C2323" s="17">
        <v>19900101</v>
      </c>
      <c r="D2323" s="17">
        <v>22991231</v>
      </c>
      <c r="E2323" s="25">
        <v>80.069999999999993</v>
      </c>
    </row>
    <row r="2324" spans="1:5" ht="26" x14ac:dyDescent="0.3">
      <c r="A2324" s="17" t="str">
        <f>"36471"</f>
        <v>36471</v>
      </c>
      <c r="B2324" s="5" t="s">
        <v>2480</v>
      </c>
      <c r="C2324" s="17">
        <v>19900101</v>
      </c>
      <c r="D2324" s="17">
        <v>22991231</v>
      </c>
      <c r="E2324" s="25">
        <v>131.05000000000001</v>
      </c>
    </row>
    <row r="2325" spans="1:5" ht="39" x14ac:dyDescent="0.3">
      <c r="A2325" s="17" t="str">
        <f>"36473"</f>
        <v>36473</v>
      </c>
      <c r="B2325" s="5" t="s">
        <v>2481</v>
      </c>
      <c r="C2325" s="17">
        <v>20170101</v>
      </c>
      <c r="D2325" s="17">
        <v>22991231</v>
      </c>
      <c r="E2325" s="25">
        <v>982.06</v>
      </c>
    </row>
    <row r="2326" spans="1:5" ht="39" x14ac:dyDescent="0.3">
      <c r="A2326" s="17" t="str">
        <f>"36474"</f>
        <v>36474</v>
      </c>
      <c r="B2326" s="5" t="s">
        <v>2482</v>
      </c>
      <c r="C2326" s="17">
        <v>20170101</v>
      </c>
      <c r="D2326" s="17">
        <v>22991231</v>
      </c>
      <c r="E2326" s="25">
        <v>0</v>
      </c>
    </row>
    <row r="2327" spans="1:5" ht="26" x14ac:dyDescent="0.3">
      <c r="A2327" s="17" t="str">
        <f>"36475"</f>
        <v>36475</v>
      </c>
      <c r="B2327" s="5" t="s">
        <v>2483</v>
      </c>
      <c r="C2327" s="17">
        <v>20050101</v>
      </c>
      <c r="D2327" s="17">
        <v>22991231</v>
      </c>
      <c r="E2327" s="25">
        <v>1478.57</v>
      </c>
    </row>
    <row r="2328" spans="1:5" ht="39" x14ac:dyDescent="0.3">
      <c r="A2328" s="17" t="str">
        <f>"36476"</f>
        <v>36476</v>
      </c>
      <c r="B2328" s="5" t="s">
        <v>2484</v>
      </c>
      <c r="C2328" s="17">
        <v>20230101</v>
      </c>
      <c r="D2328" s="17">
        <v>22991231</v>
      </c>
      <c r="E2328" s="25">
        <v>0</v>
      </c>
    </row>
    <row r="2329" spans="1:5" ht="26" x14ac:dyDescent="0.3">
      <c r="A2329" s="17" t="str">
        <f>"36478"</f>
        <v>36478</v>
      </c>
      <c r="B2329" s="5" t="s">
        <v>2485</v>
      </c>
      <c r="C2329" s="17">
        <v>20200101</v>
      </c>
      <c r="D2329" s="17">
        <v>22991231</v>
      </c>
      <c r="E2329" s="25">
        <v>1478.57</v>
      </c>
    </row>
    <row r="2330" spans="1:5" ht="26" x14ac:dyDescent="0.3">
      <c r="A2330" s="17" t="str">
        <f>"36479"</f>
        <v>36479</v>
      </c>
      <c r="B2330" s="5" t="s">
        <v>2486</v>
      </c>
      <c r="C2330" s="17">
        <v>20230101</v>
      </c>
      <c r="D2330" s="17">
        <v>22991231</v>
      </c>
      <c r="E2330" s="25">
        <v>0</v>
      </c>
    </row>
    <row r="2331" spans="1:5" x14ac:dyDescent="0.3">
      <c r="A2331" s="17" t="str">
        <f>"36481"</f>
        <v>36481</v>
      </c>
      <c r="B2331" s="5" t="s">
        <v>2487</v>
      </c>
      <c r="C2331" s="17">
        <v>19920115</v>
      </c>
      <c r="D2331" s="17">
        <v>22991231</v>
      </c>
      <c r="E2331" s="25">
        <v>0</v>
      </c>
    </row>
    <row r="2332" spans="1:5" ht="26" x14ac:dyDescent="0.3">
      <c r="A2332" s="17" t="str">
        <f>"36482"</f>
        <v>36482</v>
      </c>
      <c r="B2332" s="5" t="s">
        <v>2488</v>
      </c>
      <c r="C2332" s="17">
        <v>20180101</v>
      </c>
      <c r="D2332" s="17">
        <v>22991231</v>
      </c>
      <c r="E2332" s="25">
        <v>1408.97</v>
      </c>
    </row>
    <row r="2333" spans="1:5" ht="26" x14ac:dyDescent="0.3">
      <c r="A2333" s="17" t="str">
        <f>"36483"</f>
        <v>36483</v>
      </c>
      <c r="B2333" s="5" t="s">
        <v>2489</v>
      </c>
      <c r="C2333" s="17">
        <v>20180101</v>
      </c>
      <c r="D2333" s="17">
        <v>22991231</v>
      </c>
      <c r="E2333" s="25">
        <v>0</v>
      </c>
    </row>
    <row r="2334" spans="1:5" ht="26" x14ac:dyDescent="0.3">
      <c r="A2334" s="17" t="str">
        <f>"36500"</f>
        <v>36500</v>
      </c>
      <c r="B2334" s="5" t="s">
        <v>2490</v>
      </c>
      <c r="C2334" s="17">
        <v>19900101</v>
      </c>
      <c r="D2334" s="17">
        <v>22991231</v>
      </c>
      <c r="E2334" s="25">
        <v>0</v>
      </c>
    </row>
    <row r="2335" spans="1:5" x14ac:dyDescent="0.3">
      <c r="A2335" s="17" t="str">
        <f>"36510"</f>
        <v>36510</v>
      </c>
      <c r="B2335" s="5" t="s">
        <v>2491</v>
      </c>
      <c r="C2335" s="17">
        <v>19900101</v>
      </c>
      <c r="D2335" s="17">
        <v>22991231</v>
      </c>
      <c r="E2335" s="25">
        <v>0</v>
      </c>
    </row>
    <row r="2336" spans="1:5" ht="26" x14ac:dyDescent="0.3">
      <c r="A2336" s="17" t="str">
        <f>"36511"</f>
        <v>36511</v>
      </c>
      <c r="B2336" s="5" t="s">
        <v>2492</v>
      </c>
      <c r="C2336" s="17">
        <v>20230101</v>
      </c>
      <c r="D2336" s="17">
        <v>22991231</v>
      </c>
      <c r="E2336" s="25">
        <v>760.21</v>
      </c>
    </row>
    <row r="2337" spans="1:5" ht="26" x14ac:dyDescent="0.3">
      <c r="A2337" s="17" t="str">
        <f>"36512"</f>
        <v>36512</v>
      </c>
      <c r="B2337" s="5" t="s">
        <v>2493</v>
      </c>
      <c r="C2337" s="17">
        <v>20230101</v>
      </c>
      <c r="D2337" s="17">
        <v>22991231</v>
      </c>
      <c r="E2337" s="25">
        <v>760.21</v>
      </c>
    </row>
    <row r="2338" spans="1:5" ht="26" x14ac:dyDescent="0.3">
      <c r="A2338" s="17" t="str">
        <f>"36513"</f>
        <v>36513</v>
      </c>
      <c r="B2338" s="5" t="s">
        <v>2494</v>
      </c>
      <c r="C2338" s="17">
        <v>20230101</v>
      </c>
      <c r="D2338" s="17">
        <v>22991231</v>
      </c>
      <c r="E2338" s="25">
        <v>215.09</v>
      </c>
    </row>
    <row r="2339" spans="1:5" x14ac:dyDescent="0.3">
      <c r="A2339" s="17" t="str">
        <f>"36514"</f>
        <v>36514</v>
      </c>
      <c r="B2339" s="5" t="s">
        <v>2495</v>
      </c>
      <c r="C2339" s="17">
        <v>20230101</v>
      </c>
      <c r="D2339" s="17">
        <v>22991231</v>
      </c>
      <c r="E2339" s="25">
        <v>760.21</v>
      </c>
    </row>
    <row r="2340" spans="1:5" ht="26" x14ac:dyDescent="0.3">
      <c r="A2340" s="17" t="str">
        <f>"36516"</f>
        <v>36516</v>
      </c>
      <c r="B2340" s="5" t="s">
        <v>2496</v>
      </c>
      <c r="C2340" s="17">
        <v>20230101</v>
      </c>
      <c r="D2340" s="17">
        <v>22991231</v>
      </c>
      <c r="E2340" s="25">
        <v>1607.25</v>
      </c>
    </row>
    <row r="2341" spans="1:5" ht="26" x14ac:dyDescent="0.3">
      <c r="A2341" s="17" t="str">
        <f>"36522"</f>
        <v>36522</v>
      </c>
      <c r="B2341" s="5" t="s">
        <v>2497</v>
      </c>
      <c r="C2341" s="17">
        <v>20230101</v>
      </c>
      <c r="D2341" s="17">
        <v>22991231</v>
      </c>
      <c r="E2341" s="25">
        <v>2292.94</v>
      </c>
    </row>
    <row r="2342" spans="1:5" ht="26" x14ac:dyDescent="0.3">
      <c r="A2342" s="17" t="str">
        <f>"36555"</f>
        <v>36555</v>
      </c>
      <c r="B2342" s="5" t="s">
        <v>2498</v>
      </c>
      <c r="C2342" s="17">
        <v>20051001</v>
      </c>
      <c r="D2342" s="17">
        <v>22991231</v>
      </c>
      <c r="E2342" s="25">
        <v>1478.57</v>
      </c>
    </row>
    <row r="2343" spans="1:5" ht="26" x14ac:dyDescent="0.3">
      <c r="A2343" s="17" t="str">
        <f>"36556"</f>
        <v>36556</v>
      </c>
      <c r="B2343" s="5" t="s">
        <v>2499</v>
      </c>
      <c r="C2343" s="17">
        <v>20051001</v>
      </c>
      <c r="D2343" s="17">
        <v>22991231</v>
      </c>
      <c r="E2343" s="25">
        <v>1478.57</v>
      </c>
    </row>
    <row r="2344" spans="1:5" ht="26" x14ac:dyDescent="0.3">
      <c r="A2344" s="17" t="str">
        <f>"36557"</f>
        <v>36557</v>
      </c>
      <c r="B2344" s="5" t="s">
        <v>2500</v>
      </c>
      <c r="C2344" s="17">
        <v>20051001</v>
      </c>
      <c r="D2344" s="17">
        <v>22991231</v>
      </c>
      <c r="E2344" s="25">
        <v>2772.9</v>
      </c>
    </row>
    <row r="2345" spans="1:5" ht="26" x14ac:dyDescent="0.3">
      <c r="A2345" s="17" t="str">
        <f>"36558"</f>
        <v>36558</v>
      </c>
      <c r="B2345" s="5" t="s">
        <v>2501</v>
      </c>
      <c r="C2345" s="17">
        <v>20031001</v>
      </c>
      <c r="D2345" s="17">
        <v>22991231</v>
      </c>
      <c r="E2345" s="25">
        <v>1478.57</v>
      </c>
    </row>
    <row r="2346" spans="1:5" ht="26" x14ac:dyDescent="0.3">
      <c r="A2346" s="17" t="str">
        <f>"36560"</f>
        <v>36560</v>
      </c>
      <c r="B2346" s="5" t="s">
        <v>2502</v>
      </c>
      <c r="C2346" s="17">
        <v>20051001</v>
      </c>
      <c r="D2346" s="17">
        <v>22991231</v>
      </c>
      <c r="E2346" s="25">
        <v>1478.57</v>
      </c>
    </row>
    <row r="2347" spans="1:5" ht="26" x14ac:dyDescent="0.3">
      <c r="A2347" s="17" t="str">
        <f>"36561"</f>
        <v>36561</v>
      </c>
      <c r="B2347" s="5" t="s">
        <v>2503</v>
      </c>
      <c r="C2347" s="17">
        <v>20030101</v>
      </c>
      <c r="D2347" s="17">
        <v>22991231</v>
      </c>
      <c r="E2347" s="25">
        <v>1478.57</v>
      </c>
    </row>
    <row r="2348" spans="1:5" x14ac:dyDescent="0.3">
      <c r="A2348" s="17" t="str">
        <f>"36563"</f>
        <v>36563</v>
      </c>
      <c r="B2348" s="5" t="s">
        <v>2504</v>
      </c>
      <c r="C2348" s="17">
        <v>20051001</v>
      </c>
      <c r="D2348" s="17">
        <v>22991231</v>
      </c>
      <c r="E2348" s="25">
        <v>4625.84</v>
      </c>
    </row>
    <row r="2349" spans="1:5" ht="26" x14ac:dyDescent="0.3">
      <c r="A2349" s="17" t="str">
        <f>"36565"</f>
        <v>36565</v>
      </c>
      <c r="B2349" s="5" t="s">
        <v>2505</v>
      </c>
      <c r="C2349" s="17">
        <v>20051001</v>
      </c>
      <c r="D2349" s="17">
        <v>22991231</v>
      </c>
      <c r="E2349" s="25">
        <v>1478.57</v>
      </c>
    </row>
    <row r="2350" spans="1:5" ht="26" x14ac:dyDescent="0.3">
      <c r="A2350" s="17" t="str">
        <f>"36566"</f>
        <v>36566</v>
      </c>
      <c r="B2350" s="5" t="s">
        <v>2506</v>
      </c>
      <c r="C2350" s="17">
        <v>20051001</v>
      </c>
      <c r="D2350" s="17">
        <v>22991231</v>
      </c>
      <c r="E2350" s="25">
        <v>2772.9</v>
      </c>
    </row>
    <row r="2351" spans="1:5" ht="26" x14ac:dyDescent="0.3">
      <c r="A2351" s="17" t="str">
        <f>"36568"</f>
        <v>36568</v>
      </c>
      <c r="B2351" s="5" t="s">
        <v>2507</v>
      </c>
      <c r="C2351" s="17">
        <v>20051001</v>
      </c>
      <c r="D2351" s="17">
        <v>22991231</v>
      </c>
      <c r="E2351" s="25">
        <v>742.2</v>
      </c>
    </row>
    <row r="2352" spans="1:5" x14ac:dyDescent="0.3">
      <c r="A2352" s="17" t="str">
        <f>"36569"</f>
        <v>36569</v>
      </c>
      <c r="B2352" s="5" t="s">
        <v>2508</v>
      </c>
      <c r="C2352" s="17">
        <v>20051001</v>
      </c>
      <c r="D2352" s="17">
        <v>22991231</v>
      </c>
      <c r="E2352" s="25">
        <v>591.41</v>
      </c>
    </row>
    <row r="2353" spans="1:5" ht="26" x14ac:dyDescent="0.3">
      <c r="A2353" s="17" t="str">
        <f>"36570"</f>
        <v>36570</v>
      </c>
      <c r="B2353" s="5" t="s">
        <v>2509</v>
      </c>
      <c r="C2353" s="17">
        <v>20051001</v>
      </c>
      <c r="D2353" s="17">
        <v>22991231</v>
      </c>
      <c r="E2353" s="25">
        <v>1862.11</v>
      </c>
    </row>
    <row r="2354" spans="1:5" ht="26" x14ac:dyDescent="0.3">
      <c r="A2354" s="17" t="str">
        <f>"36571"</f>
        <v>36571</v>
      </c>
      <c r="B2354" s="5" t="s">
        <v>2510</v>
      </c>
      <c r="C2354" s="17">
        <v>20051001</v>
      </c>
      <c r="D2354" s="17">
        <v>22991231</v>
      </c>
      <c r="E2354" s="25">
        <v>1478.57</v>
      </c>
    </row>
    <row r="2355" spans="1:5" ht="39" x14ac:dyDescent="0.3">
      <c r="A2355" s="17" t="str">
        <f>"36572"</f>
        <v>36572</v>
      </c>
      <c r="B2355" s="5" t="s">
        <v>2511</v>
      </c>
      <c r="C2355" s="17">
        <v>20230101</v>
      </c>
      <c r="D2355" s="17">
        <v>22991231</v>
      </c>
      <c r="E2355" s="25">
        <v>311.25</v>
      </c>
    </row>
    <row r="2356" spans="1:5" ht="39" x14ac:dyDescent="0.3">
      <c r="A2356" s="17" t="str">
        <f>"36573"</f>
        <v>36573</v>
      </c>
      <c r="B2356" s="5" t="s">
        <v>2512</v>
      </c>
      <c r="C2356" s="17">
        <v>20230101</v>
      </c>
      <c r="D2356" s="17">
        <v>22991231</v>
      </c>
      <c r="E2356" s="25">
        <v>591.41</v>
      </c>
    </row>
    <row r="2357" spans="1:5" x14ac:dyDescent="0.3">
      <c r="A2357" s="17" t="str">
        <f>"36575"</f>
        <v>36575</v>
      </c>
      <c r="B2357" s="5" t="s">
        <v>2513</v>
      </c>
      <c r="C2357" s="17">
        <v>20051001</v>
      </c>
      <c r="D2357" s="17">
        <v>22991231</v>
      </c>
      <c r="E2357" s="25">
        <v>311.25</v>
      </c>
    </row>
    <row r="2358" spans="1:5" ht="26" x14ac:dyDescent="0.3">
      <c r="A2358" s="17" t="str">
        <f>"36576"</f>
        <v>36576</v>
      </c>
      <c r="B2358" s="5" t="s">
        <v>2514</v>
      </c>
      <c r="C2358" s="17">
        <v>20051001</v>
      </c>
      <c r="D2358" s="17">
        <v>22991231</v>
      </c>
      <c r="E2358" s="25">
        <v>591.41</v>
      </c>
    </row>
    <row r="2359" spans="1:5" x14ac:dyDescent="0.3">
      <c r="A2359" s="17" t="str">
        <f>"36578"</f>
        <v>36578</v>
      </c>
      <c r="B2359" s="5" t="s">
        <v>2515</v>
      </c>
      <c r="C2359" s="17">
        <v>20051001</v>
      </c>
      <c r="D2359" s="17">
        <v>22991231</v>
      </c>
      <c r="E2359" s="25">
        <v>1895.14</v>
      </c>
    </row>
    <row r="2360" spans="1:5" x14ac:dyDescent="0.3">
      <c r="A2360" s="17" t="str">
        <f>"36580"</f>
        <v>36580</v>
      </c>
      <c r="B2360" s="5" t="s">
        <v>2516</v>
      </c>
      <c r="C2360" s="17">
        <v>20051001</v>
      </c>
      <c r="D2360" s="17">
        <v>22991231</v>
      </c>
      <c r="E2360" s="25">
        <v>591.41</v>
      </c>
    </row>
    <row r="2361" spans="1:5" x14ac:dyDescent="0.3">
      <c r="A2361" s="17" t="str">
        <f>"36581"</f>
        <v>36581</v>
      </c>
      <c r="B2361" s="5" t="s">
        <v>2517</v>
      </c>
      <c r="C2361" s="17">
        <v>20051001</v>
      </c>
      <c r="D2361" s="17">
        <v>22991231</v>
      </c>
      <c r="E2361" s="25">
        <v>1855.67</v>
      </c>
    </row>
    <row r="2362" spans="1:5" ht="26" x14ac:dyDescent="0.3">
      <c r="A2362" s="17" t="str">
        <f>"36582"</f>
        <v>36582</v>
      </c>
      <c r="B2362" s="5" t="s">
        <v>2518</v>
      </c>
      <c r="C2362" s="17">
        <v>20051001</v>
      </c>
      <c r="D2362" s="17">
        <v>22991231</v>
      </c>
      <c r="E2362" s="25">
        <v>1478.57</v>
      </c>
    </row>
    <row r="2363" spans="1:5" ht="26" x14ac:dyDescent="0.3">
      <c r="A2363" s="17" t="str">
        <f>"36583"</f>
        <v>36583</v>
      </c>
      <c r="B2363" s="5" t="s">
        <v>2519</v>
      </c>
      <c r="C2363" s="17">
        <v>20051001</v>
      </c>
      <c r="D2363" s="17">
        <v>22991231</v>
      </c>
      <c r="E2363" s="25">
        <v>4771.09</v>
      </c>
    </row>
    <row r="2364" spans="1:5" ht="26" x14ac:dyDescent="0.3">
      <c r="A2364" s="17" t="str">
        <f>"36584"</f>
        <v>36584</v>
      </c>
      <c r="B2364" s="5" t="s">
        <v>2520</v>
      </c>
      <c r="C2364" s="17">
        <v>20051001</v>
      </c>
      <c r="D2364" s="17">
        <v>22991231</v>
      </c>
      <c r="E2364" s="25">
        <v>591.41</v>
      </c>
    </row>
    <row r="2365" spans="1:5" ht="26" x14ac:dyDescent="0.3">
      <c r="A2365" s="17" t="str">
        <f>"36585"</f>
        <v>36585</v>
      </c>
      <c r="B2365" s="5" t="s">
        <v>2521</v>
      </c>
      <c r="C2365" s="17">
        <v>20051001</v>
      </c>
      <c r="D2365" s="17">
        <v>22991231</v>
      </c>
      <c r="E2365" s="25">
        <v>1478.57</v>
      </c>
    </row>
    <row r="2366" spans="1:5" x14ac:dyDescent="0.3">
      <c r="A2366" s="17" t="str">
        <f>"36589"</f>
        <v>36589</v>
      </c>
      <c r="B2366" s="5" t="s">
        <v>2522</v>
      </c>
      <c r="C2366" s="17">
        <v>20051001</v>
      </c>
      <c r="D2366" s="17">
        <v>22991231</v>
      </c>
      <c r="E2366" s="25">
        <v>311.25</v>
      </c>
    </row>
    <row r="2367" spans="1:5" ht="26" x14ac:dyDescent="0.3">
      <c r="A2367" s="17" t="str">
        <f>"36590"</f>
        <v>36590</v>
      </c>
      <c r="B2367" s="5" t="s">
        <v>2523</v>
      </c>
      <c r="C2367" s="17">
        <v>20040101</v>
      </c>
      <c r="D2367" s="17">
        <v>22991231</v>
      </c>
      <c r="E2367" s="25">
        <v>591.41</v>
      </c>
    </row>
    <row r="2368" spans="1:5" ht="26" x14ac:dyDescent="0.3">
      <c r="A2368" s="17" t="str">
        <f>"36591"</f>
        <v>36591</v>
      </c>
      <c r="B2368" s="5" t="s">
        <v>2524</v>
      </c>
      <c r="C2368" s="17">
        <v>20080101</v>
      </c>
      <c r="D2368" s="17">
        <v>22991231</v>
      </c>
      <c r="E2368" s="25">
        <v>0</v>
      </c>
    </row>
    <row r="2369" spans="1:5" ht="26" x14ac:dyDescent="0.3">
      <c r="A2369" s="17" t="str">
        <f>"36592"</f>
        <v>36592</v>
      </c>
      <c r="B2369" s="5" t="s">
        <v>2525</v>
      </c>
      <c r="C2369" s="17">
        <v>20080101</v>
      </c>
      <c r="D2369" s="17">
        <v>22991231</v>
      </c>
      <c r="E2369" s="25">
        <v>0</v>
      </c>
    </row>
    <row r="2370" spans="1:5" x14ac:dyDescent="0.3">
      <c r="A2370" s="17" t="str">
        <f>"36593"</f>
        <v>36593</v>
      </c>
      <c r="B2370" s="5" t="s">
        <v>2526</v>
      </c>
      <c r="C2370" s="17">
        <v>20080101</v>
      </c>
      <c r="D2370" s="17">
        <v>22991231</v>
      </c>
      <c r="E2370" s="25">
        <v>31.9</v>
      </c>
    </row>
    <row r="2371" spans="1:5" ht="26" x14ac:dyDescent="0.3">
      <c r="A2371" s="17" t="str">
        <f>"36595"</f>
        <v>36595</v>
      </c>
      <c r="B2371" s="5" t="s">
        <v>2527</v>
      </c>
      <c r="C2371" s="17">
        <v>20230101</v>
      </c>
      <c r="D2371" s="17">
        <v>22991231</v>
      </c>
      <c r="E2371" s="25">
        <v>1861.86</v>
      </c>
    </row>
    <row r="2372" spans="1:5" ht="26" x14ac:dyDescent="0.3">
      <c r="A2372" s="17" t="str">
        <f>"36596"</f>
        <v>36596</v>
      </c>
      <c r="B2372" s="5" t="s">
        <v>2528</v>
      </c>
      <c r="C2372" s="17">
        <v>20230101</v>
      </c>
      <c r="D2372" s="17">
        <v>22991231</v>
      </c>
      <c r="E2372" s="25">
        <v>591.41</v>
      </c>
    </row>
    <row r="2373" spans="1:5" ht="26" x14ac:dyDescent="0.3">
      <c r="A2373" s="17" t="str">
        <f>"36597"</f>
        <v>36597</v>
      </c>
      <c r="B2373" s="5" t="s">
        <v>2529</v>
      </c>
      <c r="C2373" s="17">
        <v>20110101</v>
      </c>
      <c r="D2373" s="17">
        <v>22991231</v>
      </c>
      <c r="E2373" s="25">
        <v>591.41</v>
      </c>
    </row>
    <row r="2374" spans="1:5" ht="26" x14ac:dyDescent="0.3">
      <c r="A2374" s="17" t="str">
        <f>"36598"</f>
        <v>36598</v>
      </c>
      <c r="B2374" s="5" t="s">
        <v>2530</v>
      </c>
      <c r="C2374" s="17">
        <v>20230101</v>
      </c>
      <c r="D2374" s="17">
        <v>22991231</v>
      </c>
      <c r="E2374" s="25">
        <v>85.7</v>
      </c>
    </row>
    <row r="2375" spans="1:5" x14ac:dyDescent="0.3">
      <c r="A2375" s="17" t="str">
        <f>"36600"</f>
        <v>36600</v>
      </c>
      <c r="B2375" s="5" t="s">
        <v>2531</v>
      </c>
      <c r="C2375" s="17">
        <v>19900101</v>
      </c>
      <c r="D2375" s="17">
        <v>22991231</v>
      </c>
      <c r="E2375" s="25">
        <v>0</v>
      </c>
    </row>
    <row r="2376" spans="1:5" ht="26" x14ac:dyDescent="0.3">
      <c r="A2376" s="17" t="str">
        <f>"36620"</f>
        <v>36620</v>
      </c>
      <c r="B2376" s="5" t="s">
        <v>2532</v>
      </c>
      <c r="C2376" s="17">
        <v>19900101</v>
      </c>
      <c r="D2376" s="17">
        <v>22991231</v>
      </c>
      <c r="E2376" s="25">
        <v>0</v>
      </c>
    </row>
    <row r="2377" spans="1:5" ht="26" x14ac:dyDescent="0.3">
      <c r="A2377" s="17" t="str">
        <f>"36625"</f>
        <v>36625</v>
      </c>
      <c r="B2377" s="5" t="s">
        <v>2533</v>
      </c>
      <c r="C2377" s="17">
        <v>19900101</v>
      </c>
      <c r="D2377" s="17">
        <v>22991231</v>
      </c>
      <c r="E2377" s="25">
        <v>0</v>
      </c>
    </row>
    <row r="2378" spans="1:5" x14ac:dyDescent="0.3">
      <c r="A2378" s="17" t="str">
        <f>"36640"</f>
        <v>36640</v>
      </c>
      <c r="B2378" s="5" t="s">
        <v>2534</v>
      </c>
      <c r="C2378" s="17">
        <v>19900101</v>
      </c>
      <c r="D2378" s="17">
        <v>22991231</v>
      </c>
      <c r="E2378" s="25">
        <v>1478.57</v>
      </c>
    </row>
    <row r="2379" spans="1:5" x14ac:dyDescent="0.3">
      <c r="A2379" s="17" t="str">
        <f>"36680"</f>
        <v>36680</v>
      </c>
      <c r="B2379" s="5" t="s">
        <v>2535</v>
      </c>
      <c r="C2379" s="17">
        <v>20230101</v>
      </c>
      <c r="D2379" s="17">
        <v>22991231</v>
      </c>
      <c r="E2379" s="25">
        <v>0</v>
      </c>
    </row>
    <row r="2380" spans="1:5" ht="26" x14ac:dyDescent="0.3">
      <c r="A2380" s="17" t="str">
        <f>"36800"</f>
        <v>36800</v>
      </c>
      <c r="B2380" s="5" t="s">
        <v>2536</v>
      </c>
      <c r="C2380" s="17">
        <v>19900101</v>
      </c>
      <c r="D2380" s="17">
        <v>22991231</v>
      </c>
      <c r="E2380" s="25">
        <v>2772.9</v>
      </c>
    </row>
    <row r="2381" spans="1:5" ht="26" x14ac:dyDescent="0.3">
      <c r="A2381" s="17" t="str">
        <f>"36810"</f>
        <v>36810</v>
      </c>
      <c r="B2381" s="5" t="s">
        <v>2537</v>
      </c>
      <c r="C2381" s="17">
        <v>19900101</v>
      </c>
      <c r="D2381" s="17">
        <v>22991231</v>
      </c>
      <c r="E2381" s="25">
        <v>1870.28</v>
      </c>
    </row>
    <row r="2382" spans="1:5" ht="26" x14ac:dyDescent="0.3">
      <c r="A2382" s="17" t="str">
        <f>"36815"</f>
        <v>36815</v>
      </c>
      <c r="B2382" s="5" t="s">
        <v>2538</v>
      </c>
      <c r="C2382" s="17">
        <v>19900101</v>
      </c>
      <c r="D2382" s="17">
        <v>22991231</v>
      </c>
      <c r="E2382" s="25">
        <v>2772.9</v>
      </c>
    </row>
    <row r="2383" spans="1:5" ht="26" x14ac:dyDescent="0.3">
      <c r="A2383" s="17" t="str">
        <f>"36818"</f>
        <v>36818</v>
      </c>
      <c r="B2383" s="5" t="s">
        <v>2539</v>
      </c>
      <c r="C2383" s="17">
        <v>20070101</v>
      </c>
      <c r="D2383" s="17">
        <v>22991231</v>
      </c>
      <c r="E2383" s="25">
        <v>2772.9</v>
      </c>
    </row>
    <row r="2384" spans="1:5" ht="26" x14ac:dyDescent="0.3">
      <c r="A2384" s="17" t="str">
        <f>"36819"</f>
        <v>36819</v>
      </c>
      <c r="B2384" s="5" t="s">
        <v>2540</v>
      </c>
      <c r="C2384" s="17">
        <v>20000101</v>
      </c>
      <c r="D2384" s="17">
        <v>22991231</v>
      </c>
      <c r="E2384" s="25">
        <v>2772.9</v>
      </c>
    </row>
    <row r="2385" spans="1:5" ht="26" x14ac:dyDescent="0.3">
      <c r="A2385" s="17" t="str">
        <f>"36820"</f>
        <v>36820</v>
      </c>
      <c r="B2385" s="5" t="s">
        <v>2541</v>
      </c>
      <c r="C2385" s="17">
        <v>20030401</v>
      </c>
      <c r="D2385" s="17">
        <v>22991231</v>
      </c>
      <c r="E2385" s="25">
        <v>2772.9</v>
      </c>
    </row>
    <row r="2386" spans="1:5" ht="26" x14ac:dyDescent="0.3">
      <c r="A2386" s="17" t="str">
        <f>"36821"</f>
        <v>36821</v>
      </c>
      <c r="B2386" s="5" t="s">
        <v>2542</v>
      </c>
      <c r="C2386" s="17">
        <v>19900101</v>
      </c>
      <c r="D2386" s="17">
        <v>22991231</v>
      </c>
      <c r="E2386" s="25">
        <v>1478.57</v>
      </c>
    </row>
    <row r="2387" spans="1:5" ht="26" x14ac:dyDescent="0.3">
      <c r="A2387" s="17" t="str">
        <f>"36825"</f>
        <v>36825</v>
      </c>
      <c r="B2387" s="5" t="s">
        <v>2543</v>
      </c>
      <c r="C2387" s="17">
        <v>19900101</v>
      </c>
      <c r="D2387" s="17">
        <v>22991231</v>
      </c>
      <c r="E2387" s="25">
        <v>2772.9</v>
      </c>
    </row>
    <row r="2388" spans="1:5" ht="26" x14ac:dyDescent="0.3">
      <c r="A2388" s="17" t="str">
        <f>"36830"</f>
        <v>36830</v>
      </c>
      <c r="B2388" s="5" t="s">
        <v>2544</v>
      </c>
      <c r="C2388" s="17">
        <v>19900101</v>
      </c>
      <c r="D2388" s="17">
        <v>22991231</v>
      </c>
      <c r="E2388" s="25">
        <v>2772.9</v>
      </c>
    </row>
    <row r="2389" spans="1:5" x14ac:dyDescent="0.3">
      <c r="A2389" s="17" t="str">
        <f>"36831"</f>
        <v>36831</v>
      </c>
      <c r="B2389" s="5" t="s">
        <v>2545</v>
      </c>
      <c r="C2389" s="17">
        <v>19990101</v>
      </c>
      <c r="D2389" s="17">
        <v>22991231</v>
      </c>
      <c r="E2389" s="25">
        <v>2772.9</v>
      </c>
    </row>
    <row r="2390" spans="1:5" x14ac:dyDescent="0.3">
      <c r="A2390" s="17" t="str">
        <f>"36832"</f>
        <v>36832</v>
      </c>
      <c r="B2390" s="5" t="s">
        <v>2546</v>
      </c>
      <c r="C2390" s="17">
        <v>19970801</v>
      </c>
      <c r="D2390" s="17">
        <v>22991231</v>
      </c>
      <c r="E2390" s="25">
        <v>2772.9</v>
      </c>
    </row>
    <row r="2391" spans="1:5" ht="26" x14ac:dyDescent="0.3">
      <c r="A2391" s="17" t="str">
        <f>"36833"</f>
        <v>36833</v>
      </c>
      <c r="B2391" s="5" t="s">
        <v>2547</v>
      </c>
      <c r="C2391" s="17">
        <v>19990101</v>
      </c>
      <c r="D2391" s="17">
        <v>22991231</v>
      </c>
      <c r="E2391" s="25">
        <v>2772.9</v>
      </c>
    </row>
    <row r="2392" spans="1:5" x14ac:dyDescent="0.3">
      <c r="A2392" s="17" t="str">
        <f>"36835"</f>
        <v>36835</v>
      </c>
      <c r="B2392" s="5" t="s">
        <v>2548</v>
      </c>
      <c r="C2392" s="17">
        <v>19900101</v>
      </c>
      <c r="D2392" s="17">
        <v>22991231</v>
      </c>
      <c r="E2392" s="25">
        <v>2098.91</v>
      </c>
    </row>
    <row r="2393" spans="1:5" ht="26" x14ac:dyDescent="0.3">
      <c r="A2393" s="17" t="str">
        <f>"36836"</f>
        <v>36836</v>
      </c>
      <c r="B2393" s="5" t="s">
        <v>2549</v>
      </c>
      <c r="C2393" s="17">
        <v>20230101</v>
      </c>
      <c r="D2393" s="17">
        <v>22991231</v>
      </c>
      <c r="E2393" s="25">
        <v>9973.0499999999993</v>
      </c>
    </row>
    <row r="2394" spans="1:5" ht="26" x14ac:dyDescent="0.3">
      <c r="A2394" s="17" t="str">
        <f>"36837"</f>
        <v>36837</v>
      </c>
      <c r="B2394" s="5" t="s">
        <v>2550</v>
      </c>
      <c r="C2394" s="17">
        <v>20230101</v>
      </c>
      <c r="D2394" s="17">
        <v>22991231</v>
      </c>
      <c r="E2394" s="25">
        <v>10960.61</v>
      </c>
    </row>
    <row r="2395" spans="1:5" ht="26" x14ac:dyDescent="0.3">
      <c r="A2395" s="17" t="str">
        <f>"36860"</f>
        <v>36860</v>
      </c>
      <c r="B2395" s="5" t="s">
        <v>2551</v>
      </c>
      <c r="C2395" s="17">
        <v>19900101</v>
      </c>
      <c r="D2395" s="17">
        <v>22991231</v>
      </c>
      <c r="E2395" s="25">
        <v>591.41</v>
      </c>
    </row>
    <row r="2396" spans="1:5" ht="26" x14ac:dyDescent="0.3">
      <c r="A2396" s="17" t="str">
        <f>"36861"</f>
        <v>36861</v>
      </c>
      <c r="B2396" s="5" t="s">
        <v>2552</v>
      </c>
      <c r="C2396" s="17">
        <v>19900101</v>
      </c>
      <c r="D2396" s="17">
        <v>22991231</v>
      </c>
      <c r="E2396" s="25">
        <v>3896.12</v>
      </c>
    </row>
    <row r="2397" spans="1:5" ht="26" x14ac:dyDescent="0.3">
      <c r="A2397" s="17" t="str">
        <f>"36901"</f>
        <v>36901</v>
      </c>
      <c r="B2397" s="5" t="s">
        <v>2553</v>
      </c>
      <c r="C2397" s="17">
        <v>20170101</v>
      </c>
      <c r="D2397" s="17">
        <v>22991231</v>
      </c>
      <c r="E2397" s="25">
        <v>529.17999999999995</v>
      </c>
    </row>
    <row r="2398" spans="1:5" ht="39" x14ac:dyDescent="0.3">
      <c r="A2398" s="17" t="str">
        <f>"36902"</f>
        <v>36902</v>
      </c>
      <c r="B2398" s="5" t="s">
        <v>2554</v>
      </c>
      <c r="C2398" s="17">
        <v>20170101</v>
      </c>
      <c r="D2398" s="17">
        <v>22991231</v>
      </c>
      <c r="E2398" s="25">
        <v>2412.7800000000002</v>
      </c>
    </row>
    <row r="2399" spans="1:5" ht="39" x14ac:dyDescent="0.3">
      <c r="A2399" s="17" t="str">
        <f>"36903"</f>
        <v>36903</v>
      </c>
      <c r="B2399" s="5" t="s">
        <v>2555</v>
      </c>
      <c r="C2399" s="17">
        <v>20170101</v>
      </c>
      <c r="D2399" s="17">
        <v>22991231</v>
      </c>
      <c r="E2399" s="25">
        <v>6615.24</v>
      </c>
    </row>
    <row r="2400" spans="1:5" ht="39" x14ac:dyDescent="0.3">
      <c r="A2400" s="17" t="str">
        <f>"36904"</f>
        <v>36904</v>
      </c>
      <c r="B2400" s="5" t="s">
        <v>2556</v>
      </c>
      <c r="C2400" s="17">
        <v>20170101</v>
      </c>
      <c r="D2400" s="17">
        <v>22991231</v>
      </c>
      <c r="E2400" s="25">
        <v>3076.61</v>
      </c>
    </row>
    <row r="2401" spans="1:5" ht="52" x14ac:dyDescent="0.3">
      <c r="A2401" s="17" t="str">
        <f>"36905"</f>
        <v>36905</v>
      </c>
      <c r="B2401" s="5" t="s">
        <v>2557</v>
      </c>
      <c r="C2401" s="17">
        <v>20170101</v>
      </c>
      <c r="D2401" s="17">
        <v>22991231</v>
      </c>
      <c r="E2401" s="25">
        <v>5829.15</v>
      </c>
    </row>
    <row r="2402" spans="1:5" ht="52" x14ac:dyDescent="0.3">
      <c r="A2402" s="17" t="str">
        <f>"36906"</f>
        <v>36906</v>
      </c>
      <c r="B2402" s="5" t="s">
        <v>2558</v>
      </c>
      <c r="C2402" s="17">
        <v>20170101</v>
      </c>
      <c r="D2402" s="17">
        <v>22991231</v>
      </c>
      <c r="E2402" s="25">
        <v>10774.54</v>
      </c>
    </row>
    <row r="2403" spans="1:5" ht="26" x14ac:dyDescent="0.3">
      <c r="A2403" s="17" t="str">
        <f>"36907"</f>
        <v>36907</v>
      </c>
      <c r="B2403" s="5" t="s">
        <v>2559</v>
      </c>
      <c r="C2403" s="17">
        <v>20170101</v>
      </c>
      <c r="D2403" s="17">
        <v>22991231</v>
      </c>
      <c r="E2403" s="25">
        <v>0</v>
      </c>
    </row>
    <row r="2404" spans="1:5" ht="26" x14ac:dyDescent="0.3">
      <c r="A2404" s="17" t="str">
        <f>"36908"</f>
        <v>36908</v>
      </c>
      <c r="B2404" s="5" t="s">
        <v>2560</v>
      </c>
      <c r="C2404" s="17">
        <v>20170101</v>
      </c>
      <c r="D2404" s="17">
        <v>22991231</v>
      </c>
      <c r="E2404" s="25">
        <v>0</v>
      </c>
    </row>
    <row r="2405" spans="1:5" ht="26" x14ac:dyDescent="0.3">
      <c r="A2405" s="17" t="str">
        <f>"36909"</f>
        <v>36909</v>
      </c>
      <c r="B2405" s="5" t="s">
        <v>2561</v>
      </c>
      <c r="C2405" s="17">
        <v>20170101</v>
      </c>
      <c r="D2405" s="17">
        <v>22991231</v>
      </c>
      <c r="E2405" s="25">
        <v>0</v>
      </c>
    </row>
    <row r="2406" spans="1:5" ht="39" x14ac:dyDescent="0.3">
      <c r="A2406" s="17" t="str">
        <f>"37184"</f>
        <v>37184</v>
      </c>
      <c r="B2406" s="5" t="s">
        <v>2562</v>
      </c>
      <c r="C2406" s="17">
        <v>20230101</v>
      </c>
      <c r="D2406" s="17">
        <v>22991231</v>
      </c>
      <c r="E2406" s="25">
        <v>9656.84</v>
      </c>
    </row>
    <row r="2407" spans="1:5" ht="39" x14ac:dyDescent="0.3">
      <c r="A2407" s="17" t="str">
        <f>"37185"</f>
        <v>37185</v>
      </c>
      <c r="B2407" s="5" t="s">
        <v>2563</v>
      </c>
      <c r="C2407" s="17">
        <v>20230101</v>
      </c>
      <c r="D2407" s="17">
        <v>22991231</v>
      </c>
      <c r="E2407" s="25">
        <v>0</v>
      </c>
    </row>
    <row r="2408" spans="1:5" ht="39" x14ac:dyDescent="0.3">
      <c r="A2408" s="17" t="str">
        <f>"37186"</f>
        <v>37186</v>
      </c>
      <c r="B2408" s="5" t="s">
        <v>2564</v>
      </c>
      <c r="C2408" s="17">
        <v>20230101</v>
      </c>
      <c r="D2408" s="17">
        <v>22991231</v>
      </c>
      <c r="E2408" s="25">
        <v>0</v>
      </c>
    </row>
    <row r="2409" spans="1:5" ht="26" x14ac:dyDescent="0.3">
      <c r="A2409" s="17" t="str">
        <f>"37187"</f>
        <v>37187</v>
      </c>
      <c r="B2409" s="5" t="s">
        <v>2565</v>
      </c>
      <c r="C2409" s="17">
        <v>20230101</v>
      </c>
      <c r="D2409" s="17">
        <v>22991231</v>
      </c>
      <c r="E2409" s="25">
        <v>6937.95</v>
      </c>
    </row>
    <row r="2410" spans="1:5" ht="39" x14ac:dyDescent="0.3">
      <c r="A2410" s="17" t="str">
        <f>"37188"</f>
        <v>37188</v>
      </c>
      <c r="B2410" s="5" t="s">
        <v>2566</v>
      </c>
      <c r="C2410" s="17">
        <v>20230101</v>
      </c>
      <c r="D2410" s="17">
        <v>22991231</v>
      </c>
      <c r="E2410" s="25">
        <v>2450.66</v>
      </c>
    </row>
    <row r="2411" spans="1:5" ht="26" x14ac:dyDescent="0.3">
      <c r="A2411" s="17" t="str">
        <f>"37192"</f>
        <v>37192</v>
      </c>
      <c r="B2411" s="5" t="s">
        <v>2567</v>
      </c>
      <c r="C2411" s="17">
        <v>20240101</v>
      </c>
      <c r="D2411" s="17">
        <v>22991231</v>
      </c>
      <c r="E2411" s="25">
        <v>1851.72</v>
      </c>
    </row>
    <row r="2412" spans="1:5" ht="26" x14ac:dyDescent="0.3">
      <c r="A2412" s="17" t="str">
        <f>"37193"</f>
        <v>37193</v>
      </c>
      <c r="B2412" s="5" t="s">
        <v>2568</v>
      </c>
      <c r="C2412" s="17">
        <v>20230101</v>
      </c>
      <c r="D2412" s="17">
        <v>22991231</v>
      </c>
      <c r="E2412" s="25">
        <v>1478.57</v>
      </c>
    </row>
    <row r="2413" spans="1:5" x14ac:dyDescent="0.3">
      <c r="A2413" s="17" t="str">
        <f>"37195"</f>
        <v>37195</v>
      </c>
      <c r="B2413" s="5" t="s">
        <v>2569</v>
      </c>
      <c r="C2413" s="17">
        <v>19980101</v>
      </c>
      <c r="D2413" s="17">
        <v>22991231</v>
      </c>
      <c r="E2413" s="24" t="s">
        <v>7128</v>
      </c>
    </row>
    <row r="2414" spans="1:5" ht="26" x14ac:dyDescent="0.3">
      <c r="A2414" s="17" t="str">
        <f>"37197"</f>
        <v>37197</v>
      </c>
      <c r="B2414" s="5" t="s">
        <v>2570</v>
      </c>
      <c r="C2414" s="17">
        <v>20130101</v>
      </c>
      <c r="D2414" s="17">
        <v>22991231</v>
      </c>
      <c r="E2414" s="25">
        <v>1895.28</v>
      </c>
    </row>
    <row r="2415" spans="1:5" x14ac:dyDescent="0.3">
      <c r="A2415" s="17" t="str">
        <f>"37200"</f>
        <v>37200</v>
      </c>
      <c r="B2415" s="5" t="s">
        <v>2571</v>
      </c>
      <c r="C2415" s="17">
        <v>19920115</v>
      </c>
      <c r="D2415" s="17">
        <v>22991231</v>
      </c>
      <c r="E2415" s="25">
        <v>2772.9</v>
      </c>
    </row>
    <row r="2416" spans="1:5" ht="39" x14ac:dyDescent="0.3">
      <c r="A2416" s="17" t="str">
        <f>"37211"</f>
        <v>37211</v>
      </c>
      <c r="B2416" s="5" t="s">
        <v>2572</v>
      </c>
      <c r="C2416" s="17">
        <v>20130101</v>
      </c>
      <c r="D2416" s="17">
        <v>22991231</v>
      </c>
      <c r="E2416" s="25">
        <v>3492.16</v>
      </c>
    </row>
    <row r="2417" spans="1:5" ht="39" x14ac:dyDescent="0.3">
      <c r="A2417" s="17" t="str">
        <f>"37212"</f>
        <v>37212</v>
      </c>
      <c r="B2417" s="5" t="s">
        <v>2573</v>
      </c>
      <c r="C2417" s="17">
        <v>20130101</v>
      </c>
      <c r="D2417" s="17">
        <v>22991231</v>
      </c>
      <c r="E2417" s="25">
        <v>1875.1</v>
      </c>
    </row>
    <row r="2418" spans="1:5" x14ac:dyDescent="0.3">
      <c r="A2418" s="17" t="str">
        <f>"37220"</f>
        <v>37220</v>
      </c>
      <c r="B2418" s="5" t="s">
        <v>2574</v>
      </c>
      <c r="C2418" s="17">
        <v>20110101</v>
      </c>
      <c r="D2418" s="17">
        <v>22991231</v>
      </c>
      <c r="E2418" s="25">
        <v>3126.06</v>
      </c>
    </row>
    <row r="2419" spans="1:5" x14ac:dyDescent="0.3">
      <c r="A2419" s="17" t="str">
        <f>"37221"</f>
        <v>37221</v>
      </c>
      <c r="B2419" s="5" t="s">
        <v>2575</v>
      </c>
      <c r="C2419" s="17">
        <v>20110101</v>
      </c>
      <c r="D2419" s="17">
        <v>22991231</v>
      </c>
      <c r="E2419" s="25">
        <v>6463.75</v>
      </c>
    </row>
    <row r="2420" spans="1:5" ht="26" x14ac:dyDescent="0.3">
      <c r="A2420" s="17" t="str">
        <f>"37222"</f>
        <v>37222</v>
      </c>
      <c r="B2420" s="5" t="s">
        <v>2576</v>
      </c>
      <c r="C2420" s="17">
        <v>20110101</v>
      </c>
      <c r="D2420" s="17">
        <v>22991231</v>
      </c>
      <c r="E2420" s="25">
        <v>0</v>
      </c>
    </row>
    <row r="2421" spans="1:5" ht="26" x14ac:dyDescent="0.3">
      <c r="A2421" s="17" t="str">
        <f>"37223"</f>
        <v>37223</v>
      </c>
      <c r="B2421" s="5" t="s">
        <v>2577</v>
      </c>
      <c r="C2421" s="17">
        <v>20110101</v>
      </c>
      <c r="D2421" s="17">
        <v>22991231</v>
      </c>
      <c r="E2421" s="25">
        <v>0</v>
      </c>
    </row>
    <row r="2422" spans="1:5" x14ac:dyDescent="0.3">
      <c r="A2422" s="17" t="str">
        <f>"37224"</f>
        <v>37224</v>
      </c>
      <c r="B2422" s="5" t="s">
        <v>2578</v>
      </c>
      <c r="C2422" s="17">
        <v>20230101</v>
      </c>
      <c r="D2422" s="17">
        <v>22991231</v>
      </c>
      <c r="E2422" s="25">
        <v>3295.46</v>
      </c>
    </row>
    <row r="2423" spans="1:5" x14ac:dyDescent="0.3">
      <c r="A2423" s="17" t="str">
        <f>"37225"</f>
        <v>37225</v>
      </c>
      <c r="B2423" s="5" t="s">
        <v>2579</v>
      </c>
      <c r="C2423" s="17">
        <v>20230101</v>
      </c>
      <c r="D2423" s="17">
        <v>22991231</v>
      </c>
      <c r="E2423" s="25">
        <v>11162.41</v>
      </c>
    </row>
    <row r="2424" spans="1:5" x14ac:dyDescent="0.3">
      <c r="A2424" s="17" t="str">
        <f>"37226"</f>
        <v>37226</v>
      </c>
      <c r="B2424" s="5" t="s">
        <v>2580</v>
      </c>
      <c r="C2424" s="17">
        <v>20230101</v>
      </c>
      <c r="D2424" s="17">
        <v>22991231</v>
      </c>
      <c r="E2424" s="25">
        <v>6708.99</v>
      </c>
    </row>
    <row r="2425" spans="1:5" ht="26" x14ac:dyDescent="0.3">
      <c r="A2425" s="17" t="str">
        <f>"37227"</f>
        <v>37227</v>
      </c>
      <c r="B2425" s="5" t="s">
        <v>2581</v>
      </c>
      <c r="C2425" s="17">
        <v>20230101</v>
      </c>
      <c r="D2425" s="17">
        <v>22991231</v>
      </c>
      <c r="E2425" s="25">
        <v>11331.51</v>
      </c>
    </row>
    <row r="2426" spans="1:5" x14ac:dyDescent="0.3">
      <c r="A2426" s="17" t="str">
        <f>"37228"</f>
        <v>37228</v>
      </c>
      <c r="B2426" s="5" t="s">
        <v>2582</v>
      </c>
      <c r="C2426" s="17">
        <v>20230101</v>
      </c>
      <c r="D2426" s="17">
        <v>22991231</v>
      </c>
      <c r="E2426" s="25">
        <v>6045.72</v>
      </c>
    </row>
    <row r="2427" spans="1:5" x14ac:dyDescent="0.3">
      <c r="A2427" s="17" t="str">
        <f>"37229"</f>
        <v>37229</v>
      </c>
      <c r="B2427" s="5" t="s">
        <v>2583</v>
      </c>
      <c r="C2427" s="17">
        <v>20230101</v>
      </c>
      <c r="D2427" s="17">
        <v>22991231</v>
      </c>
      <c r="E2427" s="25">
        <v>10590.98</v>
      </c>
    </row>
    <row r="2428" spans="1:5" x14ac:dyDescent="0.3">
      <c r="A2428" s="17" t="str">
        <f>"37230"</f>
        <v>37230</v>
      </c>
      <c r="B2428" s="5" t="s">
        <v>2584</v>
      </c>
      <c r="C2428" s="17">
        <v>20230101</v>
      </c>
      <c r="D2428" s="17">
        <v>22991231</v>
      </c>
      <c r="E2428" s="25">
        <v>10247.129999999999</v>
      </c>
    </row>
    <row r="2429" spans="1:5" ht="26" x14ac:dyDescent="0.3">
      <c r="A2429" s="17" t="str">
        <f>"37231"</f>
        <v>37231</v>
      </c>
      <c r="B2429" s="5" t="s">
        <v>2585</v>
      </c>
      <c r="C2429" s="17">
        <v>20230101</v>
      </c>
      <c r="D2429" s="17">
        <v>22991231</v>
      </c>
      <c r="E2429" s="25">
        <v>11434.6</v>
      </c>
    </row>
    <row r="2430" spans="1:5" ht="26" x14ac:dyDescent="0.3">
      <c r="A2430" s="17" t="str">
        <f>"37232"</f>
        <v>37232</v>
      </c>
      <c r="B2430" s="5" t="s">
        <v>2586</v>
      </c>
      <c r="C2430" s="17">
        <v>20230101</v>
      </c>
      <c r="D2430" s="17">
        <v>22991231</v>
      </c>
      <c r="E2430" s="25">
        <v>0</v>
      </c>
    </row>
    <row r="2431" spans="1:5" ht="26" x14ac:dyDescent="0.3">
      <c r="A2431" s="17" t="str">
        <f>"37233"</f>
        <v>37233</v>
      </c>
      <c r="B2431" s="5" t="s">
        <v>2587</v>
      </c>
      <c r="C2431" s="17">
        <v>20230101</v>
      </c>
      <c r="D2431" s="17">
        <v>22991231</v>
      </c>
      <c r="E2431" s="25">
        <v>0</v>
      </c>
    </row>
    <row r="2432" spans="1:5" ht="26" x14ac:dyDescent="0.3">
      <c r="A2432" s="17" t="str">
        <f>"37234"</f>
        <v>37234</v>
      </c>
      <c r="B2432" s="5" t="s">
        <v>2588</v>
      </c>
      <c r="C2432" s="17">
        <v>20230101</v>
      </c>
      <c r="D2432" s="17">
        <v>22991231</v>
      </c>
      <c r="E2432" s="25">
        <v>0</v>
      </c>
    </row>
    <row r="2433" spans="1:5" ht="26" x14ac:dyDescent="0.3">
      <c r="A2433" s="17" t="str">
        <f>"37235"</f>
        <v>37235</v>
      </c>
      <c r="B2433" s="5" t="s">
        <v>2589</v>
      </c>
      <c r="C2433" s="17">
        <v>20230101</v>
      </c>
      <c r="D2433" s="17">
        <v>22991231</v>
      </c>
      <c r="E2433" s="25">
        <v>0</v>
      </c>
    </row>
    <row r="2434" spans="1:5" ht="39" x14ac:dyDescent="0.3">
      <c r="A2434" s="17" t="str">
        <f>"37236"</f>
        <v>37236</v>
      </c>
      <c r="B2434" s="5" t="s">
        <v>2590</v>
      </c>
      <c r="C2434" s="17">
        <v>20230101</v>
      </c>
      <c r="D2434" s="17">
        <v>22991231</v>
      </c>
      <c r="E2434" s="25">
        <v>6314.59</v>
      </c>
    </row>
    <row r="2435" spans="1:5" ht="39" x14ac:dyDescent="0.3">
      <c r="A2435" s="17" t="str">
        <f>"37237"</f>
        <v>37237</v>
      </c>
      <c r="B2435" s="5" t="s">
        <v>2591</v>
      </c>
      <c r="C2435" s="17">
        <v>20230101</v>
      </c>
      <c r="D2435" s="17">
        <v>22991231</v>
      </c>
      <c r="E2435" s="25">
        <v>0</v>
      </c>
    </row>
    <row r="2436" spans="1:5" ht="26" x14ac:dyDescent="0.3">
      <c r="A2436" s="17" t="str">
        <f>"37238"</f>
        <v>37238</v>
      </c>
      <c r="B2436" s="5" t="s">
        <v>2592</v>
      </c>
      <c r="C2436" s="17">
        <v>20230101</v>
      </c>
      <c r="D2436" s="17">
        <v>22991231</v>
      </c>
      <c r="E2436" s="25">
        <v>6394.79</v>
      </c>
    </row>
    <row r="2437" spans="1:5" ht="26" x14ac:dyDescent="0.3">
      <c r="A2437" s="17" t="str">
        <f>"37239"</f>
        <v>37239</v>
      </c>
      <c r="B2437" s="5" t="s">
        <v>2593</v>
      </c>
      <c r="C2437" s="17">
        <v>20230101</v>
      </c>
      <c r="D2437" s="17">
        <v>22991231</v>
      </c>
      <c r="E2437" s="25">
        <v>0</v>
      </c>
    </row>
    <row r="2438" spans="1:5" x14ac:dyDescent="0.3">
      <c r="A2438" s="17" t="str">
        <f>"37241"</f>
        <v>37241</v>
      </c>
      <c r="B2438" s="5" t="s">
        <v>2594</v>
      </c>
      <c r="C2438" s="17">
        <v>20230101</v>
      </c>
      <c r="D2438" s="17">
        <v>22991231</v>
      </c>
      <c r="E2438" s="25">
        <v>5831.08</v>
      </c>
    </row>
    <row r="2439" spans="1:5" x14ac:dyDescent="0.3">
      <c r="A2439" s="17" t="str">
        <f>"37242"</f>
        <v>37242</v>
      </c>
      <c r="B2439" s="5" t="s">
        <v>2595</v>
      </c>
      <c r="C2439" s="17">
        <v>20230101</v>
      </c>
      <c r="D2439" s="17">
        <v>22991231</v>
      </c>
      <c r="E2439" s="25">
        <v>10772.03</v>
      </c>
    </row>
    <row r="2440" spans="1:5" ht="26" x14ac:dyDescent="0.3">
      <c r="A2440" s="17" t="str">
        <f>"37243"</f>
        <v>37243</v>
      </c>
      <c r="B2440" s="5" t="s">
        <v>2596</v>
      </c>
      <c r="C2440" s="17">
        <v>20230101</v>
      </c>
      <c r="D2440" s="17">
        <v>22991231</v>
      </c>
      <c r="E2440" s="25">
        <v>4630.0600000000004</v>
      </c>
    </row>
    <row r="2441" spans="1:5" ht="26" x14ac:dyDescent="0.3">
      <c r="A2441" s="17" t="str">
        <f>"37246"</f>
        <v>37246</v>
      </c>
      <c r="B2441" s="5" t="s">
        <v>2597</v>
      </c>
      <c r="C2441" s="17">
        <v>20170101</v>
      </c>
      <c r="D2441" s="17">
        <v>22991231</v>
      </c>
      <c r="E2441" s="25">
        <v>3131.12</v>
      </c>
    </row>
    <row r="2442" spans="1:5" ht="26" x14ac:dyDescent="0.3">
      <c r="A2442" s="17" t="str">
        <f>"37247"</f>
        <v>37247</v>
      </c>
      <c r="B2442" s="5" t="s">
        <v>2598</v>
      </c>
      <c r="C2442" s="17">
        <v>20170101</v>
      </c>
      <c r="D2442" s="17">
        <v>22991231</v>
      </c>
      <c r="E2442" s="25">
        <v>0</v>
      </c>
    </row>
    <row r="2443" spans="1:5" ht="26" x14ac:dyDescent="0.3">
      <c r="A2443" s="17" t="str">
        <f>"37248"</f>
        <v>37248</v>
      </c>
      <c r="B2443" s="5" t="s">
        <v>2599</v>
      </c>
      <c r="C2443" s="17">
        <v>20170101</v>
      </c>
      <c r="D2443" s="17">
        <v>22991231</v>
      </c>
      <c r="E2443" s="25">
        <v>2412.7800000000002</v>
      </c>
    </row>
    <row r="2444" spans="1:5" ht="26" x14ac:dyDescent="0.3">
      <c r="A2444" s="17" t="str">
        <f>"37249"</f>
        <v>37249</v>
      </c>
      <c r="B2444" s="5" t="s">
        <v>2600</v>
      </c>
      <c r="C2444" s="17">
        <v>20170101</v>
      </c>
      <c r="D2444" s="17">
        <v>22991231</v>
      </c>
      <c r="E2444" s="25">
        <v>0</v>
      </c>
    </row>
    <row r="2445" spans="1:5" ht="26" x14ac:dyDescent="0.3">
      <c r="A2445" s="17" t="str">
        <f>"37252"</f>
        <v>37252</v>
      </c>
      <c r="B2445" s="5" t="s">
        <v>2601</v>
      </c>
      <c r="C2445" s="17">
        <v>20230101</v>
      </c>
      <c r="D2445" s="17">
        <v>22991231</v>
      </c>
      <c r="E2445" s="25">
        <v>0</v>
      </c>
    </row>
    <row r="2446" spans="1:5" ht="26" x14ac:dyDescent="0.3">
      <c r="A2446" s="17" t="str">
        <f>"37253"</f>
        <v>37253</v>
      </c>
      <c r="B2446" s="5" t="s">
        <v>2602</v>
      </c>
      <c r="C2446" s="17">
        <v>20230101</v>
      </c>
      <c r="D2446" s="17">
        <v>22991231</v>
      </c>
      <c r="E2446" s="25">
        <v>0</v>
      </c>
    </row>
    <row r="2447" spans="1:5" ht="26" x14ac:dyDescent="0.3">
      <c r="A2447" s="17" t="str">
        <f>"37500"</f>
        <v>37500</v>
      </c>
      <c r="B2447" s="5" t="s">
        <v>2603</v>
      </c>
      <c r="C2447" s="17">
        <v>20230101</v>
      </c>
      <c r="D2447" s="17">
        <v>22991231</v>
      </c>
      <c r="E2447" s="25">
        <v>2772.9</v>
      </c>
    </row>
    <row r="2448" spans="1:5" x14ac:dyDescent="0.3">
      <c r="A2448" s="17" t="str">
        <f>"37565"</f>
        <v>37565</v>
      </c>
      <c r="B2448" s="5" t="s">
        <v>2604</v>
      </c>
      <c r="C2448" s="17">
        <v>19900101</v>
      </c>
      <c r="D2448" s="17">
        <v>22991231</v>
      </c>
      <c r="E2448" s="24" t="s">
        <v>7128</v>
      </c>
    </row>
    <row r="2449" spans="1:5" x14ac:dyDescent="0.3">
      <c r="A2449" s="17" t="str">
        <f>"37600"</f>
        <v>37600</v>
      </c>
      <c r="B2449" s="5" t="s">
        <v>2605</v>
      </c>
      <c r="C2449" s="17">
        <v>19900101</v>
      </c>
      <c r="D2449" s="17">
        <v>22991231</v>
      </c>
      <c r="E2449" s="24" t="s">
        <v>7128</v>
      </c>
    </row>
    <row r="2450" spans="1:5" x14ac:dyDescent="0.3">
      <c r="A2450" s="17" t="str">
        <f>"37605"</f>
        <v>37605</v>
      </c>
      <c r="B2450" s="5" t="s">
        <v>2606</v>
      </c>
      <c r="C2450" s="17">
        <v>19900101</v>
      </c>
      <c r="D2450" s="17">
        <v>22991231</v>
      </c>
      <c r="E2450" s="24" t="s">
        <v>7128</v>
      </c>
    </row>
    <row r="2451" spans="1:5" x14ac:dyDescent="0.3">
      <c r="A2451" s="17" t="str">
        <f>"37606"</f>
        <v>37606</v>
      </c>
      <c r="B2451" s="5" t="s">
        <v>2607</v>
      </c>
      <c r="C2451" s="17">
        <v>19900101</v>
      </c>
      <c r="D2451" s="17">
        <v>22991231</v>
      </c>
      <c r="E2451" s="24" t="s">
        <v>7128</v>
      </c>
    </row>
    <row r="2452" spans="1:5" ht="26" x14ac:dyDescent="0.3">
      <c r="A2452" s="17" t="str">
        <f>"37607"</f>
        <v>37607</v>
      </c>
      <c r="B2452" s="5" t="s">
        <v>2608</v>
      </c>
      <c r="C2452" s="17">
        <v>19940101</v>
      </c>
      <c r="D2452" s="17">
        <v>22991231</v>
      </c>
      <c r="E2452" s="25">
        <v>1478.57</v>
      </c>
    </row>
    <row r="2453" spans="1:5" x14ac:dyDescent="0.3">
      <c r="A2453" s="17" t="str">
        <f>"37609"</f>
        <v>37609</v>
      </c>
      <c r="B2453" s="5" t="s">
        <v>2609</v>
      </c>
      <c r="C2453" s="17">
        <v>19900101</v>
      </c>
      <c r="D2453" s="17">
        <v>22991231</v>
      </c>
      <c r="E2453" s="25">
        <v>652.27</v>
      </c>
    </row>
    <row r="2454" spans="1:5" x14ac:dyDescent="0.3">
      <c r="A2454" s="17" t="str">
        <f>"37615"</f>
        <v>37615</v>
      </c>
      <c r="B2454" s="5" t="s">
        <v>2610</v>
      </c>
      <c r="C2454" s="17">
        <v>19900101</v>
      </c>
      <c r="D2454" s="17">
        <v>22991231</v>
      </c>
      <c r="E2454" s="24" t="s">
        <v>7128</v>
      </c>
    </row>
    <row r="2455" spans="1:5" x14ac:dyDescent="0.3">
      <c r="A2455" s="17" t="str">
        <f>"37650"</f>
        <v>37650</v>
      </c>
      <c r="B2455" s="5" t="s">
        <v>2611</v>
      </c>
      <c r="C2455" s="17">
        <v>19900101</v>
      </c>
      <c r="D2455" s="17">
        <v>22991231</v>
      </c>
      <c r="E2455" s="25">
        <v>1478.57</v>
      </c>
    </row>
    <row r="2456" spans="1:5" x14ac:dyDescent="0.3">
      <c r="A2456" s="17" t="str">
        <f>"37700"</f>
        <v>37700</v>
      </c>
      <c r="B2456" s="5" t="s">
        <v>2612</v>
      </c>
      <c r="C2456" s="17">
        <v>19900101</v>
      </c>
      <c r="D2456" s="17">
        <v>22991231</v>
      </c>
      <c r="E2456" s="25">
        <v>1478.57</v>
      </c>
    </row>
    <row r="2457" spans="1:5" x14ac:dyDescent="0.3">
      <c r="A2457" s="17" t="str">
        <f>"37718"</f>
        <v>37718</v>
      </c>
      <c r="B2457" s="5" t="s">
        <v>2613</v>
      </c>
      <c r="C2457" s="17">
        <v>20051001</v>
      </c>
      <c r="D2457" s="17">
        <v>22991231</v>
      </c>
      <c r="E2457" s="25">
        <v>1478.57</v>
      </c>
    </row>
    <row r="2458" spans="1:5" x14ac:dyDescent="0.3">
      <c r="A2458" s="17" t="str">
        <f>"37722"</f>
        <v>37722</v>
      </c>
      <c r="B2458" s="5" t="s">
        <v>2614</v>
      </c>
      <c r="C2458" s="17">
        <v>20051001</v>
      </c>
      <c r="D2458" s="17">
        <v>22991231</v>
      </c>
      <c r="E2458" s="25">
        <v>1478.57</v>
      </c>
    </row>
    <row r="2459" spans="1:5" ht="39" x14ac:dyDescent="0.3">
      <c r="A2459" s="17" t="str">
        <f>"37735"</f>
        <v>37735</v>
      </c>
      <c r="B2459" s="5" t="s">
        <v>2615</v>
      </c>
      <c r="C2459" s="17">
        <v>19900101</v>
      </c>
      <c r="D2459" s="17">
        <v>22991231</v>
      </c>
      <c r="E2459" s="25">
        <v>1478.57</v>
      </c>
    </row>
    <row r="2460" spans="1:5" ht="26" x14ac:dyDescent="0.3">
      <c r="A2460" s="17" t="str">
        <f>"37760"</f>
        <v>37760</v>
      </c>
      <c r="B2460" s="5" t="s">
        <v>2616</v>
      </c>
      <c r="C2460" s="17">
        <v>19900101</v>
      </c>
      <c r="D2460" s="17">
        <v>22991231</v>
      </c>
      <c r="E2460" s="25">
        <v>1478.57</v>
      </c>
    </row>
    <row r="2461" spans="1:5" ht="26" x14ac:dyDescent="0.3">
      <c r="A2461" s="17" t="str">
        <f>"37761"</f>
        <v>37761</v>
      </c>
      <c r="B2461" s="5" t="s">
        <v>2617</v>
      </c>
      <c r="C2461" s="17">
        <v>20100101</v>
      </c>
      <c r="D2461" s="17">
        <v>22991231</v>
      </c>
      <c r="E2461" s="25">
        <v>1478.57</v>
      </c>
    </row>
    <row r="2462" spans="1:5" ht="26" x14ac:dyDescent="0.3">
      <c r="A2462" s="17" t="str">
        <f>"37765"</f>
        <v>37765</v>
      </c>
      <c r="B2462" s="5" t="s">
        <v>2618</v>
      </c>
      <c r="C2462" s="17">
        <v>20200101</v>
      </c>
      <c r="D2462" s="17">
        <v>22991231</v>
      </c>
      <c r="E2462" s="25">
        <v>208.3</v>
      </c>
    </row>
    <row r="2463" spans="1:5" ht="26" x14ac:dyDescent="0.3">
      <c r="A2463" s="17" t="str">
        <f>"37766"</f>
        <v>37766</v>
      </c>
      <c r="B2463" s="5" t="s">
        <v>2619</v>
      </c>
      <c r="C2463" s="17">
        <v>20200101</v>
      </c>
      <c r="D2463" s="17">
        <v>22991231</v>
      </c>
      <c r="E2463" s="25">
        <v>231.75</v>
      </c>
    </row>
    <row r="2464" spans="1:5" x14ac:dyDescent="0.3">
      <c r="A2464" s="17" t="str">
        <f>"37780"</f>
        <v>37780</v>
      </c>
      <c r="B2464" s="5" t="s">
        <v>2620</v>
      </c>
      <c r="C2464" s="17">
        <v>19900101</v>
      </c>
      <c r="D2464" s="17">
        <v>22991231</v>
      </c>
      <c r="E2464" s="25">
        <v>1478.57</v>
      </c>
    </row>
    <row r="2465" spans="1:5" ht="26" x14ac:dyDescent="0.3">
      <c r="A2465" s="17" t="str">
        <f>"37785"</f>
        <v>37785</v>
      </c>
      <c r="B2465" s="5" t="s">
        <v>2621</v>
      </c>
      <c r="C2465" s="17">
        <v>19900101</v>
      </c>
      <c r="D2465" s="17">
        <v>22991231</v>
      </c>
      <c r="E2465" s="25">
        <v>1478.57</v>
      </c>
    </row>
    <row r="2466" spans="1:5" x14ac:dyDescent="0.3">
      <c r="A2466" s="17" t="str">
        <f>"37790"</f>
        <v>37790</v>
      </c>
      <c r="B2466" s="5" t="s">
        <v>2622</v>
      </c>
      <c r="C2466" s="17">
        <v>19940101</v>
      </c>
      <c r="D2466" s="17">
        <v>22991231</v>
      </c>
      <c r="E2466" s="25">
        <v>1553.18</v>
      </c>
    </row>
    <row r="2467" spans="1:5" x14ac:dyDescent="0.3">
      <c r="A2467" s="17" t="str">
        <f>"37799"</f>
        <v>37799</v>
      </c>
      <c r="B2467" s="5" t="s">
        <v>2623</v>
      </c>
      <c r="C2467" s="17">
        <v>19900101</v>
      </c>
      <c r="D2467" s="17">
        <v>22991231</v>
      </c>
      <c r="E2467" s="24" t="s">
        <v>7128</v>
      </c>
    </row>
    <row r="2468" spans="1:5" x14ac:dyDescent="0.3">
      <c r="A2468" s="17" t="str">
        <f>"38120"</f>
        <v>38120</v>
      </c>
      <c r="B2468" s="5" t="s">
        <v>2624</v>
      </c>
      <c r="C2468" s="17">
        <v>20000101</v>
      </c>
      <c r="D2468" s="17">
        <v>22991231</v>
      </c>
      <c r="E2468" s="24" t="s">
        <v>7128</v>
      </c>
    </row>
    <row r="2469" spans="1:5" x14ac:dyDescent="0.3">
      <c r="A2469" s="17" t="str">
        <f>"38200"</f>
        <v>38200</v>
      </c>
      <c r="B2469" s="5" t="s">
        <v>2625</v>
      </c>
      <c r="C2469" s="17">
        <v>19900101</v>
      </c>
      <c r="D2469" s="17">
        <v>22991231</v>
      </c>
      <c r="E2469" s="25">
        <v>0</v>
      </c>
    </row>
    <row r="2470" spans="1:5" x14ac:dyDescent="0.3">
      <c r="A2470" s="17" t="str">
        <f>"38204"</f>
        <v>38204</v>
      </c>
      <c r="B2470" s="5" t="s">
        <v>2626</v>
      </c>
      <c r="C2470" s="17">
        <v>20230101</v>
      </c>
      <c r="D2470" s="17">
        <v>22991231</v>
      </c>
      <c r="E2470" s="25">
        <v>0</v>
      </c>
    </row>
    <row r="2471" spans="1:5" x14ac:dyDescent="0.3">
      <c r="A2471" s="17" t="str">
        <f>"38206"</f>
        <v>38206</v>
      </c>
      <c r="B2471" s="5" t="s">
        <v>2627</v>
      </c>
      <c r="C2471" s="17">
        <v>20230101</v>
      </c>
      <c r="D2471" s="17">
        <v>22991231</v>
      </c>
      <c r="E2471" s="25">
        <v>760.21</v>
      </c>
    </row>
    <row r="2472" spans="1:5" x14ac:dyDescent="0.3">
      <c r="A2472" s="17" t="str">
        <f>"38220"</f>
        <v>38220</v>
      </c>
      <c r="B2472" s="5" t="s">
        <v>2628</v>
      </c>
      <c r="C2472" s="17">
        <v>20230101</v>
      </c>
      <c r="D2472" s="17">
        <v>22991231</v>
      </c>
      <c r="E2472" s="25">
        <v>106.97</v>
      </c>
    </row>
    <row r="2473" spans="1:5" x14ac:dyDescent="0.3">
      <c r="A2473" s="17" t="str">
        <f>"38221"</f>
        <v>38221</v>
      </c>
      <c r="B2473" s="5" t="s">
        <v>2629</v>
      </c>
      <c r="C2473" s="17">
        <v>20230101</v>
      </c>
      <c r="D2473" s="17">
        <v>22991231</v>
      </c>
      <c r="E2473" s="25">
        <v>109.46</v>
      </c>
    </row>
    <row r="2474" spans="1:5" ht="26" x14ac:dyDescent="0.3">
      <c r="A2474" s="17" t="str">
        <f>"38222"</f>
        <v>38222</v>
      </c>
      <c r="B2474" s="5" t="s">
        <v>2630</v>
      </c>
      <c r="C2474" s="17">
        <v>20180101</v>
      </c>
      <c r="D2474" s="17">
        <v>22991231</v>
      </c>
      <c r="E2474" s="25">
        <v>1105.24</v>
      </c>
    </row>
    <row r="2475" spans="1:5" ht="26" x14ac:dyDescent="0.3">
      <c r="A2475" s="17" t="str">
        <f>"38230"</f>
        <v>38230</v>
      </c>
      <c r="B2475" s="5" t="s">
        <v>2631</v>
      </c>
      <c r="C2475" s="17">
        <v>19900101</v>
      </c>
      <c r="D2475" s="17">
        <v>22991231</v>
      </c>
      <c r="E2475" s="25">
        <v>760.21</v>
      </c>
    </row>
    <row r="2476" spans="1:5" ht="26" x14ac:dyDescent="0.3">
      <c r="A2476" s="17" t="str">
        <f>"38232"</f>
        <v>38232</v>
      </c>
      <c r="B2476" s="5" t="s">
        <v>2632</v>
      </c>
      <c r="C2476" s="17">
        <v>20120101</v>
      </c>
      <c r="D2476" s="17">
        <v>22991231</v>
      </c>
      <c r="E2476" s="25">
        <v>2292.94</v>
      </c>
    </row>
    <row r="2477" spans="1:5" x14ac:dyDescent="0.3">
      <c r="A2477" s="17" t="str">
        <f>"38240"</f>
        <v>38240</v>
      </c>
      <c r="B2477" s="5" t="s">
        <v>2633</v>
      </c>
      <c r="C2477" s="17">
        <v>19900101</v>
      </c>
      <c r="D2477" s="17">
        <v>22991231</v>
      </c>
      <c r="E2477" s="24" t="s">
        <v>7128</v>
      </c>
    </row>
    <row r="2478" spans="1:5" x14ac:dyDescent="0.3">
      <c r="A2478" s="17" t="str">
        <f>"38241"</f>
        <v>38241</v>
      </c>
      <c r="B2478" s="5" t="s">
        <v>2634</v>
      </c>
      <c r="C2478" s="17">
        <v>19920115</v>
      </c>
      <c r="D2478" s="17">
        <v>22991231</v>
      </c>
      <c r="E2478" s="25">
        <v>760.21</v>
      </c>
    </row>
    <row r="2479" spans="1:5" x14ac:dyDescent="0.3">
      <c r="A2479" s="17" t="str">
        <f>"38242"</f>
        <v>38242</v>
      </c>
      <c r="B2479" s="5" t="s">
        <v>2635</v>
      </c>
      <c r="C2479" s="17">
        <v>20230101</v>
      </c>
      <c r="D2479" s="17">
        <v>22991231</v>
      </c>
      <c r="E2479" s="25">
        <v>760.21</v>
      </c>
    </row>
    <row r="2480" spans="1:5" x14ac:dyDescent="0.3">
      <c r="A2480" s="17" t="str">
        <f>"38243"</f>
        <v>38243</v>
      </c>
      <c r="B2480" s="5" t="s">
        <v>2636</v>
      </c>
      <c r="C2480" s="17">
        <v>20130101</v>
      </c>
      <c r="D2480" s="17">
        <v>22991231</v>
      </c>
      <c r="E2480" s="25">
        <v>760.21</v>
      </c>
    </row>
    <row r="2481" spans="1:5" ht="26" x14ac:dyDescent="0.3">
      <c r="A2481" s="17" t="str">
        <f>"38300"</f>
        <v>38300</v>
      </c>
      <c r="B2481" s="5" t="s">
        <v>2637</v>
      </c>
      <c r="C2481" s="17">
        <v>19900101</v>
      </c>
      <c r="D2481" s="17">
        <v>22991231</v>
      </c>
      <c r="E2481" s="25">
        <v>1105.24</v>
      </c>
    </row>
    <row r="2482" spans="1:5" ht="26" x14ac:dyDescent="0.3">
      <c r="A2482" s="17" t="str">
        <f>"38305"</f>
        <v>38305</v>
      </c>
      <c r="B2482" s="5" t="s">
        <v>2638</v>
      </c>
      <c r="C2482" s="17">
        <v>19900101</v>
      </c>
      <c r="D2482" s="17">
        <v>22991231</v>
      </c>
      <c r="E2482" s="25">
        <v>1105.24</v>
      </c>
    </row>
    <row r="2483" spans="1:5" ht="26" x14ac:dyDescent="0.3">
      <c r="A2483" s="17" t="str">
        <f>"38308"</f>
        <v>38308</v>
      </c>
      <c r="B2483" s="5" t="s">
        <v>2639</v>
      </c>
      <c r="C2483" s="17">
        <v>19900101</v>
      </c>
      <c r="D2483" s="17">
        <v>22991231</v>
      </c>
      <c r="E2483" s="25">
        <v>1403.55</v>
      </c>
    </row>
    <row r="2484" spans="1:5" x14ac:dyDescent="0.3">
      <c r="A2484" s="17" t="str">
        <f>"38500"</f>
        <v>38500</v>
      </c>
      <c r="B2484" s="5" t="s">
        <v>2640</v>
      </c>
      <c r="C2484" s="17">
        <v>19900101</v>
      </c>
      <c r="D2484" s="17">
        <v>22991231</v>
      </c>
      <c r="E2484" s="25">
        <v>1403.55</v>
      </c>
    </row>
    <row r="2485" spans="1:5" ht="26" x14ac:dyDescent="0.3">
      <c r="A2485" s="17" t="str">
        <f>"38505"</f>
        <v>38505</v>
      </c>
      <c r="B2485" s="5" t="s">
        <v>2641</v>
      </c>
      <c r="C2485" s="17">
        <v>19900101</v>
      </c>
      <c r="D2485" s="17">
        <v>22991231</v>
      </c>
      <c r="E2485" s="25">
        <v>652.27</v>
      </c>
    </row>
    <row r="2486" spans="1:5" x14ac:dyDescent="0.3">
      <c r="A2486" s="17" t="str">
        <f>"38510"</f>
        <v>38510</v>
      </c>
      <c r="B2486" s="5" t="s">
        <v>2642</v>
      </c>
      <c r="C2486" s="17">
        <v>19900101</v>
      </c>
      <c r="D2486" s="17">
        <v>22991231</v>
      </c>
      <c r="E2486" s="25">
        <v>1403.55</v>
      </c>
    </row>
    <row r="2487" spans="1:5" ht="26" x14ac:dyDescent="0.3">
      <c r="A2487" s="17" t="str">
        <f>"38520"</f>
        <v>38520</v>
      </c>
      <c r="B2487" s="5" t="s">
        <v>2643</v>
      </c>
      <c r="C2487" s="17">
        <v>19900101</v>
      </c>
      <c r="D2487" s="17">
        <v>22991231</v>
      </c>
      <c r="E2487" s="25">
        <v>1403.55</v>
      </c>
    </row>
    <row r="2488" spans="1:5" ht="26" x14ac:dyDescent="0.3">
      <c r="A2488" s="17" t="str">
        <f>"38525"</f>
        <v>38525</v>
      </c>
      <c r="B2488" s="5" t="s">
        <v>2644</v>
      </c>
      <c r="C2488" s="17">
        <v>19900101</v>
      </c>
      <c r="D2488" s="17">
        <v>22991231</v>
      </c>
      <c r="E2488" s="25">
        <v>1403.55</v>
      </c>
    </row>
    <row r="2489" spans="1:5" x14ac:dyDescent="0.3">
      <c r="A2489" s="17" t="str">
        <f>"38530"</f>
        <v>38530</v>
      </c>
      <c r="B2489" s="5" t="s">
        <v>2645</v>
      </c>
      <c r="C2489" s="17">
        <v>19900101</v>
      </c>
      <c r="D2489" s="17">
        <v>22991231</v>
      </c>
      <c r="E2489" s="25">
        <v>1403.55</v>
      </c>
    </row>
    <row r="2490" spans="1:5" x14ac:dyDescent="0.3">
      <c r="A2490" s="17" t="str">
        <f>"38531"</f>
        <v>38531</v>
      </c>
      <c r="B2490" s="5" t="s">
        <v>2646</v>
      </c>
      <c r="C2490" s="17">
        <v>20230101</v>
      </c>
      <c r="D2490" s="17">
        <v>22991231</v>
      </c>
      <c r="E2490" s="25">
        <v>1403.55</v>
      </c>
    </row>
    <row r="2491" spans="1:5" x14ac:dyDescent="0.3">
      <c r="A2491" s="17" t="str">
        <f>"38542"</f>
        <v>38542</v>
      </c>
      <c r="B2491" s="5" t="s">
        <v>2647</v>
      </c>
      <c r="C2491" s="17">
        <v>19900101</v>
      </c>
      <c r="D2491" s="17">
        <v>22991231</v>
      </c>
      <c r="E2491" s="25">
        <v>2584.12</v>
      </c>
    </row>
    <row r="2492" spans="1:5" ht="26" x14ac:dyDescent="0.3">
      <c r="A2492" s="17" t="str">
        <f>"38550"</f>
        <v>38550</v>
      </c>
      <c r="B2492" s="5" t="s">
        <v>2648</v>
      </c>
      <c r="C2492" s="17">
        <v>19900101</v>
      </c>
      <c r="D2492" s="17">
        <v>22991231</v>
      </c>
      <c r="E2492" s="25">
        <v>1403.55</v>
      </c>
    </row>
    <row r="2493" spans="1:5" ht="39" x14ac:dyDescent="0.3">
      <c r="A2493" s="17" t="str">
        <f>"38555"</f>
        <v>38555</v>
      </c>
      <c r="B2493" s="5" t="s">
        <v>2649</v>
      </c>
      <c r="C2493" s="17">
        <v>19900101</v>
      </c>
      <c r="D2493" s="17">
        <v>22991231</v>
      </c>
      <c r="E2493" s="25">
        <v>2422.23</v>
      </c>
    </row>
    <row r="2494" spans="1:5" ht="26" x14ac:dyDescent="0.3">
      <c r="A2494" s="17" t="str">
        <f>"38570"</f>
        <v>38570</v>
      </c>
      <c r="B2494" s="5" t="s">
        <v>2650</v>
      </c>
      <c r="C2494" s="17">
        <v>20000101</v>
      </c>
      <c r="D2494" s="17">
        <v>22991231</v>
      </c>
      <c r="E2494" s="25">
        <v>2584.12</v>
      </c>
    </row>
    <row r="2495" spans="1:5" ht="26" x14ac:dyDescent="0.3">
      <c r="A2495" s="17" t="str">
        <f>"38571"</f>
        <v>38571</v>
      </c>
      <c r="B2495" s="5" t="s">
        <v>2651</v>
      </c>
      <c r="C2495" s="17">
        <v>20000101</v>
      </c>
      <c r="D2495" s="17">
        <v>22991231</v>
      </c>
      <c r="E2495" s="25">
        <v>4336.99</v>
      </c>
    </row>
    <row r="2496" spans="1:5" ht="39" x14ac:dyDescent="0.3">
      <c r="A2496" s="17" t="str">
        <f>"38572"</f>
        <v>38572</v>
      </c>
      <c r="B2496" s="5" t="s">
        <v>2652</v>
      </c>
      <c r="C2496" s="17">
        <v>20000101</v>
      </c>
      <c r="D2496" s="17">
        <v>22991231</v>
      </c>
      <c r="E2496" s="25">
        <v>4336.99</v>
      </c>
    </row>
    <row r="2497" spans="1:5" ht="39" x14ac:dyDescent="0.3">
      <c r="A2497" s="17" t="str">
        <f>"38573"</f>
        <v>38573</v>
      </c>
      <c r="B2497" s="5" t="s">
        <v>2653</v>
      </c>
      <c r="C2497" s="17">
        <v>20180101</v>
      </c>
      <c r="D2497" s="17">
        <v>22991231</v>
      </c>
      <c r="E2497" s="25">
        <v>4336.99</v>
      </c>
    </row>
    <row r="2498" spans="1:5" ht="26" x14ac:dyDescent="0.3">
      <c r="A2498" s="17" t="str">
        <f>"38700"</f>
        <v>38700</v>
      </c>
      <c r="B2498" s="5" t="s">
        <v>2654</v>
      </c>
      <c r="C2498" s="17">
        <v>19900101</v>
      </c>
      <c r="D2498" s="17">
        <v>22991231</v>
      </c>
      <c r="E2498" s="25">
        <v>2422.23</v>
      </c>
    </row>
    <row r="2499" spans="1:5" x14ac:dyDescent="0.3">
      <c r="A2499" s="17" t="str">
        <f>"38720"</f>
        <v>38720</v>
      </c>
      <c r="B2499" s="5" t="s">
        <v>2655</v>
      </c>
      <c r="C2499" s="17">
        <v>19900101</v>
      </c>
      <c r="D2499" s="17">
        <v>22991231</v>
      </c>
      <c r="E2499" s="24" t="s">
        <v>7128</v>
      </c>
    </row>
    <row r="2500" spans="1:5" ht="26" x14ac:dyDescent="0.3">
      <c r="A2500" s="17" t="str">
        <f>"38724"</f>
        <v>38724</v>
      </c>
      <c r="B2500" s="5" t="s">
        <v>2656</v>
      </c>
      <c r="C2500" s="17">
        <v>19900101</v>
      </c>
      <c r="D2500" s="17">
        <v>22991231</v>
      </c>
      <c r="E2500" s="24" t="s">
        <v>7128</v>
      </c>
    </row>
    <row r="2501" spans="1:5" x14ac:dyDescent="0.3">
      <c r="A2501" s="17" t="str">
        <f>"38740"</f>
        <v>38740</v>
      </c>
      <c r="B2501" s="5" t="s">
        <v>2657</v>
      </c>
      <c r="C2501" s="17">
        <v>19900101</v>
      </c>
      <c r="D2501" s="17">
        <v>22991231</v>
      </c>
      <c r="E2501" s="25">
        <v>2584.12</v>
      </c>
    </row>
    <row r="2502" spans="1:5" x14ac:dyDescent="0.3">
      <c r="A2502" s="17" t="str">
        <f>"38745"</f>
        <v>38745</v>
      </c>
      <c r="B2502" s="5" t="s">
        <v>2658</v>
      </c>
      <c r="C2502" s="17">
        <v>19900101</v>
      </c>
      <c r="D2502" s="17">
        <v>22991231</v>
      </c>
      <c r="E2502" s="25">
        <v>2584.12</v>
      </c>
    </row>
    <row r="2503" spans="1:5" x14ac:dyDescent="0.3">
      <c r="A2503" s="17" t="str">
        <f>"38760"</f>
        <v>38760</v>
      </c>
      <c r="B2503" s="5" t="s">
        <v>2659</v>
      </c>
      <c r="C2503" s="17">
        <v>19900101</v>
      </c>
      <c r="D2503" s="17">
        <v>22991231</v>
      </c>
      <c r="E2503" s="25">
        <v>2422.23</v>
      </c>
    </row>
    <row r="2504" spans="1:5" ht="26" x14ac:dyDescent="0.3">
      <c r="A2504" s="17" t="str">
        <f>"38790"</f>
        <v>38790</v>
      </c>
      <c r="B2504" s="5" t="s">
        <v>2660</v>
      </c>
      <c r="C2504" s="17">
        <v>19900101</v>
      </c>
      <c r="D2504" s="17">
        <v>22991231</v>
      </c>
      <c r="E2504" s="25">
        <v>0</v>
      </c>
    </row>
    <row r="2505" spans="1:5" ht="26" x14ac:dyDescent="0.3">
      <c r="A2505" s="17" t="str">
        <f>"38792"</f>
        <v>38792</v>
      </c>
      <c r="B2505" s="5" t="s">
        <v>2661</v>
      </c>
      <c r="C2505" s="17">
        <v>19990101</v>
      </c>
      <c r="D2505" s="17">
        <v>22991231</v>
      </c>
      <c r="E2505" s="25">
        <v>0</v>
      </c>
    </row>
    <row r="2506" spans="1:5" x14ac:dyDescent="0.3">
      <c r="A2506" s="17" t="str">
        <f>"38794"</f>
        <v>38794</v>
      </c>
      <c r="B2506" s="5" t="s">
        <v>2662</v>
      </c>
      <c r="C2506" s="17">
        <v>19900101</v>
      </c>
      <c r="D2506" s="17">
        <v>22991231</v>
      </c>
      <c r="E2506" s="25">
        <v>0</v>
      </c>
    </row>
    <row r="2507" spans="1:5" x14ac:dyDescent="0.3">
      <c r="A2507" s="17" t="str">
        <f>"38900"</f>
        <v>38900</v>
      </c>
      <c r="B2507" s="5" t="s">
        <v>2663</v>
      </c>
      <c r="C2507" s="17">
        <v>20110101</v>
      </c>
      <c r="D2507" s="17">
        <v>22991231</v>
      </c>
      <c r="E2507" s="25">
        <v>0</v>
      </c>
    </row>
    <row r="2508" spans="1:5" x14ac:dyDescent="0.3">
      <c r="A2508" s="17" t="str">
        <f>"40490"</f>
        <v>40490</v>
      </c>
      <c r="B2508" s="5" t="s">
        <v>2664</v>
      </c>
      <c r="C2508" s="17">
        <v>19900101</v>
      </c>
      <c r="D2508" s="17">
        <v>22991231</v>
      </c>
      <c r="E2508" s="25">
        <v>72.87</v>
      </c>
    </row>
    <row r="2509" spans="1:5" x14ac:dyDescent="0.3">
      <c r="A2509" s="17" t="str">
        <f>"40500"</f>
        <v>40500</v>
      </c>
      <c r="B2509" s="5" t="s">
        <v>2665</v>
      </c>
      <c r="C2509" s="17">
        <v>19900101</v>
      </c>
      <c r="D2509" s="17">
        <v>22991231</v>
      </c>
      <c r="E2509" s="25">
        <v>1259.74</v>
      </c>
    </row>
    <row r="2510" spans="1:5" x14ac:dyDescent="0.3">
      <c r="A2510" s="17" t="str">
        <f>"40510"</f>
        <v>40510</v>
      </c>
      <c r="B2510" s="5" t="s">
        <v>2666</v>
      </c>
      <c r="C2510" s="17">
        <v>19900101</v>
      </c>
      <c r="D2510" s="17">
        <v>22991231</v>
      </c>
      <c r="E2510" s="25">
        <v>1259.74</v>
      </c>
    </row>
    <row r="2511" spans="1:5" x14ac:dyDescent="0.3">
      <c r="A2511" s="17" t="str">
        <f>"40520"</f>
        <v>40520</v>
      </c>
      <c r="B2511" s="5" t="s">
        <v>2667</v>
      </c>
      <c r="C2511" s="17">
        <v>19900101</v>
      </c>
      <c r="D2511" s="17">
        <v>22991231</v>
      </c>
      <c r="E2511" s="25">
        <v>1259.74</v>
      </c>
    </row>
    <row r="2512" spans="1:5" ht="26" x14ac:dyDescent="0.3">
      <c r="A2512" s="17" t="str">
        <f>"40525"</f>
        <v>40525</v>
      </c>
      <c r="B2512" s="5" t="s">
        <v>2668</v>
      </c>
      <c r="C2512" s="17">
        <v>19900101</v>
      </c>
      <c r="D2512" s="17">
        <v>22991231</v>
      </c>
      <c r="E2512" s="25">
        <v>1259.74</v>
      </c>
    </row>
    <row r="2513" spans="1:5" x14ac:dyDescent="0.3">
      <c r="A2513" s="17" t="str">
        <f>"40527"</f>
        <v>40527</v>
      </c>
      <c r="B2513" s="5" t="s">
        <v>2669</v>
      </c>
      <c r="C2513" s="17">
        <v>19900101</v>
      </c>
      <c r="D2513" s="17">
        <v>22991231</v>
      </c>
      <c r="E2513" s="25">
        <v>2637</v>
      </c>
    </row>
    <row r="2514" spans="1:5" x14ac:dyDescent="0.3">
      <c r="A2514" s="17" t="str">
        <f>"40530"</f>
        <v>40530</v>
      </c>
      <c r="B2514" s="5" t="s">
        <v>2670</v>
      </c>
      <c r="C2514" s="17">
        <v>19900101</v>
      </c>
      <c r="D2514" s="17">
        <v>22991231</v>
      </c>
      <c r="E2514" s="25">
        <v>1259.74</v>
      </c>
    </row>
    <row r="2515" spans="1:5" x14ac:dyDescent="0.3">
      <c r="A2515" s="17" t="str">
        <f>"40650"</f>
        <v>40650</v>
      </c>
      <c r="B2515" s="5" t="s">
        <v>2671</v>
      </c>
      <c r="C2515" s="17">
        <v>19900101</v>
      </c>
      <c r="D2515" s="17">
        <v>22991231</v>
      </c>
      <c r="E2515" s="25">
        <v>272.61</v>
      </c>
    </row>
    <row r="2516" spans="1:5" ht="26" x14ac:dyDescent="0.3">
      <c r="A2516" s="17" t="str">
        <f>"40652"</f>
        <v>40652</v>
      </c>
      <c r="B2516" s="5" t="s">
        <v>2672</v>
      </c>
      <c r="C2516" s="17">
        <v>19900101</v>
      </c>
      <c r="D2516" s="17">
        <v>22991231</v>
      </c>
      <c r="E2516" s="25">
        <v>272.61</v>
      </c>
    </row>
    <row r="2517" spans="1:5" ht="26" x14ac:dyDescent="0.3">
      <c r="A2517" s="17" t="str">
        <f>"40654"</f>
        <v>40654</v>
      </c>
      <c r="B2517" s="5" t="s">
        <v>2673</v>
      </c>
      <c r="C2517" s="17">
        <v>19900101</v>
      </c>
      <c r="D2517" s="17">
        <v>22991231</v>
      </c>
      <c r="E2517" s="25">
        <v>636.91999999999996</v>
      </c>
    </row>
    <row r="2518" spans="1:5" ht="26" x14ac:dyDescent="0.3">
      <c r="A2518" s="17" t="str">
        <f>"40700"</f>
        <v>40700</v>
      </c>
      <c r="B2518" s="5" t="s">
        <v>2674</v>
      </c>
      <c r="C2518" s="17">
        <v>19900101</v>
      </c>
      <c r="D2518" s="17">
        <v>22991231</v>
      </c>
      <c r="E2518" s="25">
        <v>2637</v>
      </c>
    </row>
    <row r="2519" spans="1:5" ht="26" x14ac:dyDescent="0.3">
      <c r="A2519" s="17" t="str">
        <f>"40701"</f>
        <v>40701</v>
      </c>
      <c r="B2519" s="5" t="s">
        <v>2675</v>
      </c>
      <c r="C2519" s="17">
        <v>19900101</v>
      </c>
      <c r="D2519" s="17">
        <v>22991231</v>
      </c>
      <c r="E2519" s="25">
        <v>2637</v>
      </c>
    </row>
    <row r="2520" spans="1:5" ht="26" x14ac:dyDescent="0.3">
      <c r="A2520" s="17" t="str">
        <f>"40702"</f>
        <v>40702</v>
      </c>
      <c r="B2520" s="5" t="s">
        <v>2676</v>
      </c>
      <c r="C2520" s="17">
        <v>19900101</v>
      </c>
      <c r="D2520" s="17">
        <v>22991231</v>
      </c>
      <c r="E2520" s="25">
        <v>2637</v>
      </c>
    </row>
    <row r="2521" spans="1:5" ht="26" x14ac:dyDescent="0.3">
      <c r="A2521" s="17" t="str">
        <f>"40720"</f>
        <v>40720</v>
      </c>
      <c r="B2521" s="5" t="s">
        <v>2677</v>
      </c>
      <c r="C2521" s="17">
        <v>19900101</v>
      </c>
      <c r="D2521" s="17">
        <v>22991231</v>
      </c>
      <c r="E2521" s="25">
        <v>1259.74</v>
      </c>
    </row>
    <row r="2522" spans="1:5" ht="26" x14ac:dyDescent="0.3">
      <c r="A2522" s="17" t="str">
        <f>"40761"</f>
        <v>40761</v>
      </c>
      <c r="B2522" s="5" t="s">
        <v>2678</v>
      </c>
      <c r="C2522" s="17">
        <v>19900101</v>
      </c>
      <c r="D2522" s="17">
        <v>22991231</v>
      </c>
      <c r="E2522" s="25">
        <v>2637</v>
      </c>
    </row>
    <row r="2523" spans="1:5" ht="26" x14ac:dyDescent="0.3">
      <c r="A2523" s="17" t="str">
        <f>"40800"</f>
        <v>40800</v>
      </c>
      <c r="B2523" s="5" t="s">
        <v>2679</v>
      </c>
      <c r="C2523" s="17">
        <v>19900101</v>
      </c>
      <c r="D2523" s="17">
        <v>22991231</v>
      </c>
      <c r="E2523" s="25">
        <v>147.62</v>
      </c>
    </row>
    <row r="2524" spans="1:5" ht="26" x14ac:dyDescent="0.3">
      <c r="A2524" s="17" t="str">
        <f>"40801"</f>
        <v>40801</v>
      </c>
      <c r="B2524" s="5" t="s">
        <v>2680</v>
      </c>
      <c r="C2524" s="17">
        <v>19900101</v>
      </c>
      <c r="D2524" s="17">
        <v>22991231</v>
      </c>
      <c r="E2524" s="25">
        <v>272.61</v>
      </c>
    </row>
    <row r="2525" spans="1:5" ht="26" x14ac:dyDescent="0.3">
      <c r="A2525" s="17" t="str">
        <f>"40804"</f>
        <v>40804</v>
      </c>
      <c r="B2525" s="5" t="s">
        <v>2681</v>
      </c>
      <c r="C2525" s="17">
        <v>19900101</v>
      </c>
      <c r="D2525" s="17">
        <v>22991231</v>
      </c>
      <c r="E2525" s="25">
        <v>0</v>
      </c>
    </row>
    <row r="2526" spans="1:5" ht="26" x14ac:dyDescent="0.3">
      <c r="A2526" s="17" t="str">
        <f>"40805"</f>
        <v>40805</v>
      </c>
      <c r="B2526" s="5" t="s">
        <v>2682</v>
      </c>
      <c r="C2526" s="17">
        <v>19900101</v>
      </c>
      <c r="D2526" s="17">
        <v>22991231</v>
      </c>
      <c r="E2526" s="25">
        <v>172.01</v>
      </c>
    </row>
    <row r="2527" spans="1:5" x14ac:dyDescent="0.3">
      <c r="A2527" s="17" t="str">
        <f>"40806"</f>
        <v>40806</v>
      </c>
      <c r="B2527" s="5" t="s">
        <v>2683</v>
      </c>
      <c r="C2527" s="17">
        <v>19900101</v>
      </c>
      <c r="D2527" s="17">
        <v>22991231</v>
      </c>
      <c r="E2527" s="25">
        <v>82.56</v>
      </c>
    </row>
    <row r="2528" spans="1:5" x14ac:dyDescent="0.3">
      <c r="A2528" s="17" t="str">
        <f>"40808"</f>
        <v>40808</v>
      </c>
      <c r="B2528" s="5" t="s">
        <v>2684</v>
      </c>
      <c r="C2528" s="17">
        <v>19900101</v>
      </c>
      <c r="D2528" s="17">
        <v>22991231</v>
      </c>
      <c r="E2528" s="25">
        <v>122.6</v>
      </c>
    </row>
    <row r="2529" spans="1:5" x14ac:dyDescent="0.3">
      <c r="A2529" s="17" t="str">
        <f>"40810"</f>
        <v>40810</v>
      </c>
      <c r="B2529" s="5" t="s">
        <v>2685</v>
      </c>
      <c r="C2529" s="17">
        <v>19900101</v>
      </c>
      <c r="D2529" s="17">
        <v>22991231</v>
      </c>
      <c r="E2529" s="25">
        <v>156.38</v>
      </c>
    </row>
    <row r="2530" spans="1:5" x14ac:dyDescent="0.3">
      <c r="A2530" s="17" t="str">
        <f>"40812"</f>
        <v>40812</v>
      </c>
      <c r="B2530" s="5" t="s">
        <v>2686</v>
      </c>
      <c r="C2530" s="17">
        <v>19900101</v>
      </c>
      <c r="D2530" s="17">
        <v>22991231</v>
      </c>
      <c r="E2530" s="25">
        <v>178.27</v>
      </c>
    </row>
    <row r="2531" spans="1:5" ht="26" x14ac:dyDescent="0.3">
      <c r="A2531" s="17" t="str">
        <f>"40814"</f>
        <v>40814</v>
      </c>
      <c r="B2531" s="5" t="s">
        <v>2687</v>
      </c>
      <c r="C2531" s="17">
        <v>19900101</v>
      </c>
      <c r="D2531" s="17">
        <v>22991231</v>
      </c>
      <c r="E2531" s="25">
        <v>1259.74</v>
      </c>
    </row>
    <row r="2532" spans="1:5" ht="26" x14ac:dyDescent="0.3">
      <c r="A2532" s="17" t="str">
        <f>"40816"</f>
        <v>40816</v>
      </c>
      <c r="B2532" s="5" t="s">
        <v>2688</v>
      </c>
      <c r="C2532" s="17">
        <v>19900101</v>
      </c>
      <c r="D2532" s="17">
        <v>22991231</v>
      </c>
      <c r="E2532" s="25">
        <v>1259.74</v>
      </c>
    </row>
    <row r="2533" spans="1:5" x14ac:dyDescent="0.3">
      <c r="A2533" s="17" t="str">
        <f>"40818"</f>
        <v>40818</v>
      </c>
      <c r="B2533" s="5" t="s">
        <v>2689</v>
      </c>
      <c r="C2533" s="17">
        <v>19900101</v>
      </c>
      <c r="D2533" s="17">
        <v>22991231</v>
      </c>
      <c r="E2533" s="25">
        <v>272.61</v>
      </c>
    </row>
    <row r="2534" spans="1:5" x14ac:dyDescent="0.3">
      <c r="A2534" s="17" t="str">
        <f>"40819"</f>
        <v>40819</v>
      </c>
      <c r="B2534" s="5" t="s">
        <v>2690</v>
      </c>
      <c r="C2534" s="17">
        <v>19900101</v>
      </c>
      <c r="D2534" s="17">
        <v>22991231</v>
      </c>
      <c r="E2534" s="25">
        <v>636.91999999999996</v>
      </c>
    </row>
    <row r="2535" spans="1:5" x14ac:dyDescent="0.3">
      <c r="A2535" s="17" t="str">
        <f>"40820"</f>
        <v>40820</v>
      </c>
      <c r="B2535" s="5" t="s">
        <v>2691</v>
      </c>
      <c r="C2535" s="17">
        <v>19900101</v>
      </c>
      <c r="D2535" s="17">
        <v>22991231</v>
      </c>
      <c r="E2535" s="25">
        <v>197.35</v>
      </c>
    </row>
    <row r="2536" spans="1:5" x14ac:dyDescent="0.3">
      <c r="A2536" s="17" t="str">
        <f>"40830"</f>
        <v>40830</v>
      </c>
      <c r="B2536" s="5" t="s">
        <v>2692</v>
      </c>
      <c r="C2536" s="17">
        <v>19900101</v>
      </c>
      <c r="D2536" s="17">
        <v>22991231</v>
      </c>
      <c r="E2536" s="25">
        <v>121.03</v>
      </c>
    </row>
    <row r="2537" spans="1:5" x14ac:dyDescent="0.3">
      <c r="A2537" s="17" t="str">
        <f>"40831"</f>
        <v>40831</v>
      </c>
      <c r="B2537" s="5" t="s">
        <v>2693</v>
      </c>
      <c r="C2537" s="17">
        <v>19900101</v>
      </c>
      <c r="D2537" s="17">
        <v>22991231</v>
      </c>
      <c r="E2537" s="25">
        <v>272.61</v>
      </c>
    </row>
    <row r="2538" spans="1:5" ht="26" x14ac:dyDescent="0.3">
      <c r="A2538" s="17" t="str">
        <f>"40840"</f>
        <v>40840</v>
      </c>
      <c r="B2538" s="5" t="s">
        <v>2694</v>
      </c>
      <c r="C2538" s="17">
        <v>19900101</v>
      </c>
      <c r="D2538" s="17">
        <v>22991231</v>
      </c>
      <c r="E2538" s="25">
        <v>2637</v>
      </c>
    </row>
    <row r="2539" spans="1:5" x14ac:dyDescent="0.3">
      <c r="A2539" s="17" t="str">
        <f>"40842"</f>
        <v>40842</v>
      </c>
      <c r="B2539" s="5" t="s">
        <v>2695</v>
      </c>
      <c r="C2539" s="17">
        <v>19900101</v>
      </c>
      <c r="D2539" s="17">
        <v>22991231</v>
      </c>
      <c r="E2539" s="25">
        <v>2637</v>
      </c>
    </row>
    <row r="2540" spans="1:5" x14ac:dyDescent="0.3">
      <c r="A2540" s="17" t="str">
        <f>"40843"</f>
        <v>40843</v>
      </c>
      <c r="B2540" s="5" t="s">
        <v>2696</v>
      </c>
      <c r="C2540" s="17">
        <v>19900101</v>
      </c>
      <c r="D2540" s="17">
        <v>22991231</v>
      </c>
      <c r="E2540" s="25">
        <v>2637</v>
      </c>
    </row>
    <row r="2541" spans="1:5" x14ac:dyDescent="0.3">
      <c r="A2541" s="17" t="str">
        <f>"40844"</f>
        <v>40844</v>
      </c>
      <c r="B2541" s="5" t="s">
        <v>2697</v>
      </c>
      <c r="C2541" s="17">
        <v>19900101</v>
      </c>
      <c r="D2541" s="17">
        <v>22991231</v>
      </c>
      <c r="E2541" s="25">
        <v>2637</v>
      </c>
    </row>
    <row r="2542" spans="1:5" x14ac:dyDescent="0.3">
      <c r="A2542" s="17" t="str">
        <f>"40845"</f>
        <v>40845</v>
      </c>
      <c r="B2542" s="5" t="s">
        <v>2698</v>
      </c>
      <c r="C2542" s="17">
        <v>19900101</v>
      </c>
      <c r="D2542" s="17">
        <v>22991231</v>
      </c>
      <c r="E2542" s="25">
        <v>2637</v>
      </c>
    </row>
    <row r="2543" spans="1:5" ht="26" x14ac:dyDescent="0.3">
      <c r="A2543" s="17" t="str">
        <f>"41000"</f>
        <v>41000</v>
      </c>
      <c r="B2543" s="5" t="s">
        <v>2699</v>
      </c>
      <c r="C2543" s="17">
        <v>19900101</v>
      </c>
      <c r="D2543" s="17">
        <v>22991231</v>
      </c>
      <c r="E2543" s="25">
        <v>89.76</v>
      </c>
    </row>
    <row r="2544" spans="1:5" ht="26" x14ac:dyDescent="0.3">
      <c r="A2544" s="17" t="str">
        <f>"41005"</f>
        <v>41005</v>
      </c>
      <c r="B2544" s="5" t="s">
        <v>2700</v>
      </c>
      <c r="C2544" s="17">
        <v>19900101</v>
      </c>
      <c r="D2544" s="17">
        <v>22991231</v>
      </c>
      <c r="E2544" s="25">
        <v>121.03</v>
      </c>
    </row>
    <row r="2545" spans="1:5" ht="39" x14ac:dyDescent="0.3">
      <c r="A2545" s="17" t="str">
        <f>"41006"</f>
        <v>41006</v>
      </c>
      <c r="B2545" s="5" t="s">
        <v>2701</v>
      </c>
      <c r="C2545" s="17">
        <v>19900101</v>
      </c>
      <c r="D2545" s="17">
        <v>22991231</v>
      </c>
      <c r="E2545" s="25">
        <v>636.91999999999996</v>
      </c>
    </row>
    <row r="2546" spans="1:5" ht="26" x14ac:dyDescent="0.3">
      <c r="A2546" s="17" t="str">
        <f>"41007"</f>
        <v>41007</v>
      </c>
      <c r="B2546" s="5" t="s">
        <v>2702</v>
      </c>
      <c r="C2546" s="17">
        <v>19900101</v>
      </c>
      <c r="D2546" s="17">
        <v>22991231</v>
      </c>
      <c r="E2546" s="25">
        <v>636.91999999999996</v>
      </c>
    </row>
    <row r="2547" spans="1:5" ht="26" x14ac:dyDescent="0.3">
      <c r="A2547" s="17" t="str">
        <f>"41008"</f>
        <v>41008</v>
      </c>
      <c r="B2547" s="5" t="s">
        <v>2703</v>
      </c>
      <c r="C2547" s="17">
        <v>19900101</v>
      </c>
      <c r="D2547" s="17">
        <v>22991231</v>
      </c>
      <c r="E2547" s="25">
        <v>1259.74</v>
      </c>
    </row>
    <row r="2548" spans="1:5" ht="39" x14ac:dyDescent="0.3">
      <c r="A2548" s="17" t="str">
        <f>"41009"</f>
        <v>41009</v>
      </c>
      <c r="B2548" s="5" t="s">
        <v>2704</v>
      </c>
      <c r="C2548" s="17">
        <v>19900101</v>
      </c>
      <c r="D2548" s="17">
        <v>22991231</v>
      </c>
      <c r="E2548" s="25">
        <v>272.61</v>
      </c>
    </row>
    <row r="2549" spans="1:5" ht="26" x14ac:dyDescent="0.3">
      <c r="A2549" s="17" t="str">
        <f>"41010"</f>
        <v>41010</v>
      </c>
      <c r="B2549" s="5" t="s">
        <v>2705</v>
      </c>
      <c r="C2549" s="17">
        <v>19900101</v>
      </c>
      <c r="D2549" s="17">
        <v>22991231</v>
      </c>
      <c r="E2549" s="25">
        <v>636.91999999999996</v>
      </c>
    </row>
    <row r="2550" spans="1:5" ht="26" x14ac:dyDescent="0.3">
      <c r="A2550" s="17" t="str">
        <f>"41015"</f>
        <v>41015</v>
      </c>
      <c r="B2550" s="5" t="s">
        <v>2706</v>
      </c>
      <c r="C2550" s="17">
        <v>19900101</v>
      </c>
      <c r="D2550" s="17">
        <v>22991231</v>
      </c>
      <c r="E2550" s="25">
        <v>272.61</v>
      </c>
    </row>
    <row r="2551" spans="1:5" ht="26" x14ac:dyDescent="0.3">
      <c r="A2551" s="17" t="str">
        <f>"41016"</f>
        <v>41016</v>
      </c>
      <c r="B2551" s="5" t="s">
        <v>2707</v>
      </c>
      <c r="C2551" s="17">
        <v>19900101</v>
      </c>
      <c r="D2551" s="17">
        <v>22991231</v>
      </c>
      <c r="E2551" s="25">
        <v>2637</v>
      </c>
    </row>
    <row r="2552" spans="1:5" ht="26" x14ac:dyDescent="0.3">
      <c r="A2552" s="17" t="str">
        <f>"41017"</f>
        <v>41017</v>
      </c>
      <c r="B2552" s="5" t="s">
        <v>2708</v>
      </c>
      <c r="C2552" s="17">
        <v>19900101</v>
      </c>
      <c r="D2552" s="17">
        <v>22991231</v>
      </c>
      <c r="E2552" s="25">
        <v>1259.74</v>
      </c>
    </row>
    <row r="2553" spans="1:5" ht="39" x14ac:dyDescent="0.3">
      <c r="A2553" s="17" t="str">
        <f>"41018"</f>
        <v>41018</v>
      </c>
      <c r="B2553" s="5" t="s">
        <v>2709</v>
      </c>
      <c r="C2553" s="17">
        <v>19900101</v>
      </c>
      <c r="D2553" s="17">
        <v>22991231</v>
      </c>
      <c r="E2553" s="25">
        <v>636.91999999999996</v>
      </c>
    </row>
    <row r="2554" spans="1:5" ht="26" x14ac:dyDescent="0.3">
      <c r="A2554" s="17" t="str">
        <f>"41019"</f>
        <v>41019</v>
      </c>
      <c r="B2554" s="5" t="s">
        <v>2710</v>
      </c>
      <c r="C2554" s="17">
        <v>20080101</v>
      </c>
      <c r="D2554" s="17">
        <v>22991231</v>
      </c>
      <c r="E2554" s="25">
        <v>2637</v>
      </c>
    </row>
    <row r="2555" spans="1:5" x14ac:dyDescent="0.3">
      <c r="A2555" s="17" t="str">
        <f>"41100"</f>
        <v>41100</v>
      </c>
      <c r="B2555" s="5" t="s">
        <v>2711</v>
      </c>
      <c r="C2555" s="17">
        <v>19900101</v>
      </c>
      <c r="D2555" s="17">
        <v>22991231</v>
      </c>
      <c r="E2555" s="25">
        <v>126.36</v>
      </c>
    </row>
    <row r="2556" spans="1:5" x14ac:dyDescent="0.3">
      <c r="A2556" s="17" t="str">
        <f>"41105"</f>
        <v>41105</v>
      </c>
      <c r="B2556" s="5" t="s">
        <v>2712</v>
      </c>
      <c r="C2556" s="17">
        <v>19900101</v>
      </c>
      <c r="D2556" s="17">
        <v>22991231</v>
      </c>
      <c r="E2556" s="25">
        <v>125.41</v>
      </c>
    </row>
    <row r="2557" spans="1:5" x14ac:dyDescent="0.3">
      <c r="A2557" s="17" t="str">
        <f>"41108"</f>
        <v>41108</v>
      </c>
      <c r="B2557" s="5" t="s">
        <v>2713</v>
      </c>
      <c r="C2557" s="17">
        <v>19900101</v>
      </c>
      <c r="D2557" s="17">
        <v>22991231</v>
      </c>
      <c r="E2557" s="25">
        <v>119.47</v>
      </c>
    </row>
    <row r="2558" spans="1:5" x14ac:dyDescent="0.3">
      <c r="A2558" s="17" t="str">
        <f>"41110"</f>
        <v>41110</v>
      </c>
      <c r="B2558" s="5" t="s">
        <v>2714</v>
      </c>
      <c r="C2558" s="17">
        <v>19900101</v>
      </c>
      <c r="D2558" s="17">
        <v>22991231</v>
      </c>
      <c r="E2558" s="25">
        <v>161.07</v>
      </c>
    </row>
    <row r="2559" spans="1:5" ht="26" x14ac:dyDescent="0.3">
      <c r="A2559" s="17" t="str">
        <f>"41112"</f>
        <v>41112</v>
      </c>
      <c r="B2559" s="5" t="s">
        <v>2715</v>
      </c>
      <c r="C2559" s="17">
        <v>19900101</v>
      </c>
      <c r="D2559" s="17">
        <v>22991231</v>
      </c>
      <c r="E2559" s="25">
        <v>1259.74</v>
      </c>
    </row>
    <row r="2560" spans="1:5" ht="26" x14ac:dyDescent="0.3">
      <c r="A2560" s="17" t="str">
        <f>"41113"</f>
        <v>41113</v>
      </c>
      <c r="B2560" s="5" t="s">
        <v>2716</v>
      </c>
      <c r="C2560" s="17">
        <v>19900101</v>
      </c>
      <c r="D2560" s="17">
        <v>22991231</v>
      </c>
      <c r="E2560" s="25">
        <v>1259.74</v>
      </c>
    </row>
    <row r="2561" spans="1:5" ht="26" x14ac:dyDescent="0.3">
      <c r="A2561" s="17" t="str">
        <f>"41114"</f>
        <v>41114</v>
      </c>
      <c r="B2561" s="5" t="s">
        <v>2717</v>
      </c>
      <c r="C2561" s="17">
        <v>19900101</v>
      </c>
      <c r="D2561" s="17">
        <v>22991231</v>
      </c>
      <c r="E2561" s="25">
        <v>1259.74</v>
      </c>
    </row>
    <row r="2562" spans="1:5" ht="26" x14ac:dyDescent="0.3">
      <c r="A2562" s="17" t="str">
        <f>"41115"</f>
        <v>41115</v>
      </c>
      <c r="B2562" s="5" t="s">
        <v>2718</v>
      </c>
      <c r="C2562" s="17">
        <v>19900101</v>
      </c>
      <c r="D2562" s="17">
        <v>22991231</v>
      </c>
      <c r="E2562" s="25">
        <v>182.34</v>
      </c>
    </row>
    <row r="2563" spans="1:5" x14ac:dyDescent="0.3">
      <c r="A2563" s="17" t="str">
        <f>"41116"</f>
        <v>41116</v>
      </c>
      <c r="B2563" s="5" t="s">
        <v>2719</v>
      </c>
      <c r="C2563" s="17">
        <v>19900101</v>
      </c>
      <c r="D2563" s="17">
        <v>22991231</v>
      </c>
      <c r="E2563" s="25">
        <v>1259.74</v>
      </c>
    </row>
    <row r="2564" spans="1:5" x14ac:dyDescent="0.3">
      <c r="A2564" s="17" t="str">
        <f>"41120"</f>
        <v>41120</v>
      </c>
      <c r="B2564" s="5" t="s">
        <v>2720</v>
      </c>
      <c r="C2564" s="17">
        <v>19900101</v>
      </c>
      <c r="D2564" s="17">
        <v>22991231</v>
      </c>
      <c r="E2564" s="25">
        <v>2637</v>
      </c>
    </row>
    <row r="2565" spans="1:5" ht="26" x14ac:dyDescent="0.3">
      <c r="A2565" s="17" t="str">
        <f>"41250"</f>
        <v>41250</v>
      </c>
      <c r="B2565" s="5" t="s">
        <v>2721</v>
      </c>
      <c r="C2565" s="17">
        <v>19900101</v>
      </c>
      <c r="D2565" s="17">
        <v>22991231</v>
      </c>
      <c r="E2565" s="25">
        <v>0</v>
      </c>
    </row>
    <row r="2566" spans="1:5" ht="26" x14ac:dyDescent="0.3">
      <c r="A2566" s="17" t="str">
        <f>"41251"</f>
        <v>41251</v>
      </c>
      <c r="B2566" s="5" t="s">
        <v>2722</v>
      </c>
      <c r="C2566" s="17">
        <v>19900101</v>
      </c>
      <c r="D2566" s="17">
        <v>22991231</v>
      </c>
      <c r="E2566" s="25">
        <v>121.03</v>
      </c>
    </row>
    <row r="2567" spans="1:5" ht="26" x14ac:dyDescent="0.3">
      <c r="A2567" s="17" t="str">
        <f>"41252"</f>
        <v>41252</v>
      </c>
      <c r="B2567" s="5" t="s">
        <v>2723</v>
      </c>
      <c r="C2567" s="17">
        <v>19900101</v>
      </c>
      <c r="D2567" s="17">
        <v>22991231</v>
      </c>
      <c r="E2567" s="25">
        <v>121.03</v>
      </c>
    </row>
    <row r="2568" spans="1:5" x14ac:dyDescent="0.3">
      <c r="A2568" s="17" t="str">
        <f>"41510"</f>
        <v>41510</v>
      </c>
      <c r="B2568" s="5" t="s">
        <v>2724</v>
      </c>
      <c r="C2568" s="17">
        <v>19900101</v>
      </c>
      <c r="D2568" s="17">
        <v>22991231</v>
      </c>
      <c r="E2568" s="25">
        <v>1259.74</v>
      </c>
    </row>
    <row r="2569" spans="1:5" ht="26" x14ac:dyDescent="0.3">
      <c r="A2569" s="17" t="str">
        <f>"41512"</f>
        <v>41512</v>
      </c>
      <c r="B2569" s="5" t="s">
        <v>2725</v>
      </c>
      <c r="C2569" s="17">
        <v>20090101</v>
      </c>
      <c r="D2569" s="17">
        <v>22991231</v>
      </c>
      <c r="E2569" s="25">
        <v>3321.03</v>
      </c>
    </row>
    <row r="2570" spans="1:5" ht="26" x14ac:dyDescent="0.3">
      <c r="A2570" s="17" t="str">
        <f>"41520"</f>
        <v>41520</v>
      </c>
      <c r="B2570" s="5" t="s">
        <v>2726</v>
      </c>
      <c r="C2570" s="17">
        <v>19900101</v>
      </c>
      <c r="D2570" s="17">
        <v>22991231</v>
      </c>
      <c r="E2570" s="25">
        <v>1259.74</v>
      </c>
    </row>
    <row r="2571" spans="1:5" x14ac:dyDescent="0.3">
      <c r="A2571" s="17" t="str">
        <f>"41530"</f>
        <v>41530</v>
      </c>
      <c r="B2571" s="5" t="s">
        <v>2727</v>
      </c>
      <c r="C2571" s="17">
        <v>20230101</v>
      </c>
      <c r="D2571" s="17">
        <v>22991231</v>
      </c>
      <c r="E2571" s="25">
        <v>729.97</v>
      </c>
    </row>
    <row r="2572" spans="1:5" ht="26" x14ac:dyDescent="0.3">
      <c r="A2572" s="17" t="str">
        <f>"41800"</f>
        <v>41800</v>
      </c>
      <c r="B2572" s="5" t="s">
        <v>2728</v>
      </c>
      <c r="C2572" s="17">
        <v>19900101</v>
      </c>
      <c r="D2572" s="17">
        <v>22991231</v>
      </c>
      <c r="E2572" s="25">
        <v>0</v>
      </c>
    </row>
    <row r="2573" spans="1:5" ht="26" x14ac:dyDescent="0.3">
      <c r="A2573" s="17" t="str">
        <f>"41805"</f>
        <v>41805</v>
      </c>
      <c r="B2573" s="5" t="s">
        <v>2729</v>
      </c>
      <c r="C2573" s="17">
        <v>19900101</v>
      </c>
      <c r="D2573" s="17">
        <v>22991231</v>
      </c>
      <c r="E2573" s="25">
        <v>242.07</v>
      </c>
    </row>
    <row r="2574" spans="1:5" x14ac:dyDescent="0.3">
      <c r="A2574" s="17" t="str">
        <f>"41806"</f>
        <v>41806</v>
      </c>
      <c r="B2574" s="5" t="s">
        <v>2730</v>
      </c>
      <c r="C2574" s="17">
        <v>19900101</v>
      </c>
      <c r="D2574" s="17">
        <v>22991231</v>
      </c>
      <c r="E2574" s="25">
        <v>286.49</v>
      </c>
    </row>
    <row r="2575" spans="1:5" x14ac:dyDescent="0.3">
      <c r="A2575" s="17" t="str">
        <f>"41820"</f>
        <v>41820</v>
      </c>
      <c r="B2575" s="5" t="s">
        <v>2731</v>
      </c>
      <c r="C2575" s="17">
        <v>19900101</v>
      </c>
      <c r="D2575" s="17">
        <v>22991231</v>
      </c>
      <c r="E2575" s="25">
        <v>1259.74</v>
      </c>
    </row>
    <row r="2576" spans="1:5" x14ac:dyDescent="0.3">
      <c r="A2576" s="17" t="str">
        <f>"41821"</f>
        <v>41821</v>
      </c>
      <c r="B2576" s="5" t="s">
        <v>2732</v>
      </c>
      <c r="C2576" s="17">
        <v>19900101</v>
      </c>
      <c r="D2576" s="17">
        <v>22991231</v>
      </c>
      <c r="E2576" s="25">
        <v>636.91999999999996</v>
      </c>
    </row>
    <row r="2577" spans="1:5" x14ac:dyDescent="0.3">
      <c r="A2577" s="17" t="str">
        <f>"41822"</f>
        <v>41822</v>
      </c>
      <c r="B2577" s="5" t="s">
        <v>2733</v>
      </c>
      <c r="C2577" s="17">
        <v>19900101</v>
      </c>
      <c r="D2577" s="17">
        <v>22991231</v>
      </c>
      <c r="E2577" s="25">
        <v>244.89</v>
      </c>
    </row>
    <row r="2578" spans="1:5" x14ac:dyDescent="0.3">
      <c r="A2578" s="17" t="str">
        <f>"41823"</f>
        <v>41823</v>
      </c>
      <c r="B2578" s="5" t="s">
        <v>2734</v>
      </c>
      <c r="C2578" s="17">
        <v>19900101</v>
      </c>
      <c r="D2578" s="17">
        <v>22991231</v>
      </c>
      <c r="E2578" s="25">
        <v>359.67</v>
      </c>
    </row>
    <row r="2579" spans="1:5" x14ac:dyDescent="0.3">
      <c r="A2579" s="17" t="str">
        <f>"41825"</f>
        <v>41825</v>
      </c>
      <c r="B2579" s="5" t="s">
        <v>2735</v>
      </c>
      <c r="C2579" s="17">
        <v>19900101</v>
      </c>
      <c r="D2579" s="17">
        <v>22991231</v>
      </c>
      <c r="E2579" s="25">
        <v>158.56</v>
      </c>
    </row>
    <row r="2580" spans="1:5" ht="26" x14ac:dyDescent="0.3">
      <c r="A2580" s="17" t="str">
        <f>"41826"</f>
        <v>41826</v>
      </c>
      <c r="B2580" s="5" t="s">
        <v>2736</v>
      </c>
      <c r="C2580" s="17">
        <v>19900101</v>
      </c>
      <c r="D2580" s="17">
        <v>22991231</v>
      </c>
      <c r="E2580" s="25">
        <v>197.35</v>
      </c>
    </row>
    <row r="2581" spans="1:5" ht="26" x14ac:dyDescent="0.3">
      <c r="A2581" s="17" t="str">
        <f>"41827"</f>
        <v>41827</v>
      </c>
      <c r="B2581" s="5" t="s">
        <v>2737</v>
      </c>
      <c r="C2581" s="17">
        <v>19900101</v>
      </c>
      <c r="D2581" s="17">
        <v>22991231</v>
      </c>
      <c r="E2581" s="25">
        <v>2637</v>
      </c>
    </row>
    <row r="2582" spans="1:5" ht="26" x14ac:dyDescent="0.3">
      <c r="A2582" s="17" t="str">
        <f>"41828"</f>
        <v>41828</v>
      </c>
      <c r="B2582" s="5" t="s">
        <v>2738</v>
      </c>
      <c r="C2582" s="17">
        <v>19900101</v>
      </c>
      <c r="D2582" s="17">
        <v>22991231</v>
      </c>
      <c r="E2582" s="25">
        <v>216.11</v>
      </c>
    </row>
    <row r="2583" spans="1:5" ht="26" x14ac:dyDescent="0.3">
      <c r="A2583" s="17" t="str">
        <f>"41830"</f>
        <v>41830</v>
      </c>
      <c r="B2583" s="5" t="s">
        <v>2739</v>
      </c>
      <c r="C2583" s="17">
        <v>19900101</v>
      </c>
      <c r="D2583" s="17">
        <v>22991231</v>
      </c>
      <c r="E2583" s="25">
        <v>313.69</v>
      </c>
    </row>
    <row r="2584" spans="1:5" ht="26" x14ac:dyDescent="0.3">
      <c r="A2584" s="17" t="str">
        <f>"41850"</f>
        <v>41850</v>
      </c>
      <c r="B2584" s="5" t="s">
        <v>2740</v>
      </c>
      <c r="C2584" s="17">
        <v>19900101</v>
      </c>
      <c r="D2584" s="17">
        <v>22991231</v>
      </c>
      <c r="E2584" s="25">
        <v>636.91999999999996</v>
      </c>
    </row>
    <row r="2585" spans="1:5" x14ac:dyDescent="0.3">
      <c r="A2585" s="17" t="str">
        <f>"41870"</f>
        <v>41870</v>
      </c>
      <c r="B2585" s="5" t="s">
        <v>2741</v>
      </c>
      <c r="C2585" s="17">
        <v>19900101</v>
      </c>
      <c r="D2585" s="17">
        <v>22991231</v>
      </c>
      <c r="E2585" s="25">
        <v>636.91999999999996</v>
      </c>
    </row>
    <row r="2586" spans="1:5" x14ac:dyDescent="0.3">
      <c r="A2586" s="17" t="str">
        <f>"41872"</f>
        <v>41872</v>
      </c>
      <c r="B2586" s="5" t="s">
        <v>2742</v>
      </c>
      <c r="C2586" s="17">
        <v>19900101</v>
      </c>
      <c r="D2586" s="17">
        <v>22991231</v>
      </c>
      <c r="E2586" s="25">
        <v>333.09</v>
      </c>
    </row>
    <row r="2587" spans="1:5" x14ac:dyDescent="0.3">
      <c r="A2587" s="17" t="str">
        <f>"41874"</f>
        <v>41874</v>
      </c>
      <c r="B2587" s="5" t="s">
        <v>2743</v>
      </c>
      <c r="C2587" s="17">
        <v>19900101</v>
      </c>
      <c r="D2587" s="17">
        <v>22991231</v>
      </c>
      <c r="E2587" s="25">
        <v>249.9</v>
      </c>
    </row>
    <row r="2588" spans="1:5" x14ac:dyDescent="0.3">
      <c r="A2588" s="17" t="str">
        <f>"41899"</f>
        <v>41899</v>
      </c>
      <c r="B2588" s="5" t="s">
        <v>2744</v>
      </c>
      <c r="C2588" s="17">
        <v>20170701</v>
      </c>
      <c r="D2588" s="17">
        <v>22991231</v>
      </c>
      <c r="E2588" s="24" t="s">
        <v>7128</v>
      </c>
    </row>
    <row r="2589" spans="1:5" x14ac:dyDescent="0.3">
      <c r="A2589" s="17" t="str">
        <f>"42000"</f>
        <v>42000</v>
      </c>
      <c r="B2589" s="5" t="s">
        <v>2745</v>
      </c>
      <c r="C2589" s="17">
        <v>19900101</v>
      </c>
      <c r="D2589" s="17">
        <v>22991231</v>
      </c>
      <c r="E2589" s="25">
        <v>121.03</v>
      </c>
    </row>
    <row r="2590" spans="1:5" x14ac:dyDescent="0.3">
      <c r="A2590" s="17" t="str">
        <f>"42100"</f>
        <v>42100</v>
      </c>
      <c r="B2590" s="5" t="s">
        <v>2746</v>
      </c>
      <c r="C2590" s="17">
        <v>19900101</v>
      </c>
      <c r="D2590" s="17">
        <v>22991231</v>
      </c>
      <c r="E2590" s="25">
        <v>89.76</v>
      </c>
    </row>
    <row r="2591" spans="1:5" x14ac:dyDescent="0.3">
      <c r="A2591" s="17" t="str">
        <f>"42104"</f>
        <v>42104</v>
      </c>
      <c r="B2591" s="5" t="s">
        <v>2747</v>
      </c>
      <c r="C2591" s="17">
        <v>19900101</v>
      </c>
      <c r="D2591" s="17">
        <v>22991231</v>
      </c>
      <c r="E2591" s="25">
        <v>145.12</v>
      </c>
    </row>
    <row r="2592" spans="1:5" ht="26" x14ac:dyDescent="0.3">
      <c r="A2592" s="17" t="str">
        <f>"42106"</f>
        <v>42106</v>
      </c>
      <c r="B2592" s="5" t="s">
        <v>2748</v>
      </c>
      <c r="C2592" s="17">
        <v>19900101</v>
      </c>
      <c r="D2592" s="17">
        <v>22991231</v>
      </c>
      <c r="E2592" s="25">
        <v>161.07</v>
      </c>
    </row>
    <row r="2593" spans="1:5" ht="26" x14ac:dyDescent="0.3">
      <c r="A2593" s="17" t="str">
        <f>"42107"</f>
        <v>42107</v>
      </c>
      <c r="B2593" s="5" t="s">
        <v>2749</v>
      </c>
      <c r="C2593" s="17">
        <v>19900101</v>
      </c>
      <c r="D2593" s="17">
        <v>22991231</v>
      </c>
      <c r="E2593" s="25">
        <v>2637</v>
      </c>
    </row>
    <row r="2594" spans="1:5" x14ac:dyDescent="0.3">
      <c r="A2594" s="17" t="str">
        <f>"42120"</f>
        <v>42120</v>
      </c>
      <c r="B2594" s="5" t="s">
        <v>2750</v>
      </c>
      <c r="C2594" s="17">
        <v>19900101</v>
      </c>
      <c r="D2594" s="17">
        <v>22991231</v>
      </c>
      <c r="E2594" s="25">
        <v>2637</v>
      </c>
    </row>
    <row r="2595" spans="1:5" x14ac:dyDescent="0.3">
      <c r="A2595" s="17" t="str">
        <f>"42140"</f>
        <v>42140</v>
      </c>
      <c r="B2595" s="5" t="s">
        <v>2751</v>
      </c>
      <c r="C2595" s="17">
        <v>19900101</v>
      </c>
      <c r="D2595" s="17">
        <v>22991231</v>
      </c>
      <c r="E2595" s="25">
        <v>1259.74</v>
      </c>
    </row>
    <row r="2596" spans="1:5" x14ac:dyDescent="0.3">
      <c r="A2596" s="17" t="str">
        <f>"42145"</f>
        <v>42145</v>
      </c>
      <c r="B2596" s="5" t="s">
        <v>2752</v>
      </c>
      <c r="C2596" s="17">
        <v>19900101</v>
      </c>
      <c r="D2596" s="17">
        <v>22991231</v>
      </c>
      <c r="E2596" s="25">
        <v>2637</v>
      </c>
    </row>
    <row r="2597" spans="1:5" ht="26" x14ac:dyDescent="0.3">
      <c r="A2597" s="17" t="str">
        <f>"42160"</f>
        <v>42160</v>
      </c>
      <c r="B2597" s="5" t="s">
        <v>2753</v>
      </c>
      <c r="C2597" s="17">
        <v>19900101</v>
      </c>
      <c r="D2597" s="17">
        <v>22991231</v>
      </c>
      <c r="E2597" s="25">
        <v>147.93</v>
      </c>
    </row>
    <row r="2598" spans="1:5" x14ac:dyDescent="0.3">
      <c r="A2598" s="17" t="str">
        <f>"42180"</f>
        <v>42180</v>
      </c>
      <c r="B2598" s="5" t="s">
        <v>2754</v>
      </c>
      <c r="C2598" s="17">
        <v>19900101</v>
      </c>
      <c r="D2598" s="17">
        <v>22991231</v>
      </c>
      <c r="E2598" s="25">
        <v>272.61</v>
      </c>
    </row>
    <row r="2599" spans="1:5" ht="26" x14ac:dyDescent="0.3">
      <c r="A2599" s="17" t="str">
        <f>"42182"</f>
        <v>42182</v>
      </c>
      <c r="B2599" s="5" t="s">
        <v>2755</v>
      </c>
      <c r="C2599" s="17">
        <v>19900101</v>
      </c>
      <c r="D2599" s="17">
        <v>22991231</v>
      </c>
      <c r="E2599" s="25">
        <v>2637</v>
      </c>
    </row>
    <row r="2600" spans="1:5" ht="26" x14ac:dyDescent="0.3">
      <c r="A2600" s="17" t="str">
        <f>"42200"</f>
        <v>42200</v>
      </c>
      <c r="B2600" s="5" t="s">
        <v>2756</v>
      </c>
      <c r="C2600" s="17">
        <v>19900101</v>
      </c>
      <c r="D2600" s="17">
        <v>22991231</v>
      </c>
      <c r="E2600" s="25">
        <v>2637</v>
      </c>
    </row>
    <row r="2601" spans="1:5" ht="26" x14ac:dyDescent="0.3">
      <c r="A2601" s="17" t="str">
        <f>"42205"</f>
        <v>42205</v>
      </c>
      <c r="B2601" s="5" t="s">
        <v>2757</v>
      </c>
      <c r="C2601" s="17">
        <v>19900101</v>
      </c>
      <c r="D2601" s="17">
        <v>22991231</v>
      </c>
      <c r="E2601" s="25">
        <v>1259.74</v>
      </c>
    </row>
    <row r="2602" spans="1:5" x14ac:dyDescent="0.3">
      <c r="A2602" s="17" t="str">
        <f>"42210"</f>
        <v>42210</v>
      </c>
      <c r="B2602" s="5" t="s">
        <v>2758</v>
      </c>
      <c r="C2602" s="17">
        <v>19900101</v>
      </c>
      <c r="D2602" s="17">
        <v>22991231</v>
      </c>
      <c r="E2602" s="25">
        <v>2637</v>
      </c>
    </row>
    <row r="2603" spans="1:5" x14ac:dyDescent="0.3">
      <c r="A2603" s="17" t="str">
        <f>"42215"</f>
        <v>42215</v>
      </c>
      <c r="B2603" s="5" t="s">
        <v>2759</v>
      </c>
      <c r="C2603" s="17">
        <v>19900101</v>
      </c>
      <c r="D2603" s="17">
        <v>22991231</v>
      </c>
      <c r="E2603" s="25">
        <v>3578.31</v>
      </c>
    </row>
    <row r="2604" spans="1:5" x14ac:dyDescent="0.3">
      <c r="A2604" s="17" t="str">
        <f>"42220"</f>
        <v>42220</v>
      </c>
      <c r="B2604" s="5" t="s">
        <v>2760</v>
      </c>
      <c r="C2604" s="17">
        <v>19900101</v>
      </c>
      <c r="D2604" s="17">
        <v>22991231</v>
      </c>
      <c r="E2604" s="25">
        <v>2637</v>
      </c>
    </row>
    <row r="2605" spans="1:5" ht="26" x14ac:dyDescent="0.3">
      <c r="A2605" s="17" t="str">
        <f>"42225"</f>
        <v>42225</v>
      </c>
      <c r="B2605" s="5" t="s">
        <v>2761</v>
      </c>
      <c r="C2605" s="17">
        <v>19900101</v>
      </c>
      <c r="D2605" s="17">
        <v>22991231</v>
      </c>
      <c r="E2605" s="25">
        <v>2637</v>
      </c>
    </row>
    <row r="2606" spans="1:5" ht="26" x14ac:dyDescent="0.3">
      <c r="A2606" s="17" t="str">
        <f>"42226"</f>
        <v>42226</v>
      </c>
      <c r="B2606" s="5" t="s">
        <v>2762</v>
      </c>
      <c r="C2606" s="17">
        <v>19900101</v>
      </c>
      <c r="D2606" s="17">
        <v>22991231</v>
      </c>
      <c r="E2606" s="25">
        <v>2637</v>
      </c>
    </row>
    <row r="2607" spans="1:5" ht="26" x14ac:dyDescent="0.3">
      <c r="A2607" s="17" t="str">
        <f>"42227"</f>
        <v>42227</v>
      </c>
      <c r="B2607" s="5" t="s">
        <v>2763</v>
      </c>
      <c r="C2607" s="17">
        <v>19900101</v>
      </c>
      <c r="D2607" s="17">
        <v>22991231</v>
      </c>
      <c r="E2607" s="25">
        <v>2637</v>
      </c>
    </row>
    <row r="2608" spans="1:5" ht="26" x14ac:dyDescent="0.3">
      <c r="A2608" s="17" t="str">
        <f>"42235"</f>
        <v>42235</v>
      </c>
      <c r="B2608" s="5" t="s">
        <v>2764</v>
      </c>
      <c r="C2608" s="17">
        <v>19900101</v>
      </c>
      <c r="D2608" s="17">
        <v>22991231</v>
      </c>
      <c r="E2608" s="25">
        <v>2637</v>
      </c>
    </row>
    <row r="2609" spans="1:5" ht="26" x14ac:dyDescent="0.3">
      <c r="A2609" s="17" t="str">
        <f>"42260"</f>
        <v>42260</v>
      </c>
      <c r="B2609" s="5" t="s">
        <v>2765</v>
      </c>
      <c r="C2609" s="17">
        <v>19900101</v>
      </c>
      <c r="D2609" s="17">
        <v>22991231</v>
      </c>
      <c r="E2609" s="25">
        <v>2637</v>
      </c>
    </row>
    <row r="2610" spans="1:5" ht="26" x14ac:dyDescent="0.3">
      <c r="A2610" s="17" t="str">
        <f>"42280"</f>
        <v>42280</v>
      </c>
      <c r="B2610" s="5" t="s">
        <v>2766</v>
      </c>
      <c r="C2610" s="17">
        <v>19900101</v>
      </c>
      <c r="D2610" s="17">
        <v>22991231</v>
      </c>
      <c r="E2610" s="25">
        <v>111.03</v>
      </c>
    </row>
    <row r="2611" spans="1:5" x14ac:dyDescent="0.3">
      <c r="A2611" s="17" t="str">
        <f>"42281"</f>
        <v>42281</v>
      </c>
      <c r="B2611" s="5" t="s">
        <v>2767</v>
      </c>
      <c r="C2611" s="17">
        <v>19900101</v>
      </c>
      <c r="D2611" s="17">
        <v>22991231</v>
      </c>
      <c r="E2611" s="25">
        <v>2637</v>
      </c>
    </row>
    <row r="2612" spans="1:5" x14ac:dyDescent="0.3">
      <c r="A2612" s="17" t="str">
        <f>"42300"</f>
        <v>42300</v>
      </c>
      <c r="B2612" s="5" t="s">
        <v>2768</v>
      </c>
      <c r="C2612" s="17">
        <v>19900101</v>
      </c>
      <c r="D2612" s="17">
        <v>22991231</v>
      </c>
      <c r="E2612" s="25">
        <v>636.91999999999996</v>
      </c>
    </row>
    <row r="2613" spans="1:5" x14ac:dyDescent="0.3">
      <c r="A2613" s="17" t="str">
        <f>"42305"</f>
        <v>42305</v>
      </c>
      <c r="B2613" s="5" t="s">
        <v>2769</v>
      </c>
      <c r="C2613" s="17">
        <v>19900101</v>
      </c>
      <c r="D2613" s="17">
        <v>22991231</v>
      </c>
      <c r="E2613" s="25">
        <v>1259.74</v>
      </c>
    </row>
    <row r="2614" spans="1:5" ht="26" x14ac:dyDescent="0.3">
      <c r="A2614" s="17" t="str">
        <f>"42310"</f>
        <v>42310</v>
      </c>
      <c r="B2614" s="5" t="s">
        <v>2770</v>
      </c>
      <c r="C2614" s="17">
        <v>19900101</v>
      </c>
      <c r="D2614" s="17">
        <v>22991231</v>
      </c>
      <c r="E2614" s="25">
        <v>272.61</v>
      </c>
    </row>
    <row r="2615" spans="1:5" ht="26" x14ac:dyDescent="0.3">
      <c r="A2615" s="17" t="str">
        <f>"42320"</f>
        <v>42320</v>
      </c>
      <c r="B2615" s="5" t="s">
        <v>2771</v>
      </c>
      <c r="C2615" s="17">
        <v>19900101</v>
      </c>
      <c r="D2615" s="17">
        <v>22991231</v>
      </c>
      <c r="E2615" s="25">
        <v>272.61</v>
      </c>
    </row>
    <row r="2616" spans="1:5" ht="26" x14ac:dyDescent="0.3">
      <c r="A2616" s="17" t="str">
        <f>"42330"</f>
        <v>42330</v>
      </c>
      <c r="B2616" s="5" t="s">
        <v>2772</v>
      </c>
      <c r="C2616" s="17">
        <v>19900101</v>
      </c>
      <c r="D2616" s="17">
        <v>22991231</v>
      </c>
      <c r="E2616" s="25">
        <v>140.74</v>
      </c>
    </row>
    <row r="2617" spans="1:5" ht="26" x14ac:dyDescent="0.3">
      <c r="A2617" s="17" t="str">
        <f>"42335"</f>
        <v>42335</v>
      </c>
      <c r="B2617" s="5" t="s">
        <v>2773</v>
      </c>
      <c r="C2617" s="17">
        <v>19900101</v>
      </c>
      <c r="D2617" s="17">
        <v>22991231</v>
      </c>
      <c r="E2617" s="25">
        <v>287.74</v>
      </c>
    </row>
    <row r="2618" spans="1:5" x14ac:dyDescent="0.3">
      <c r="A2618" s="17" t="str">
        <f>"42340"</f>
        <v>42340</v>
      </c>
      <c r="B2618" s="5" t="s">
        <v>2774</v>
      </c>
      <c r="C2618" s="17">
        <v>19900101</v>
      </c>
      <c r="D2618" s="17">
        <v>22991231</v>
      </c>
      <c r="E2618" s="25">
        <v>1259.74</v>
      </c>
    </row>
    <row r="2619" spans="1:5" x14ac:dyDescent="0.3">
      <c r="A2619" s="17" t="str">
        <f>"42400"</f>
        <v>42400</v>
      </c>
      <c r="B2619" s="5" t="s">
        <v>2775</v>
      </c>
      <c r="C2619" s="17">
        <v>19900101</v>
      </c>
      <c r="D2619" s="17">
        <v>22991231</v>
      </c>
      <c r="E2619" s="25">
        <v>62.87</v>
      </c>
    </row>
    <row r="2620" spans="1:5" x14ac:dyDescent="0.3">
      <c r="A2620" s="17" t="str">
        <f>"42405"</f>
        <v>42405</v>
      </c>
      <c r="B2620" s="5" t="s">
        <v>2776</v>
      </c>
      <c r="C2620" s="17">
        <v>19900101</v>
      </c>
      <c r="D2620" s="17">
        <v>22991231</v>
      </c>
      <c r="E2620" s="25">
        <v>636.91999999999996</v>
      </c>
    </row>
    <row r="2621" spans="1:5" x14ac:dyDescent="0.3">
      <c r="A2621" s="17" t="str">
        <f>"42408"</f>
        <v>42408</v>
      </c>
      <c r="B2621" s="5" t="s">
        <v>2777</v>
      </c>
      <c r="C2621" s="17">
        <v>19900101</v>
      </c>
      <c r="D2621" s="17">
        <v>22991231</v>
      </c>
      <c r="E2621" s="25">
        <v>1259.74</v>
      </c>
    </row>
    <row r="2622" spans="1:5" x14ac:dyDescent="0.3">
      <c r="A2622" s="17" t="str">
        <f>"42409"</f>
        <v>42409</v>
      </c>
      <c r="B2622" s="5" t="s">
        <v>2778</v>
      </c>
      <c r="C2622" s="17">
        <v>19900101</v>
      </c>
      <c r="D2622" s="17">
        <v>22991231</v>
      </c>
      <c r="E2622" s="25">
        <v>1259.74</v>
      </c>
    </row>
    <row r="2623" spans="1:5" ht="26" x14ac:dyDescent="0.3">
      <c r="A2623" s="17" t="str">
        <f>"42410"</f>
        <v>42410</v>
      </c>
      <c r="B2623" s="5" t="s">
        <v>2779</v>
      </c>
      <c r="C2623" s="17">
        <v>19900101</v>
      </c>
      <c r="D2623" s="17">
        <v>22991231</v>
      </c>
      <c r="E2623" s="25">
        <v>2637</v>
      </c>
    </row>
    <row r="2624" spans="1:5" ht="26" x14ac:dyDescent="0.3">
      <c r="A2624" s="17" t="str">
        <f>"42415"</f>
        <v>42415</v>
      </c>
      <c r="B2624" s="5" t="s">
        <v>2780</v>
      </c>
      <c r="C2624" s="17">
        <v>19900101</v>
      </c>
      <c r="D2624" s="17">
        <v>22991231</v>
      </c>
      <c r="E2624" s="25">
        <v>2637</v>
      </c>
    </row>
    <row r="2625" spans="1:5" ht="26" x14ac:dyDescent="0.3">
      <c r="A2625" s="17" t="str">
        <f>"42420"</f>
        <v>42420</v>
      </c>
      <c r="B2625" s="5" t="s">
        <v>2781</v>
      </c>
      <c r="C2625" s="17">
        <v>19900101</v>
      </c>
      <c r="D2625" s="17">
        <v>22991231</v>
      </c>
      <c r="E2625" s="25">
        <v>2637</v>
      </c>
    </row>
    <row r="2626" spans="1:5" ht="26" x14ac:dyDescent="0.3">
      <c r="A2626" s="17" t="str">
        <f>"42425"</f>
        <v>42425</v>
      </c>
      <c r="B2626" s="5" t="s">
        <v>2782</v>
      </c>
      <c r="C2626" s="17">
        <v>19900101</v>
      </c>
      <c r="D2626" s="17">
        <v>22991231</v>
      </c>
      <c r="E2626" s="25">
        <v>2637</v>
      </c>
    </row>
    <row r="2627" spans="1:5" x14ac:dyDescent="0.3">
      <c r="A2627" s="17" t="str">
        <f>"42440"</f>
        <v>42440</v>
      </c>
      <c r="B2627" s="5" t="s">
        <v>2783</v>
      </c>
      <c r="C2627" s="17">
        <v>19900101</v>
      </c>
      <c r="D2627" s="17">
        <v>22991231</v>
      </c>
      <c r="E2627" s="25">
        <v>2637</v>
      </c>
    </row>
    <row r="2628" spans="1:5" x14ac:dyDescent="0.3">
      <c r="A2628" s="17" t="str">
        <f>"42450"</f>
        <v>42450</v>
      </c>
      <c r="B2628" s="5" t="s">
        <v>2784</v>
      </c>
      <c r="C2628" s="17">
        <v>19900101</v>
      </c>
      <c r="D2628" s="17">
        <v>22991231</v>
      </c>
      <c r="E2628" s="25">
        <v>2637</v>
      </c>
    </row>
    <row r="2629" spans="1:5" x14ac:dyDescent="0.3">
      <c r="A2629" s="17" t="str">
        <f>"42500"</f>
        <v>42500</v>
      </c>
      <c r="B2629" s="5" t="s">
        <v>2785</v>
      </c>
      <c r="C2629" s="17">
        <v>19900101</v>
      </c>
      <c r="D2629" s="17">
        <v>22991231</v>
      </c>
      <c r="E2629" s="25">
        <v>2637</v>
      </c>
    </row>
    <row r="2630" spans="1:5" x14ac:dyDescent="0.3">
      <c r="A2630" s="17" t="str">
        <f>"42505"</f>
        <v>42505</v>
      </c>
      <c r="B2630" s="5" t="s">
        <v>2786</v>
      </c>
      <c r="C2630" s="17">
        <v>19900101</v>
      </c>
      <c r="D2630" s="17">
        <v>22991231</v>
      </c>
      <c r="E2630" s="25">
        <v>2637</v>
      </c>
    </row>
    <row r="2631" spans="1:5" ht="26" x14ac:dyDescent="0.3">
      <c r="A2631" s="17" t="str">
        <f>"42507"</f>
        <v>42507</v>
      </c>
      <c r="B2631" s="5" t="s">
        <v>2787</v>
      </c>
      <c r="C2631" s="17">
        <v>19900101</v>
      </c>
      <c r="D2631" s="17">
        <v>22991231</v>
      </c>
      <c r="E2631" s="25">
        <v>2637</v>
      </c>
    </row>
    <row r="2632" spans="1:5" ht="39" x14ac:dyDescent="0.3">
      <c r="A2632" s="17" t="str">
        <f>"42509"</f>
        <v>42509</v>
      </c>
      <c r="B2632" s="5" t="s">
        <v>2788</v>
      </c>
      <c r="C2632" s="17">
        <v>19900101</v>
      </c>
      <c r="D2632" s="17">
        <v>22991231</v>
      </c>
      <c r="E2632" s="25">
        <v>2637</v>
      </c>
    </row>
    <row r="2633" spans="1:5" ht="39" x14ac:dyDescent="0.3">
      <c r="A2633" s="17" t="str">
        <f>"42510"</f>
        <v>42510</v>
      </c>
      <c r="B2633" s="5" t="s">
        <v>2789</v>
      </c>
      <c r="C2633" s="17">
        <v>19900101</v>
      </c>
      <c r="D2633" s="17">
        <v>22991231</v>
      </c>
      <c r="E2633" s="25">
        <v>1259.74</v>
      </c>
    </row>
    <row r="2634" spans="1:5" x14ac:dyDescent="0.3">
      <c r="A2634" s="17" t="str">
        <f>"42550"</f>
        <v>42550</v>
      </c>
      <c r="B2634" s="5" t="s">
        <v>2790</v>
      </c>
      <c r="C2634" s="17">
        <v>19900101</v>
      </c>
      <c r="D2634" s="17">
        <v>22991231</v>
      </c>
      <c r="E2634" s="25">
        <v>0</v>
      </c>
    </row>
    <row r="2635" spans="1:5" ht="26" x14ac:dyDescent="0.3">
      <c r="A2635" s="17" t="str">
        <f>"42600"</f>
        <v>42600</v>
      </c>
      <c r="B2635" s="5" t="s">
        <v>2791</v>
      </c>
      <c r="C2635" s="17">
        <v>19900101</v>
      </c>
      <c r="D2635" s="17">
        <v>22991231</v>
      </c>
      <c r="E2635" s="25">
        <v>1259.74</v>
      </c>
    </row>
    <row r="2636" spans="1:5" x14ac:dyDescent="0.3">
      <c r="A2636" s="17" t="str">
        <f>"42650"</f>
        <v>42650</v>
      </c>
      <c r="B2636" s="5" t="s">
        <v>2792</v>
      </c>
      <c r="C2636" s="17">
        <v>19900101</v>
      </c>
      <c r="D2636" s="17">
        <v>22991231</v>
      </c>
      <c r="E2636" s="25">
        <v>42.85</v>
      </c>
    </row>
    <row r="2637" spans="1:5" ht="26" x14ac:dyDescent="0.3">
      <c r="A2637" s="17" t="str">
        <f>"42660"</f>
        <v>42660</v>
      </c>
      <c r="B2637" s="5" t="s">
        <v>2793</v>
      </c>
      <c r="C2637" s="17">
        <v>19900101</v>
      </c>
      <c r="D2637" s="17">
        <v>22991231</v>
      </c>
      <c r="E2637" s="25">
        <v>61.62</v>
      </c>
    </row>
    <row r="2638" spans="1:5" x14ac:dyDescent="0.3">
      <c r="A2638" s="17" t="str">
        <f>"42665"</f>
        <v>42665</v>
      </c>
      <c r="B2638" s="5" t="s">
        <v>2794</v>
      </c>
      <c r="C2638" s="17">
        <v>19900101</v>
      </c>
      <c r="D2638" s="17">
        <v>22991231</v>
      </c>
      <c r="E2638" s="25">
        <v>1259.74</v>
      </c>
    </row>
    <row r="2639" spans="1:5" x14ac:dyDescent="0.3">
      <c r="A2639" s="17" t="str">
        <f>"42699"</f>
        <v>42699</v>
      </c>
      <c r="B2639" s="5" t="s">
        <v>2795</v>
      </c>
      <c r="C2639" s="17">
        <v>19900101</v>
      </c>
      <c r="D2639" s="17">
        <v>22991231</v>
      </c>
      <c r="E2639" s="24" t="s">
        <v>7128</v>
      </c>
    </row>
    <row r="2640" spans="1:5" x14ac:dyDescent="0.3">
      <c r="A2640" s="17" t="str">
        <f>"42700"</f>
        <v>42700</v>
      </c>
      <c r="B2640" s="5" t="s">
        <v>2796</v>
      </c>
      <c r="C2640" s="17">
        <v>19900101</v>
      </c>
      <c r="D2640" s="17">
        <v>22991231</v>
      </c>
      <c r="E2640" s="25">
        <v>121.03</v>
      </c>
    </row>
    <row r="2641" spans="1:5" x14ac:dyDescent="0.3">
      <c r="A2641" s="17" t="str">
        <f>"42720"</f>
        <v>42720</v>
      </c>
      <c r="B2641" s="5" t="s">
        <v>2797</v>
      </c>
      <c r="C2641" s="17">
        <v>19900101</v>
      </c>
      <c r="D2641" s="17">
        <v>22991231</v>
      </c>
      <c r="E2641" s="25">
        <v>1259.74</v>
      </c>
    </row>
    <row r="2642" spans="1:5" x14ac:dyDescent="0.3">
      <c r="A2642" s="17" t="str">
        <f>"42725"</f>
        <v>42725</v>
      </c>
      <c r="B2642" s="5" t="s">
        <v>2798</v>
      </c>
      <c r="C2642" s="17">
        <v>19900101</v>
      </c>
      <c r="D2642" s="17">
        <v>22991231</v>
      </c>
      <c r="E2642" s="25">
        <v>2637</v>
      </c>
    </row>
    <row r="2643" spans="1:5" x14ac:dyDescent="0.3">
      <c r="A2643" s="17" t="str">
        <f>"42800"</f>
        <v>42800</v>
      </c>
      <c r="B2643" s="5" t="s">
        <v>2799</v>
      </c>
      <c r="C2643" s="17">
        <v>19900101</v>
      </c>
      <c r="D2643" s="17">
        <v>22991231</v>
      </c>
      <c r="E2643" s="25">
        <v>98.51</v>
      </c>
    </row>
    <row r="2644" spans="1:5" x14ac:dyDescent="0.3">
      <c r="A2644" s="17" t="str">
        <f>"42804"</f>
        <v>42804</v>
      </c>
      <c r="B2644" s="5" t="s">
        <v>2800</v>
      </c>
      <c r="C2644" s="17">
        <v>19900101</v>
      </c>
      <c r="D2644" s="17">
        <v>22991231</v>
      </c>
      <c r="E2644" s="25">
        <v>1259.74</v>
      </c>
    </row>
    <row r="2645" spans="1:5" x14ac:dyDescent="0.3">
      <c r="A2645" s="17" t="str">
        <f>"42806"</f>
        <v>42806</v>
      </c>
      <c r="B2645" s="5" t="s">
        <v>2801</v>
      </c>
      <c r="C2645" s="17">
        <v>19900101</v>
      </c>
      <c r="D2645" s="17">
        <v>22991231</v>
      </c>
      <c r="E2645" s="25">
        <v>1259.74</v>
      </c>
    </row>
    <row r="2646" spans="1:5" x14ac:dyDescent="0.3">
      <c r="A2646" s="17" t="str">
        <f>"42808"</f>
        <v>42808</v>
      </c>
      <c r="B2646" s="5" t="s">
        <v>2802</v>
      </c>
      <c r="C2646" s="17">
        <v>19900101</v>
      </c>
      <c r="D2646" s="17">
        <v>22991231</v>
      </c>
      <c r="E2646" s="25">
        <v>1259.74</v>
      </c>
    </row>
    <row r="2647" spans="1:5" x14ac:dyDescent="0.3">
      <c r="A2647" s="17" t="str">
        <f>"42809"</f>
        <v>42809</v>
      </c>
      <c r="B2647" s="5" t="s">
        <v>2803</v>
      </c>
      <c r="C2647" s="17">
        <v>19900101</v>
      </c>
      <c r="D2647" s="17">
        <v>22991231</v>
      </c>
      <c r="E2647" s="25">
        <v>0</v>
      </c>
    </row>
    <row r="2648" spans="1:5" ht="26" x14ac:dyDescent="0.3">
      <c r="A2648" s="17" t="str">
        <f>"42810"</f>
        <v>42810</v>
      </c>
      <c r="B2648" s="5" t="s">
        <v>2804</v>
      </c>
      <c r="C2648" s="17">
        <v>19900101</v>
      </c>
      <c r="D2648" s="17">
        <v>22991231</v>
      </c>
      <c r="E2648" s="25">
        <v>1259.74</v>
      </c>
    </row>
    <row r="2649" spans="1:5" ht="26" x14ac:dyDescent="0.3">
      <c r="A2649" s="17" t="str">
        <f>"42815"</f>
        <v>42815</v>
      </c>
      <c r="B2649" s="5" t="s">
        <v>2805</v>
      </c>
      <c r="C2649" s="17">
        <v>19900101</v>
      </c>
      <c r="D2649" s="17">
        <v>22991231</v>
      </c>
      <c r="E2649" s="25">
        <v>2637</v>
      </c>
    </row>
    <row r="2650" spans="1:5" ht="26" x14ac:dyDescent="0.3">
      <c r="A2650" s="17" t="str">
        <f>"42820"</f>
        <v>42820</v>
      </c>
      <c r="B2650" s="5" t="s">
        <v>2806</v>
      </c>
      <c r="C2650" s="17">
        <v>19900101</v>
      </c>
      <c r="D2650" s="17">
        <v>22991231</v>
      </c>
      <c r="E2650" s="25">
        <v>2637</v>
      </c>
    </row>
    <row r="2651" spans="1:5" ht="26" x14ac:dyDescent="0.3">
      <c r="A2651" s="17" t="str">
        <f>"42821"</f>
        <v>42821</v>
      </c>
      <c r="B2651" s="5" t="s">
        <v>2807</v>
      </c>
      <c r="C2651" s="17">
        <v>19900101</v>
      </c>
      <c r="D2651" s="17">
        <v>22991231</v>
      </c>
      <c r="E2651" s="25">
        <v>1259.74</v>
      </c>
    </row>
    <row r="2652" spans="1:5" x14ac:dyDescent="0.3">
      <c r="A2652" s="17" t="str">
        <f>"42825"</f>
        <v>42825</v>
      </c>
      <c r="B2652" s="5" t="s">
        <v>2808</v>
      </c>
      <c r="C2652" s="17">
        <v>19900101</v>
      </c>
      <c r="D2652" s="17">
        <v>22991231</v>
      </c>
      <c r="E2652" s="25">
        <v>2637</v>
      </c>
    </row>
    <row r="2653" spans="1:5" x14ac:dyDescent="0.3">
      <c r="A2653" s="17" t="str">
        <f>"42826"</f>
        <v>42826</v>
      </c>
      <c r="B2653" s="5" t="s">
        <v>2809</v>
      </c>
      <c r="C2653" s="17">
        <v>19900101</v>
      </c>
      <c r="D2653" s="17">
        <v>22991231</v>
      </c>
      <c r="E2653" s="25">
        <v>1259.74</v>
      </c>
    </row>
    <row r="2654" spans="1:5" ht="26" x14ac:dyDescent="0.3">
      <c r="A2654" s="17" t="str">
        <f>"42830"</f>
        <v>42830</v>
      </c>
      <c r="B2654" s="5" t="s">
        <v>2810</v>
      </c>
      <c r="C2654" s="17">
        <v>19900101</v>
      </c>
      <c r="D2654" s="17">
        <v>22991231</v>
      </c>
      <c r="E2654" s="25">
        <v>1259.74</v>
      </c>
    </row>
    <row r="2655" spans="1:5" x14ac:dyDescent="0.3">
      <c r="A2655" s="17" t="str">
        <f>"42831"</f>
        <v>42831</v>
      </c>
      <c r="B2655" s="5" t="s">
        <v>2811</v>
      </c>
      <c r="C2655" s="17">
        <v>19900101</v>
      </c>
      <c r="D2655" s="17">
        <v>22991231</v>
      </c>
      <c r="E2655" s="25">
        <v>1259.74</v>
      </c>
    </row>
    <row r="2656" spans="1:5" ht="26" x14ac:dyDescent="0.3">
      <c r="A2656" s="17" t="str">
        <f>"42835"</f>
        <v>42835</v>
      </c>
      <c r="B2656" s="5" t="s">
        <v>2812</v>
      </c>
      <c r="C2656" s="17">
        <v>19900101</v>
      </c>
      <c r="D2656" s="17">
        <v>22991231</v>
      </c>
      <c r="E2656" s="25">
        <v>1259.74</v>
      </c>
    </row>
    <row r="2657" spans="1:5" ht="26" x14ac:dyDescent="0.3">
      <c r="A2657" s="17" t="str">
        <f>"42836"</f>
        <v>42836</v>
      </c>
      <c r="B2657" s="5" t="s">
        <v>2813</v>
      </c>
      <c r="C2657" s="17">
        <v>19900101</v>
      </c>
      <c r="D2657" s="17">
        <v>22991231</v>
      </c>
      <c r="E2657" s="25">
        <v>1259.74</v>
      </c>
    </row>
    <row r="2658" spans="1:5" ht="26" x14ac:dyDescent="0.3">
      <c r="A2658" s="17" t="str">
        <f>"42842"</f>
        <v>42842</v>
      </c>
      <c r="B2658" s="5" t="s">
        <v>2814</v>
      </c>
      <c r="C2658" s="17">
        <v>19900101</v>
      </c>
      <c r="D2658" s="17">
        <v>22991231</v>
      </c>
      <c r="E2658" s="24" t="s">
        <v>7128</v>
      </c>
    </row>
    <row r="2659" spans="1:5" ht="26" x14ac:dyDescent="0.3">
      <c r="A2659" s="17" t="str">
        <f>"42844"</f>
        <v>42844</v>
      </c>
      <c r="B2659" s="5" t="s">
        <v>2815</v>
      </c>
      <c r="C2659" s="17">
        <v>19900101</v>
      </c>
      <c r="D2659" s="17">
        <v>22991231</v>
      </c>
      <c r="E2659" s="24" t="s">
        <v>7128</v>
      </c>
    </row>
    <row r="2660" spans="1:5" x14ac:dyDescent="0.3">
      <c r="A2660" s="17" t="str">
        <f>"42860"</f>
        <v>42860</v>
      </c>
      <c r="B2660" s="5" t="s">
        <v>2816</v>
      </c>
      <c r="C2660" s="17">
        <v>19900101</v>
      </c>
      <c r="D2660" s="17">
        <v>22991231</v>
      </c>
      <c r="E2660" s="25">
        <v>1259.74</v>
      </c>
    </row>
    <row r="2661" spans="1:5" ht="26" x14ac:dyDescent="0.3">
      <c r="A2661" s="17" t="str">
        <f>"42870"</f>
        <v>42870</v>
      </c>
      <c r="B2661" s="5" t="s">
        <v>2817</v>
      </c>
      <c r="C2661" s="17">
        <v>19900101</v>
      </c>
      <c r="D2661" s="17">
        <v>22991231</v>
      </c>
      <c r="E2661" s="25">
        <v>2637</v>
      </c>
    </row>
    <row r="2662" spans="1:5" x14ac:dyDescent="0.3">
      <c r="A2662" s="17" t="str">
        <f>"42890"</f>
        <v>42890</v>
      </c>
      <c r="B2662" s="5" t="s">
        <v>2818</v>
      </c>
      <c r="C2662" s="17">
        <v>19900101</v>
      </c>
      <c r="D2662" s="17">
        <v>22991231</v>
      </c>
      <c r="E2662" s="25">
        <v>2637</v>
      </c>
    </row>
    <row r="2663" spans="1:5" ht="26" x14ac:dyDescent="0.3">
      <c r="A2663" s="17" t="str">
        <f>"42892"</f>
        <v>42892</v>
      </c>
      <c r="B2663" s="5" t="s">
        <v>2819</v>
      </c>
      <c r="C2663" s="17">
        <v>19900101</v>
      </c>
      <c r="D2663" s="17">
        <v>22991231</v>
      </c>
      <c r="E2663" s="25">
        <v>2637</v>
      </c>
    </row>
    <row r="2664" spans="1:5" x14ac:dyDescent="0.3">
      <c r="A2664" s="17" t="str">
        <f>"42900"</f>
        <v>42900</v>
      </c>
      <c r="B2664" s="5" t="s">
        <v>2820</v>
      </c>
      <c r="C2664" s="17">
        <v>19900101</v>
      </c>
      <c r="D2664" s="17">
        <v>22991231</v>
      </c>
      <c r="E2664" s="25">
        <v>1060.6300000000001</v>
      </c>
    </row>
    <row r="2665" spans="1:5" x14ac:dyDescent="0.3">
      <c r="A2665" s="17" t="str">
        <f>"42950"</f>
        <v>42950</v>
      </c>
      <c r="B2665" s="5" t="s">
        <v>2821</v>
      </c>
      <c r="C2665" s="17">
        <v>19900101</v>
      </c>
      <c r="D2665" s="17">
        <v>22991231</v>
      </c>
      <c r="E2665" s="25">
        <v>2637</v>
      </c>
    </row>
    <row r="2666" spans="1:5" x14ac:dyDescent="0.3">
      <c r="A2666" s="17" t="str">
        <f>"42955"</f>
        <v>42955</v>
      </c>
      <c r="B2666" s="5" t="s">
        <v>2822</v>
      </c>
      <c r="C2666" s="17">
        <v>19900101</v>
      </c>
      <c r="D2666" s="17">
        <v>22991231</v>
      </c>
      <c r="E2666" s="25">
        <v>636.91999999999996</v>
      </c>
    </row>
    <row r="2667" spans="1:5" x14ac:dyDescent="0.3">
      <c r="A2667" s="17" t="str">
        <f>"42960"</f>
        <v>42960</v>
      </c>
      <c r="B2667" s="5" t="s">
        <v>2823</v>
      </c>
      <c r="C2667" s="17">
        <v>19900101</v>
      </c>
      <c r="D2667" s="17">
        <v>22991231</v>
      </c>
      <c r="E2667" s="25">
        <v>272.61</v>
      </c>
    </row>
    <row r="2668" spans="1:5" x14ac:dyDescent="0.3">
      <c r="A2668" s="17" t="str">
        <f>"42962"</f>
        <v>42962</v>
      </c>
      <c r="B2668" s="5" t="s">
        <v>2824</v>
      </c>
      <c r="C2668" s="17">
        <v>19900101</v>
      </c>
      <c r="D2668" s="17">
        <v>22991231</v>
      </c>
      <c r="E2668" s="25">
        <v>1259.74</v>
      </c>
    </row>
    <row r="2669" spans="1:5" ht="26" x14ac:dyDescent="0.3">
      <c r="A2669" s="17" t="str">
        <f>"42970"</f>
        <v>42970</v>
      </c>
      <c r="B2669" s="5" t="s">
        <v>2825</v>
      </c>
      <c r="C2669" s="17">
        <v>19900101</v>
      </c>
      <c r="D2669" s="17">
        <v>22991231</v>
      </c>
      <c r="E2669" s="25">
        <v>121.03</v>
      </c>
    </row>
    <row r="2670" spans="1:5" ht="26" x14ac:dyDescent="0.3">
      <c r="A2670" s="17" t="str">
        <f>"42972"</f>
        <v>42972</v>
      </c>
      <c r="B2670" s="5" t="s">
        <v>2826</v>
      </c>
      <c r="C2670" s="17">
        <v>19900101</v>
      </c>
      <c r="D2670" s="17">
        <v>22991231</v>
      </c>
      <c r="E2670" s="25">
        <v>1259.74</v>
      </c>
    </row>
    <row r="2671" spans="1:5" ht="26" x14ac:dyDescent="0.3">
      <c r="A2671" s="17" t="str">
        <f>"42975"</f>
        <v>42975</v>
      </c>
      <c r="B2671" s="5" t="s">
        <v>2827</v>
      </c>
      <c r="C2671" s="17">
        <v>20220101</v>
      </c>
      <c r="D2671" s="17">
        <v>22991231</v>
      </c>
      <c r="E2671" s="25">
        <v>723.17</v>
      </c>
    </row>
    <row r="2672" spans="1:5" ht="26" x14ac:dyDescent="0.3">
      <c r="A2672" s="17" t="str">
        <f>"43020"</f>
        <v>43020</v>
      </c>
      <c r="B2672" s="5" t="s">
        <v>2828</v>
      </c>
      <c r="C2672" s="17">
        <v>19900101</v>
      </c>
      <c r="D2672" s="17">
        <v>22991231</v>
      </c>
      <c r="E2672" s="24" t="s">
        <v>7128</v>
      </c>
    </row>
    <row r="2673" spans="1:5" x14ac:dyDescent="0.3">
      <c r="A2673" s="17" t="str">
        <f>"43030"</f>
        <v>43030</v>
      </c>
      <c r="B2673" s="5" t="s">
        <v>2829</v>
      </c>
      <c r="C2673" s="17">
        <v>19900101</v>
      </c>
      <c r="D2673" s="17">
        <v>22991231</v>
      </c>
      <c r="E2673" s="25">
        <v>2637</v>
      </c>
    </row>
    <row r="2674" spans="1:5" ht="26" x14ac:dyDescent="0.3">
      <c r="A2674" s="17" t="str">
        <f>"43130"</f>
        <v>43130</v>
      </c>
      <c r="B2674" s="5" t="s">
        <v>2830</v>
      </c>
      <c r="C2674" s="17">
        <v>19900101</v>
      </c>
      <c r="D2674" s="17">
        <v>22991231</v>
      </c>
      <c r="E2674" s="25">
        <v>2637</v>
      </c>
    </row>
    <row r="2675" spans="1:5" ht="26" x14ac:dyDescent="0.3">
      <c r="A2675" s="17" t="str">
        <f>"43180"</f>
        <v>43180</v>
      </c>
      <c r="B2675" s="5" t="s">
        <v>2831</v>
      </c>
      <c r="C2675" s="17">
        <v>20230101</v>
      </c>
      <c r="D2675" s="17">
        <v>22991231</v>
      </c>
      <c r="E2675" s="25">
        <v>2637</v>
      </c>
    </row>
    <row r="2676" spans="1:5" ht="26" x14ac:dyDescent="0.3">
      <c r="A2676" s="17" t="str">
        <f>"43191"</f>
        <v>43191</v>
      </c>
      <c r="B2676" s="5" t="s">
        <v>2832</v>
      </c>
      <c r="C2676" s="17">
        <v>20230101</v>
      </c>
      <c r="D2676" s="17">
        <v>22991231</v>
      </c>
      <c r="E2676" s="25">
        <v>794.51</v>
      </c>
    </row>
    <row r="2677" spans="1:5" x14ac:dyDescent="0.3">
      <c r="A2677" s="17" t="str">
        <f>"43192"</f>
        <v>43192</v>
      </c>
      <c r="B2677" s="5" t="s">
        <v>2833</v>
      </c>
      <c r="C2677" s="17">
        <v>20230101</v>
      </c>
      <c r="D2677" s="17">
        <v>22991231</v>
      </c>
      <c r="E2677" s="25">
        <v>794.51</v>
      </c>
    </row>
    <row r="2678" spans="1:5" x14ac:dyDescent="0.3">
      <c r="A2678" s="17" t="str">
        <f>"43193"</f>
        <v>43193</v>
      </c>
      <c r="B2678" s="5" t="s">
        <v>2834</v>
      </c>
      <c r="C2678" s="17">
        <v>20230101</v>
      </c>
      <c r="D2678" s="17">
        <v>22991231</v>
      </c>
      <c r="E2678" s="25">
        <v>794.51</v>
      </c>
    </row>
    <row r="2679" spans="1:5" ht="26" x14ac:dyDescent="0.3">
      <c r="A2679" s="17" t="str">
        <f>"43194"</f>
        <v>43194</v>
      </c>
      <c r="B2679" s="5" t="s">
        <v>2835</v>
      </c>
      <c r="C2679" s="17">
        <v>20230101</v>
      </c>
      <c r="D2679" s="17">
        <v>22991231</v>
      </c>
      <c r="E2679" s="25">
        <v>794.51</v>
      </c>
    </row>
    <row r="2680" spans="1:5" ht="26" x14ac:dyDescent="0.3">
      <c r="A2680" s="17" t="str">
        <f>"43195"</f>
        <v>43195</v>
      </c>
      <c r="B2680" s="5" t="s">
        <v>2836</v>
      </c>
      <c r="C2680" s="17">
        <v>20230101</v>
      </c>
      <c r="D2680" s="17">
        <v>22991231</v>
      </c>
      <c r="E2680" s="25">
        <v>1718.4</v>
      </c>
    </row>
    <row r="2681" spans="1:5" ht="26" x14ac:dyDescent="0.3">
      <c r="A2681" s="17" t="str">
        <f>"43196"</f>
        <v>43196</v>
      </c>
      <c r="B2681" s="5" t="s">
        <v>2837</v>
      </c>
      <c r="C2681" s="17">
        <v>20230101</v>
      </c>
      <c r="D2681" s="17">
        <v>22991231</v>
      </c>
      <c r="E2681" s="25">
        <v>794.51</v>
      </c>
    </row>
    <row r="2682" spans="1:5" ht="26" x14ac:dyDescent="0.3">
      <c r="A2682" s="17" t="str">
        <f>"43197"</f>
        <v>43197</v>
      </c>
      <c r="B2682" s="5" t="s">
        <v>2838</v>
      </c>
      <c r="C2682" s="17">
        <v>20230101</v>
      </c>
      <c r="D2682" s="17">
        <v>22991231</v>
      </c>
      <c r="E2682" s="25">
        <v>123.85</v>
      </c>
    </row>
    <row r="2683" spans="1:5" ht="26" x14ac:dyDescent="0.3">
      <c r="A2683" s="17" t="str">
        <f>"43198"</f>
        <v>43198</v>
      </c>
      <c r="B2683" s="5" t="s">
        <v>2839</v>
      </c>
      <c r="C2683" s="17">
        <v>20230101</v>
      </c>
      <c r="D2683" s="17">
        <v>22991231</v>
      </c>
      <c r="E2683" s="25">
        <v>133.55000000000001</v>
      </c>
    </row>
    <row r="2684" spans="1:5" ht="26" x14ac:dyDescent="0.3">
      <c r="A2684" s="17" t="str">
        <f>"43200"</f>
        <v>43200</v>
      </c>
      <c r="B2684" s="5" t="s">
        <v>2840</v>
      </c>
      <c r="C2684" s="17">
        <v>19900101</v>
      </c>
      <c r="D2684" s="17">
        <v>22991231</v>
      </c>
      <c r="E2684" s="25">
        <v>449.14</v>
      </c>
    </row>
    <row r="2685" spans="1:5" ht="26" x14ac:dyDescent="0.3">
      <c r="A2685" s="17" t="str">
        <f>"43201"</f>
        <v>43201</v>
      </c>
      <c r="B2685" s="5" t="s">
        <v>2841</v>
      </c>
      <c r="C2685" s="17">
        <v>20030401</v>
      </c>
      <c r="D2685" s="17">
        <v>22991231</v>
      </c>
      <c r="E2685" s="25">
        <v>794.51</v>
      </c>
    </row>
    <row r="2686" spans="1:5" ht="26" x14ac:dyDescent="0.3">
      <c r="A2686" s="17" t="str">
        <f>"43202"</f>
        <v>43202</v>
      </c>
      <c r="B2686" s="5" t="s">
        <v>2842</v>
      </c>
      <c r="C2686" s="17">
        <v>19900101</v>
      </c>
      <c r="D2686" s="17">
        <v>22991231</v>
      </c>
      <c r="E2686" s="25">
        <v>794.51</v>
      </c>
    </row>
    <row r="2687" spans="1:5" ht="26" x14ac:dyDescent="0.3">
      <c r="A2687" s="17" t="str">
        <f>"43204"</f>
        <v>43204</v>
      </c>
      <c r="B2687" s="5" t="s">
        <v>2843</v>
      </c>
      <c r="C2687" s="17">
        <v>19900101</v>
      </c>
      <c r="D2687" s="17">
        <v>22991231</v>
      </c>
      <c r="E2687" s="25">
        <v>794.51</v>
      </c>
    </row>
    <row r="2688" spans="1:5" ht="26" x14ac:dyDescent="0.3">
      <c r="A2688" s="17" t="str">
        <f>"43205"</f>
        <v>43205</v>
      </c>
      <c r="B2688" s="5" t="s">
        <v>2844</v>
      </c>
      <c r="C2688" s="17">
        <v>19940101</v>
      </c>
      <c r="D2688" s="17">
        <v>22991231</v>
      </c>
      <c r="E2688" s="25">
        <v>794.51</v>
      </c>
    </row>
    <row r="2689" spans="1:5" ht="26" x14ac:dyDescent="0.3">
      <c r="A2689" s="17" t="str">
        <f>"43206"</f>
        <v>43206</v>
      </c>
      <c r="B2689" s="5" t="s">
        <v>2845</v>
      </c>
      <c r="C2689" s="17">
        <v>20130101</v>
      </c>
      <c r="D2689" s="17">
        <v>22991231</v>
      </c>
      <c r="E2689" s="25">
        <v>794.51</v>
      </c>
    </row>
    <row r="2690" spans="1:5" ht="26" x14ac:dyDescent="0.3">
      <c r="A2690" s="17" t="str">
        <f>"43210"</f>
        <v>43210</v>
      </c>
      <c r="B2690" s="5" t="s">
        <v>2846</v>
      </c>
      <c r="C2690" s="17">
        <v>20230101</v>
      </c>
      <c r="D2690" s="17">
        <v>22991231</v>
      </c>
      <c r="E2690" s="25">
        <v>5639.45</v>
      </c>
    </row>
    <row r="2691" spans="1:5" ht="26" x14ac:dyDescent="0.3">
      <c r="A2691" s="17" t="str">
        <f>"43211"</f>
        <v>43211</v>
      </c>
      <c r="B2691" s="5" t="s">
        <v>2847</v>
      </c>
      <c r="C2691" s="17">
        <v>20230101</v>
      </c>
      <c r="D2691" s="17">
        <v>22991231</v>
      </c>
      <c r="E2691" s="25">
        <v>794.51</v>
      </c>
    </row>
    <row r="2692" spans="1:5" ht="26" x14ac:dyDescent="0.3">
      <c r="A2692" s="17" t="str">
        <f>"43212"</f>
        <v>43212</v>
      </c>
      <c r="B2692" s="5" t="s">
        <v>2848</v>
      </c>
      <c r="C2692" s="17">
        <v>20230101</v>
      </c>
      <c r="D2692" s="17">
        <v>22991231</v>
      </c>
      <c r="E2692" s="25">
        <v>3667.2</v>
      </c>
    </row>
    <row r="2693" spans="1:5" ht="26" x14ac:dyDescent="0.3">
      <c r="A2693" s="17" t="str">
        <f>"43213"</f>
        <v>43213</v>
      </c>
      <c r="B2693" s="5" t="s">
        <v>2849</v>
      </c>
      <c r="C2693" s="17">
        <v>20230101</v>
      </c>
      <c r="D2693" s="17">
        <v>22991231</v>
      </c>
      <c r="E2693" s="25">
        <v>794.51</v>
      </c>
    </row>
    <row r="2694" spans="1:5" ht="26" x14ac:dyDescent="0.3">
      <c r="A2694" s="17" t="str">
        <f>"43214"</f>
        <v>43214</v>
      </c>
      <c r="B2694" s="5" t="s">
        <v>2850</v>
      </c>
      <c r="C2694" s="17">
        <v>20230101</v>
      </c>
      <c r="D2694" s="17">
        <v>22991231</v>
      </c>
      <c r="E2694" s="25">
        <v>794.51</v>
      </c>
    </row>
    <row r="2695" spans="1:5" ht="26" x14ac:dyDescent="0.3">
      <c r="A2695" s="17" t="str">
        <f>"43215"</f>
        <v>43215</v>
      </c>
      <c r="B2695" s="5" t="s">
        <v>2851</v>
      </c>
      <c r="C2695" s="17">
        <v>19900101</v>
      </c>
      <c r="D2695" s="17">
        <v>22991231</v>
      </c>
      <c r="E2695" s="25">
        <v>794.51</v>
      </c>
    </row>
    <row r="2696" spans="1:5" ht="39" x14ac:dyDescent="0.3">
      <c r="A2696" s="17" t="str">
        <f>"43216"</f>
        <v>43216</v>
      </c>
      <c r="B2696" s="5" t="s">
        <v>2852</v>
      </c>
      <c r="C2696" s="17">
        <v>19940101</v>
      </c>
      <c r="D2696" s="17">
        <v>22991231</v>
      </c>
      <c r="E2696" s="25">
        <v>794.51</v>
      </c>
    </row>
    <row r="2697" spans="1:5" ht="26" x14ac:dyDescent="0.3">
      <c r="A2697" s="17" t="str">
        <f>"43217"</f>
        <v>43217</v>
      </c>
      <c r="B2697" s="5" t="s">
        <v>2853</v>
      </c>
      <c r="C2697" s="17">
        <v>19900101</v>
      </c>
      <c r="D2697" s="17">
        <v>22991231</v>
      </c>
      <c r="E2697" s="25">
        <v>794.51</v>
      </c>
    </row>
    <row r="2698" spans="1:5" ht="26" x14ac:dyDescent="0.3">
      <c r="A2698" s="17" t="str">
        <f>"43220"</f>
        <v>43220</v>
      </c>
      <c r="B2698" s="5" t="s">
        <v>2854</v>
      </c>
      <c r="C2698" s="17">
        <v>19900101</v>
      </c>
      <c r="D2698" s="17">
        <v>22991231</v>
      </c>
      <c r="E2698" s="25">
        <v>794.51</v>
      </c>
    </row>
    <row r="2699" spans="1:5" ht="26" x14ac:dyDescent="0.3">
      <c r="A2699" s="17" t="str">
        <f>"43226"</f>
        <v>43226</v>
      </c>
      <c r="B2699" s="5" t="s">
        <v>2855</v>
      </c>
      <c r="C2699" s="17">
        <v>19900101</v>
      </c>
      <c r="D2699" s="17">
        <v>22991231</v>
      </c>
      <c r="E2699" s="25">
        <v>794.51</v>
      </c>
    </row>
    <row r="2700" spans="1:5" ht="26" x14ac:dyDescent="0.3">
      <c r="A2700" s="17" t="str">
        <f>"43227"</f>
        <v>43227</v>
      </c>
      <c r="B2700" s="5" t="s">
        <v>2856</v>
      </c>
      <c r="C2700" s="17">
        <v>19900101</v>
      </c>
      <c r="D2700" s="17">
        <v>22991231</v>
      </c>
      <c r="E2700" s="25">
        <v>794.51</v>
      </c>
    </row>
    <row r="2701" spans="1:5" ht="26" x14ac:dyDescent="0.3">
      <c r="A2701" s="17" t="str">
        <f>"43229"</f>
        <v>43229</v>
      </c>
      <c r="B2701" s="5" t="s">
        <v>2857</v>
      </c>
      <c r="C2701" s="17">
        <v>20230101</v>
      </c>
      <c r="D2701" s="17">
        <v>22991231</v>
      </c>
      <c r="E2701" s="25">
        <v>2525.4899999999998</v>
      </c>
    </row>
    <row r="2702" spans="1:5" ht="26" x14ac:dyDescent="0.3">
      <c r="A2702" s="17" t="str">
        <f>"43231"</f>
        <v>43231</v>
      </c>
      <c r="B2702" s="5" t="s">
        <v>2858</v>
      </c>
      <c r="C2702" s="17">
        <v>20010101</v>
      </c>
      <c r="D2702" s="17">
        <v>22991231</v>
      </c>
      <c r="E2702" s="25">
        <v>794.51</v>
      </c>
    </row>
    <row r="2703" spans="1:5" ht="26" x14ac:dyDescent="0.3">
      <c r="A2703" s="17" t="str">
        <f>"43232"</f>
        <v>43232</v>
      </c>
      <c r="B2703" s="5" t="s">
        <v>2859</v>
      </c>
      <c r="C2703" s="17">
        <v>20010101</v>
      </c>
      <c r="D2703" s="17">
        <v>22991231</v>
      </c>
      <c r="E2703" s="25">
        <v>794.51</v>
      </c>
    </row>
    <row r="2704" spans="1:5" ht="39" x14ac:dyDescent="0.3">
      <c r="A2704" s="17" t="str">
        <f>"43233"</f>
        <v>43233</v>
      </c>
      <c r="B2704" s="5" t="s">
        <v>2860</v>
      </c>
      <c r="C2704" s="17">
        <v>20230101</v>
      </c>
      <c r="D2704" s="17">
        <v>22991231</v>
      </c>
      <c r="E2704" s="25">
        <v>794.51</v>
      </c>
    </row>
    <row r="2705" spans="1:5" ht="26" x14ac:dyDescent="0.3">
      <c r="A2705" s="17" t="str">
        <f>"43235"</f>
        <v>43235</v>
      </c>
      <c r="B2705" s="5" t="s">
        <v>2861</v>
      </c>
      <c r="C2705" s="17">
        <v>19900101</v>
      </c>
      <c r="D2705" s="17">
        <v>22991231</v>
      </c>
      <c r="E2705" s="25">
        <v>449.14</v>
      </c>
    </row>
    <row r="2706" spans="1:5" ht="26" x14ac:dyDescent="0.3">
      <c r="A2706" s="17" t="str">
        <f>"43236"</f>
        <v>43236</v>
      </c>
      <c r="B2706" s="5" t="s">
        <v>2862</v>
      </c>
      <c r="C2706" s="17">
        <v>20030401</v>
      </c>
      <c r="D2706" s="17">
        <v>22991231</v>
      </c>
      <c r="E2706" s="25">
        <v>449.14</v>
      </c>
    </row>
    <row r="2707" spans="1:5" ht="39" x14ac:dyDescent="0.3">
      <c r="A2707" s="17" t="str">
        <f>"43237"</f>
        <v>43237</v>
      </c>
      <c r="B2707" s="5" t="s">
        <v>2863</v>
      </c>
      <c r="C2707" s="17">
        <v>20230101</v>
      </c>
      <c r="D2707" s="17">
        <v>22991231</v>
      </c>
      <c r="E2707" s="25">
        <v>794.51</v>
      </c>
    </row>
    <row r="2708" spans="1:5" ht="26" x14ac:dyDescent="0.3">
      <c r="A2708" s="17" t="str">
        <f>"43238"</f>
        <v>43238</v>
      </c>
      <c r="B2708" s="5" t="s">
        <v>2864</v>
      </c>
      <c r="C2708" s="17">
        <v>20230101</v>
      </c>
      <c r="D2708" s="17">
        <v>22991231</v>
      </c>
      <c r="E2708" s="25">
        <v>794.51</v>
      </c>
    </row>
    <row r="2709" spans="1:5" ht="26" x14ac:dyDescent="0.3">
      <c r="A2709" s="17" t="str">
        <f>"43239"</f>
        <v>43239</v>
      </c>
      <c r="B2709" s="5" t="s">
        <v>2865</v>
      </c>
      <c r="C2709" s="17">
        <v>19900101</v>
      </c>
      <c r="D2709" s="17">
        <v>22991231</v>
      </c>
      <c r="E2709" s="25">
        <v>449.14</v>
      </c>
    </row>
    <row r="2710" spans="1:5" ht="39" x14ac:dyDescent="0.3">
      <c r="A2710" s="17" t="str">
        <f>"43240"</f>
        <v>43240</v>
      </c>
      <c r="B2710" s="5" t="s">
        <v>2866</v>
      </c>
      <c r="C2710" s="17">
        <v>20010101</v>
      </c>
      <c r="D2710" s="17">
        <v>22991231</v>
      </c>
      <c r="E2710" s="25">
        <v>3844.21</v>
      </c>
    </row>
    <row r="2711" spans="1:5" ht="39" x14ac:dyDescent="0.3">
      <c r="A2711" s="17" t="str">
        <f>"43241"</f>
        <v>43241</v>
      </c>
      <c r="B2711" s="5" t="s">
        <v>2867</v>
      </c>
      <c r="C2711" s="17">
        <v>19900101</v>
      </c>
      <c r="D2711" s="17">
        <v>22991231</v>
      </c>
      <c r="E2711" s="25">
        <v>794.51</v>
      </c>
    </row>
    <row r="2712" spans="1:5" ht="39" x14ac:dyDescent="0.3">
      <c r="A2712" s="17" t="str">
        <f>"43242"</f>
        <v>43242</v>
      </c>
      <c r="B2712" s="5" t="s">
        <v>2868</v>
      </c>
      <c r="C2712" s="17">
        <v>20010101</v>
      </c>
      <c r="D2712" s="17">
        <v>22991231</v>
      </c>
      <c r="E2712" s="25">
        <v>794.51</v>
      </c>
    </row>
    <row r="2713" spans="1:5" ht="26" x14ac:dyDescent="0.3">
      <c r="A2713" s="17" t="str">
        <f>"43243"</f>
        <v>43243</v>
      </c>
      <c r="B2713" s="5" t="s">
        <v>2869</v>
      </c>
      <c r="C2713" s="17">
        <v>19900101</v>
      </c>
      <c r="D2713" s="17">
        <v>22991231</v>
      </c>
      <c r="E2713" s="25">
        <v>794.51</v>
      </c>
    </row>
    <row r="2714" spans="1:5" ht="26" x14ac:dyDescent="0.3">
      <c r="A2714" s="17" t="str">
        <f>"43244"</f>
        <v>43244</v>
      </c>
      <c r="B2714" s="5" t="s">
        <v>2870</v>
      </c>
      <c r="C2714" s="17">
        <v>20010101</v>
      </c>
      <c r="D2714" s="17">
        <v>22991231</v>
      </c>
      <c r="E2714" s="25">
        <v>794.51</v>
      </c>
    </row>
    <row r="2715" spans="1:5" ht="26" x14ac:dyDescent="0.3">
      <c r="A2715" s="17" t="str">
        <f>"43245"</f>
        <v>43245</v>
      </c>
      <c r="B2715" s="5" t="s">
        <v>2871</v>
      </c>
      <c r="C2715" s="17">
        <v>19900101</v>
      </c>
      <c r="D2715" s="17">
        <v>22991231</v>
      </c>
      <c r="E2715" s="25">
        <v>794.51</v>
      </c>
    </row>
    <row r="2716" spans="1:5" ht="26" x14ac:dyDescent="0.3">
      <c r="A2716" s="17" t="str">
        <f>"43246"</f>
        <v>43246</v>
      </c>
      <c r="B2716" s="5" t="s">
        <v>2872</v>
      </c>
      <c r="C2716" s="17">
        <v>19900101</v>
      </c>
      <c r="D2716" s="17">
        <v>22991231</v>
      </c>
      <c r="E2716" s="25">
        <v>794.51</v>
      </c>
    </row>
    <row r="2717" spans="1:5" ht="39" x14ac:dyDescent="0.3">
      <c r="A2717" s="17" t="str">
        <f>"43247"</f>
        <v>43247</v>
      </c>
      <c r="B2717" s="5" t="s">
        <v>2873</v>
      </c>
      <c r="C2717" s="17">
        <v>19900101</v>
      </c>
      <c r="D2717" s="17">
        <v>22991231</v>
      </c>
      <c r="E2717" s="25">
        <v>449.14</v>
      </c>
    </row>
    <row r="2718" spans="1:5" ht="26" x14ac:dyDescent="0.3">
      <c r="A2718" s="17" t="str">
        <f>"43248"</f>
        <v>43248</v>
      </c>
      <c r="B2718" s="5" t="s">
        <v>2874</v>
      </c>
      <c r="C2718" s="17">
        <v>19940101</v>
      </c>
      <c r="D2718" s="17">
        <v>22991231</v>
      </c>
      <c r="E2718" s="25">
        <v>449.14</v>
      </c>
    </row>
    <row r="2719" spans="1:5" ht="39" x14ac:dyDescent="0.3">
      <c r="A2719" s="17" t="str">
        <f>"43249"</f>
        <v>43249</v>
      </c>
      <c r="B2719" s="5" t="s">
        <v>2875</v>
      </c>
      <c r="C2719" s="17">
        <v>19950101</v>
      </c>
      <c r="D2719" s="17">
        <v>22991231</v>
      </c>
      <c r="E2719" s="25">
        <v>794.51</v>
      </c>
    </row>
    <row r="2720" spans="1:5" ht="39" x14ac:dyDescent="0.3">
      <c r="A2720" s="17" t="str">
        <f>"43250"</f>
        <v>43250</v>
      </c>
      <c r="B2720" s="5" t="s">
        <v>2876</v>
      </c>
      <c r="C2720" s="17">
        <v>19940101</v>
      </c>
      <c r="D2720" s="17">
        <v>22991231</v>
      </c>
      <c r="E2720" s="25">
        <v>794.51</v>
      </c>
    </row>
    <row r="2721" spans="1:5" ht="39" x14ac:dyDescent="0.3">
      <c r="A2721" s="17" t="str">
        <f>"43251"</f>
        <v>43251</v>
      </c>
      <c r="B2721" s="5" t="s">
        <v>2877</v>
      </c>
      <c r="C2721" s="17">
        <v>19900101</v>
      </c>
      <c r="D2721" s="17">
        <v>22991231</v>
      </c>
      <c r="E2721" s="25">
        <v>794.51</v>
      </c>
    </row>
    <row r="2722" spans="1:5" ht="39" x14ac:dyDescent="0.3">
      <c r="A2722" s="17" t="str">
        <f>"43252"</f>
        <v>43252</v>
      </c>
      <c r="B2722" s="5" t="s">
        <v>2878</v>
      </c>
      <c r="C2722" s="17">
        <v>20130101</v>
      </c>
      <c r="D2722" s="17">
        <v>22991231</v>
      </c>
      <c r="E2722" s="25">
        <v>794.51</v>
      </c>
    </row>
    <row r="2723" spans="1:5" ht="39" x14ac:dyDescent="0.3">
      <c r="A2723" s="17" t="str">
        <f>"43253"</f>
        <v>43253</v>
      </c>
      <c r="B2723" s="5" t="s">
        <v>2879</v>
      </c>
      <c r="C2723" s="17">
        <v>20230101</v>
      </c>
      <c r="D2723" s="17">
        <v>22991231</v>
      </c>
      <c r="E2723" s="25">
        <v>794.51</v>
      </c>
    </row>
    <row r="2724" spans="1:5" ht="39" x14ac:dyDescent="0.3">
      <c r="A2724" s="17" t="str">
        <f>"43254"</f>
        <v>43254</v>
      </c>
      <c r="B2724" s="5" t="s">
        <v>2880</v>
      </c>
      <c r="C2724" s="17">
        <v>20230101</v>
      </c>
      <c r="D2724" s="17">
        <v>22991231</v>
      </c>
      <c r="E2724" s="25">
        <v>794.51</v>
      </c>
    </row>
    <row r="2725" spans="1:5" ht="39" x14ac:dyDescent="0.3">
      <c r="A2725" s="17" t="str">
        <f>"43255"</f>
        <v>43255</v>
      </c>
      <c r="B2725" s="5" t="s">
        <v>2881</v>
      </c>
      <c r="C2725" s="17">
        <v>19900101</v>
      </c>
      <c r="D2725" s="17">
        <v>22991231</v>
      </c>
      <c r="E2725" s="25">
        <v>794.51</v>
      </c>
    </row>
    <row r="2726" spans="1:5" ht="39" x14ac:dyDescent="0.3">
      <c r="A2726" s="17" t="str">
        <f>"43257"</f>
        <v>43257</v>
      </c>
      <c r="B2726" s="5" t="s">
        <v>2882</v>
      </c>
      <c r="C2726" s="17">
        <v>20070101</v>
      </c>
      <c r="D2726" s="17">
        <v>22991231</v>
      </c>
      <c r="E2726" s="25">
        <v>2325.48</v>
      </c>
    </row>
    <row r="2727" spans="1:5" ht="26" x14ac:dyDescent="0.3">
      <c r="A2727" s="17" t="str">
        <f>"43259"</f>
        <v>43259</v>
      </c>
      <c r="B2727" s="5" t="s">
        <v>2883</v>
      </c>
      <c r="C2727" s="17">
        <v>19940101</v>
      </c>
      <c r="D2727" s="17">
        <v>22991231</v>
      </c>
      <c r="E2727" s="25">
        <v>794.51</v>
      </c>
    </row>
    <row r="2728" spans="1:5" ht="26" x14ac:dyDescent="0.3">
      <c r="A2728" s="17" t="str">
        <f>"43260"</f>
        <v>43260</v>
      </c>
      <c r="B2728" s="5" t="s">
        <v>2884</v>
      </c>
      <c r="C2728" s="17">
        <v>19900101</v>
      </c>
      <c r="D2728" s="17">
        <v>22991231</v>
      </c>
      <c r="E2728" s="25">
        <v>1718.4</v>
      </c>
    </row>
    <row r="2729" spans="1:5" ht="26" x14ac:dyDescent="0.3">
      <c r="A2729" s="17" t="str">
        <f>"43261"</f>
        <v>43261</v>
      </c>
      <c r="B2729" s="5" t="s">
        <v>2885</v>
      </c>
      <c r="C2729" s="17">
        <v>19900101</v>
      </c>
      <c r="D2729" s="17">
        <v>22991231</v>
      </c>
      <c r="E2729" s="25">
        <v>1718.4</v>
      </c>
    </row>
    <row r="2730" spans="1:5" ht="26" x14ac:dyDescent="0.3">
      <c r="A2730" s="17" t="str">
        <f>"43262"</f>
        <v>43262</v>
      </c>
      <c r="B2730" s="5" t="s">
        <v>2886</v>
      </c>
      <c r="C2730" s="17">
        <v>19900101</v>
      </c>
      <c r="D2730" s="17">
        <v>22991231</v>
      </c>
      <c r="E2730" s="25">
        <v>1718.4</v>
      </c>
    </row>
    <row r="2731" spans="1:5" ht="26" x14ac:dyDescent="0.3">
      <c r="A2731" s="17" t="str">
        <f>"43263"</f>
        <v>43263</v>
      </c>
      <c r="B2731" s="5" t="s">
        <v>2887</v>
      </c>
      <c r="C2731" s="17">
        <v>19900101</v>
      </c>
      <c r="D2731" s="17">
        <v>22991231</v>
      </c>
      <c r="E2731" s="25">
        <v>794.51</v>
      </c>
    </row>
    <row r="2732" spans="1:5" ht="26" x14ac:dyDescent="0.3">
      <c r="A2732" s="17" t="str">
        <f>"43264"</f>
        <v>43264</v>
      </c>
      <c r="B2732" s="5" t="s">
        <v>2888</v>
      </c>
      <c r="C2732" s="17">
        <v>19900101</v>
      </c>
      <c r="D2732" s="17">
        <v>22991231</v>
      </c>
      <c r="E2732" s="25">
        <v>1718.4</v>
      </c>
    </row>
    <row r="2733" spans="1:5" ht="26" x14ac:dyDescent="0.3">
      <c r="A2733" s="17" t="str">
        <f>"43265"</f>
        <v>43265</v>
      </c>
      <c r="B2733" s="5" t="s">
        <v>2889</v>
      </c>
      <c r="C2733" s="17">
        <v>19900101</v>
      </c>
      <c r="D2733" s="17">
        <v>22991231</v>
      </c>
      <c r="E2733" s="25">
        <v>2459.81</v>
      </c>
    </row>
    <row r="2734" spans="1:5" ht="26" x14ac:dyDescent="0.3">
      <c r="A2734" s="17" t="str">
        <f>"43266"</f>
        <v>43266</v>
      </c>
      <c r="B2734" s="5" t="s">
        <v>2890</v>
      </c>
      <c r="C2734" s="17">
        <v>20230101</v>
      </c>
      <c r="D2734" s="17">
        <v>22991231</v>
      </c>
      <c r="E2734" s="25">
        <v>3785.55</v>
      </c>
    </row>
    <row r="2735" spans="1:5" ht="39" x14ac:dyDescent="0.3">
      <c r="A2735" s="17" t="str">
        <f>"43270"</f>
        <v>43270</v>
      </c>
      <c r="B2735" s="5" t="s">
        <v>2891</v>
      </c>
      <c r="C2735" s="17">
        <v>20230101</v>
      </c>
      <c r="D2735" s="17">
        <v>22991231</v>
      </c>
      <c r="E2735" s="25">
        <v>1026.07</v>
      </c>
    </row>
    <row r="2736" spans="1:5" ht="26" x14ac:dyDescent="0.3">
      <c r="A2736" s="17" t="str">
        <f>"43273"</f>
        <v>43273</v>
      </c>
      <c r="B2736" s="5" t="s">
        <v>2892</v>
      </c>
      <c r="C2736" s="17">
        <v>20090101</v>
      </c>
      <c r="D2736" s="17">
        <v>22991231</v>
      </c>
      <c r="E2736" s="25">
        <v>0</v>
      </c>
    </row>
    <row r="2737" spans="1:5" ht="26" x14ac:dyDescent="0.3">
      <c r="A2737" s="17" t="str">
        <f>"43274"</f>
        <v>43274</v>
      </c>
      <c r="B2737" s="5" t="s">
        <v>2893</v>
      </c>
      <c r="C2737" s="17">
        <v>20230101</v>
      </c>
      <c r="D2737" s="17">
        <v>22991231</v>
      </c>
      <c r="E2737" s="25">
        <v>3170.12</v>
      </c>
    </row>
    <row r="2738" spans="1:5" ht="26" x14ac:dyDescent="0.3">
      <c r="A2738" s="17" t="str">
        <f>"43275"</f>
        <v>43275</v>
      </c>
      <c r="B2738" s="5" t="s">
        <v>2894</v>
      </c>
      <c r="C2738" s="17">
        <v>20230101</v>
      </c>
      <c r="D2738" s="17">
        <v>22991231</v>
      </c>
      <c r="E2738" s="25">
        <v>794.51</v>
      </c>
    </row>
    <row r="2739" spans="1:5" ht="26" x14ac:dyDescent="0.3">
      <c r="A2739" s="17" t="str">
        <f>"43276"</f>
        <v>43276</v>
      </c>
      <c r="B2739" s="5" t="s">
        <v>2895</v>
      </c>
      <c r="C2739" s="17">
        <v>20230101</v>
      </c>
      <c r="D2739" s="17">
        <v>22991231</v>
      </c>
      <c r="E2739" s="25">
        <v>3174.03</v>
      </c>
    </row>
    <row r="2740" spans="1:5" ht="26" x14ac:dyDescent="0.3">
      <c r="A2740" s="17" t="str">
        <f>"43277"</f>
        <v>43277</v>
      </c>
      <c r="B2740" s="5" t="s">
        <v>2896</v>
      </c>
      <c r="C2740" s="17">
        <v>20230101</v>
      </c>
      <c r="D2740" s="17">
        <v>22991231</v>
      </c>
      <c r="E2740" s="25">
        <v>1718.4</v>
      </c>
    </row>
    <row r="2741" spans="1:5" ht="26" x14ac:dyDescent="0.3">
      <c r="A2741" s="17" t="str">
        <f>"43278"</f>
        <v>43278</v>
      </c>
      <c r="B2741" s="5" t="s">
        <v>2897</v>
      </c>
      <c r="C2741" s="17">
        <v>20230101</v>
      </c>
      <c r="D2741" s="17">
        <v>22991231</v>
      </c>
      <c r="E2741" s="25">
        <v>1718.4</v>
      </c>
    </row>
    <row r="2742" spans="1:5" ht="39" x14ac:dyDescent="0.3">
      <c r="A2742" s="17" t="str">
        <f>"43280"</f>
        <v>43280</v>
      </c>
      <c r="B2742" s="5" t="s">
        <v>2898</v>
      </c>
      <c r="C2742" s="17">
        <v>20000101</v>
      </c>
      <c r="D2742" s="17">
        <v>22991231</v>
      </c>
      <c r="E2742" s="24" t="s">
        <v>7128</v>
      </c>
    </row>
    <row r="2743" spans="1:5" ht="26" x14ac:dyDescent="0.3">
      <c r="A2743" s="17" t="str">
        <f>"43281"</f>
        <v>43281</v>
      </c>
      <c r="B2743" s="5" t="s">
        <v>2899</v>
      </c>
      <c r="C2743" s="17">
        <v>20100101</v>
      </c>
      <c r="D2743" s="17">
        <v>22991231</v>
      </c>
      <c r="E2743" s="24" t="s">
        <v>7128</v>
      </c>
    </row>
    <row r="2744" spans="1:5" ht="39" x14ac:dyDescent="0.3">
      <c r="A2744" s="17" t="str">
        <f>"43282"</f>
        <v>43282</v>
      </c>
      <c r="B2744" s="5" t="s">
        <v>2900</v>
      </c>
      <c r="C2744" s="17">
        <v>20100101</v>
      </c>
      <c r="D2744" s="17">
        <v>22991231</v>
      </c>
      <c r="E2744" s="24" t="s">
        <v>7128</v>
      </c>
    </row>
    <row r="2745" spans="1:5" ht="39" x14ac:dyDescent="0.3">
      <c r="A2745" s="17" t="str">
        <f>"43284"</f>
        <v>43284</v>
      </c>
      <c r="B2745" s="5" t="s">
        <v>2901</v>
      </c>
      <c r="C2745" s="17">
        <v>20170101</v>
      </c>
      <c r="D2745" s="17">
        <v>22991231</v>
      </c>
      <c r="E2745" s="25">
        <v>6199.05</v>
      </c>
    </row>
    <row r="2746" spans="1:5" ht="26" x14ac:dyDescent="0.3">
      <c r="A2746" s="17" t="str">
        <f>"43285"</f>
        <v>43285</v>
      </c>
      <c r="B2746" s="5" t="s">
        <v>2902</v>
      </c>
      <c r="C2746" s="17">
        <v>20170101</v>
      </c>
      <c r="D2746" s="17">
        <v>22991231</v>
      </c>
      <c r="E2746" s="25">
        <v>2584.12</v>
      </c>
    </row>
    <row r="2747" spans="1:5" ht="26" x14ac:dyDescent="0.3">
      <c r="A2747" s="17" t="str">
        <f>"43289"</f>
        <v>43289</v>
      </c>
      <c r="B2747" s="5" t="s">
        <v>2903</v>
      </c>
      <c r="C2747" s="17">
        <v>20000101</v>
      </c>
      <c r="D2747" s="17">
        <v>22991231</v>
      </c>
      <c r="E2747" s="24" t="s">
        <v>7128</v>
      </c>
    </row>
    <row r="2748" spans="1:5" ht="26" x14ac:dyDescent="0.3">
      <c r="A2748" s="17" t="str">
        <f>"43290"</f>
        <v>43290</v>
      </c>
      <c r="B2748" s="5" t="s">
        <v>2904</v>
      </c>
      <c r="C2748" s="17">
        <v>20230101</v>
      </c>
      <c r="D2748" s="17">
        <v>22991231</v>
      </c>
      <c r="E2748" s="25">
        <v>794.51</v>
      </c>
    </row>
    <row r="2749" spans="1:5" ht="26" x14ac:dyDescent="0.3">
      <c r="A2749" s="17" t="str">
        <f>"43291"</f>
        <v>43291</v>
      </c>
      <c r="B2749" s="5" t="s">
        <v>2905</v>
      </c>
      <c r="C2749" s="17">
        <v>20230101</v>
      </c>
      <c r="D2749" s="17">
        <v>22991231</v>
      </c>
      <c r="E2749" s="25">
        <v>449.14</v>
      </c>
    </row>
    <row r="2750" spans="1:5" ht="26" x14ac:dyDescent="0.3">
      <c r="A2750" s="17" t="str">
        <f>"43420"</f>
        <v>43420</v>
      </c>
      <c r="B2750" s="5" t="s">
        <v>2906</v>
      </c>
      <c r="C2750" s="17">
        <v>19900101</v>
      </c>
      <c r="D2750" s="17">
        <v>22991231</v>
      </c>
      <c r="E2750" s="24" t="s">
        <v>7128</v>
      </c>
    </row>
    <row r="2751" spans="1:5" x14ac:dyDescent="0.3">
      <c r="A2751" s="17" t="str">
        <f>"43450"</f>
        <v>43450</v>
      </c>
      <c r="B2751" s="5" t="s">
        <v>2907</v>
      </c>
      <c r="C2751" s="17">
        <v>19900101</v>
      </c>
      <c r="D2751" s="17">
        <v>22991231</v>
      </c>
      <c r="E2751" s="25">
        <v>449.14</v>
      </c>
    </row>
    <row r="2752" spans="1:5" x14ac:dyDescent="0.3">
      <c r="A2752" s="17" t="str">
        <f>"43453"</f>
        <v>43453</v>
      </c>
      <c r="B2752" s="5" t="s">
        <v>2908</v>
      </c>
      <c r="C2752" s="17">
        <v>19900101</v>
      </c>
      <c r="D2752" s="17">
        <v>22991231</v>
      </c>
      <c r="E2752" s="25">
        <v>794.51</v>
      </c>
    </row>
    <row r="2753" spans="1:5" ht="26" x14ac:dyDescent="0.3">
      <c r="A2753" s="17" t="str">
        <f>"43510"</f>
        <v>43510</v>
      </c>
      <c r="B2753" s="5" t="s">
        <v>2909</v>
      </c>
      <c r="C2753" s="17">
        <v>19900101</v>
      </c>
      <c r="D2753" s="17">
        <v>22991231</v>
      </c>
      <c r="E2753" s="24" t="s">
        <v>7128</v>
      </c>
    </row>
    <row r="2754" spans="1:5" ht="26" x14ac:dyDescent="0.3">
      <c r="A2754" s="17" t="str">
        <f>"43651"</f>
        <v>43651</v>
      </c>
      <c r="B2754" s="5" t="s">
        <v>2910</v>
      </c>
      <c r="C2754" s="17">
        <v>20000101</v>
      </c>
      <c r="D2754" s="17">
        <v>22991231</v>
      </c>
      <c r="E2754" s="24" t="s">
        <v>7128</v>
      </c>
    </row>
    <row r="2755" spans="1:5" ht="26" x14ac:dyDescent="0.3">
      <c r="A2755" s="17" t="str">
        <f>"43652"</f>
        <v>43652</v>
      </c>
      <c r="B2755" s="5" t="s">
        <v>2911</v>
      </c>
      <c r="C2755" s="17">
        <v>20000101</v>
      </c>
      <c r="D2755" s="17">
        <v>22991231</v>
      </c>
      <c r="E2755" s="24" t="s">
        <v>7128</v>
      </c>
    </row>
    <row r="2756" spans="1:5" ht="26" x14ac:dyDescent="0.3">
      <c r="A2756" s="17" t="str">
        <f>"43653"</f>
        <v>43653</v>
      </c>
      <c r="B2756" s="5" t="s">
        <v>2912</v>
      </c>
      <c r="C2756" s="17">
        <v>20000101</v>
      </c>
      <c r="D2756" s="17">
        <v>22991231</v>
      </c>
      <c r="E2756" s="25">
        <v>2584.12</v>
      </c>
    </row>
    <row r="2757" spans="1:5" x14ac:dyDescent="0.3">
      <c r="A2757" s="17" t="str">
        <f>"43659"</f>
        <v>43659</v>
      </c>
      <c r="B2757" s="5" t="s">
        <v>2913</v>
      </c>
      <c r="C2757" s="17">
        <v>20030801</v>
      </c>
      <c r="D2757" s="17">
        <v>22991231</v>
      </c>
      <c r="E2757" s="24" t="s">
        <v>7128</v>
      </c>
    </row>
    <row r="2758" spans="1:5" ht="26" x14ac:dyDescent="0.3">
      <c r="A2758" s="17" t="str">
        <f>"43752"</f>
        <v>43752</v>
      </c>
      <c r="B2758" s="5" t="s">
        <v>2914</v>
      </c>
      <c r="C2758" s="17">
        <v>20010101</v>
      </c>
      <c r="D2758" s="17">
        <v>22991231</v>
      </c>
      <c r="E2758" s="25">
        <v>197.42</v>
      </c>
    </row>
    <row r="2759" spans="1:5" ht="26" x14ac:dyDescent="0.3">
      <c r="A2759" s="17" t="str">
        <f>"43753"</f>
        <v>43753</v>
      </c>
      <c r="B2759" s="5" t="s">
        <v>2915</v>
      </c>
      <c r="C2759" s="17">
        <v>20110101</v>
      </c>
      <c r="D2759" s="17">
        <v>22991231</v>
      </c>
      <c r="E2759" s="25">
        <v>0</v>
      </c>
    </row>
    <row r="2760" spans="1:5" ht="26" x14ac:dyDescent="0.3">
      <c r="A2760" s="17" t="str">
        <f>"43754"</f>
        <v>43754</v>
      </c>
      <c r="B2760" s="5" t="s">
        <v>2916</v>
      </c>
      <c r="C2760" s="17">
        <v>20110101</v>
      </c>
      <c r="D2760" s="17">
        <v>22991231</v>
      </c>
      <c r="E2760" s="25">
        <v>0</v>
      </c>
    </row>
    <row r="2761" spans="1:5" ht="52" x14ac:dyDescent="0.3">
      <c r="A2761" s="17" t="str">
        <f>"43755"</f>
        <v>43755</v>
      </c>
      <c r="B2761" s="5" t="s">
        <v>2917</v>
      </c>
      <c r="C2761" s="17">
        <v>20110101</v>
      </c>
      <c r="D2761" s="17">
        <v>22991231</v>
      </c>
      <c r="E2761" s="25">
        <v>77.400000000000006</v>
      </c>
    </row>
    <row r="2762" spans="1:5" ht="39" x14ac:dyDescent="0.3">
      <c r="A2762" s="17" t="str">
        <f>"43756"</f>
        <v>43756</v>
      </c>
      <c r="B2762" s="5" t="s">
        <v>2918</v>
      </c>
      <c r="C2762" s="17">
        <v>20110101</v>
      </c>
      <c r="D2762" s="17">
        <v>22991231</v>
      </c>
      <c r="E2762" s="25">
        <v>449.14</v>
      </c>
    </row>
    <row r="2763" spans="1:5" ht="52" x14ac:dyDescent="0.3">
      <c r="A2763" s="17" t="str">
        <f>"43757"</f>
        <v>43757</v>
      </c>
      <c r="B2763" s="5" t="s">
        <v>2919</v>
      </c>
      <c r="C2763" s="17">
        <v>20110101</v>
      </c>
      <c r="D2763" s="17">
        <v>22991231</v>
      </c>
      <c r="E2763" s="25">
        <v>449.14</v>
      </c>
    </row>
    <row r="2764" spans="1:5" ht="26" x14ac:dyDescent="0.3">
      <c r="A2764" s="17" t="str">
        <f>"43761"</f>
        <v>43761</v>
      </c>
      <c r="B2764" s="5" t="s">
        <v>2920</v>
      </c>
      <c r="C2764" s="17">
        <v>19920115</v>
      </c>
      <c r="D2764" s="17">
        <v>22991231</v>
      </c>
      <c r="E2764" s="25">
        <v>122.45</v>
      </c>
    </row>
    <row r="2765" spans="1:5" x14ac:dyDescent="0.3">
      <c r="A2765" s="17" t="str">
        <f>"43762"</f>
        <v>43762</v>
      </c>
      <c r="B2765" s="5" t="s">
        <v>2921</v>
      </c>
      <c r="C2765" s="17">
        <v>20190101</v>
      </c>
      <c r="D2765" s="17">
        <v>22991231</v>
      </c>
      <c r="E2765" s="25">
        <v>122.45</v>
      </c>
    </row>
    <row r="2766" spans="1:5" ht="26" x14ac:dyDescent="0.3">
      <c r="A2766" s="17" t="str">
        <f>"43763"</f>
        <v>43763</v>
      </c>
      <c r="B2766" s="5" t="s">
        <v>2922</v>
      </c>
      <c r="C2766" s="17">
        <v>20190101</v>
      </c>
      <c r="D2766" s="17">
        <v>22991231</v>
      </c>
      <c r="E2766" s="25">
        <v>122.45</v>
      </c>
    </row>
    <row r="2767" spans="1:5" ht="26" x14ac:dyDescent="0.3">
      <c r="A2767" s="17" t="str">
        <f>"43770"</f>
        <v>43770</v>
      </c>
      <c r="B2767" s="5" t="s">
        <v>2923</v>
      </c>
      <c r="C2767" s="17">
        <v>20060101</v>
      </c>
      <c r="D2767" s="17">
        <v>22991231</v>
      </c>
      <c r="E2767" s="24" t="s">
        <v>7128</v>
      </c>
    </row>
    <row r="2768" spans="1:5" ht="26" x14ac:dyDescent="0.3">
      <c r="A2768" s="17" t="str">
        <f>"43772"</f>
        <v>43772</v>
      </c>
      <c r="B2768" s="5" t="s">
        <v>2924</v>
      </c>
      <c r="C2768" s="17">
        <v>20060101</v>
      </c>
      <c r="D2768" s="17">
        <v>22991231</v>
      </c>
      <c r="E2768" s="24" t="s">
        <v>7128</v>
      </c>
    </row>
    <row r="2769" spans="1:5" ht="26" x14ac:dyDescent="0.3">
      <c r="A2769" s="17" t="str">
        <f>"43773"</f>
        <v>43773</v>
      </c>
      <c r="B2769" s="5" t="s">
        <v>2925</v>
      </c>
      <c r="C2769" s="17">
        <v>20060101</v>
      </c>
      <c r="D2769" s="17">
        <v>22991231</v>
      </c>
      <c r="E2769" s="24" t="s">
        <v>7128</v>
      </c>
    </row>
    <row r="2770" spans="1:5" ht="26" x14ac:dyDescent="0.3">
      <c r="A2770" s="17" t="str">
        <f>"43774"</f>
        <v>43774</v>
      </c>
      <c r="B2770" s="5" t="s">
        <v>2926</v>
      </c>
      <c r="C2770" s="17">
        <v>20060101</v>
      </c>
      <c r="D2770" s="17">
        <v>22991231</v>
      </c>
      <c r="E2770" s="25">
        <v>1718.4</v>
      </c>
    </row>
    <row r="2771" spans="1:5" x14ac:dyDescent="0.3">
      <c r="A2771" s="17" t="str">
        <f>"43830"</f>
        <v>43830</v>
      </c>
      <c r="B2771" s="5" t="s">
        <v>2927</v>
      </c>
      <c r="C2771" s="17">
        <v>19900101</v>
      </c>
      <c r="D2771" s="17">
        <v>22991231</v>
      </c>
      <c r="E2771" s="24" t="s">
        <v>7128</v>
      </c>
    </row>
    <row r="2772" spans="1:5" x14ac:dyDescent="0.3">
      <c r="A2772" s="17" t="str">
        <f>"43831"</f>
        <v>43831</v>
      </c>
      <c r="B2772" s="5" t="s">
        <v>2928</v>
      </c>
      <c r="C2772" s="17">
        <v>19900101</v>
      </c>
      <c r="D2772" s="17">
        <v>22991231</v>
      </c>
      <c r="E2772" s="24" t="s">
        <v>7128</v>
      </c>
    </row>
    <row r="2773" spans="1:5" ht="26" x14ac:dyDescent="0.3">
      <c r="A2773" s="17" t="str">
        <f>"43870"</f>
        <v>43870</v>
      </c>
      <c r="B2773" s="5" t="s">
        <v>2929</v>
      </c>
      <c r="C2773" s="17">
        <v>19900101</v>
      </c>
      <c r="D2773" s="17">
        <v>22991231</v>
      </c>
      <c r="E2773" s="25">
        <v>1718.4</v>
      </c>
    </row>
    <row r="2774" spans="1:5" ht="26" x14ac:dyDescent="0.3">
      <c r="A2774" s="17" t="str">
        <f>"43886"</f>
        <v>43886</v>
      </c>
      <c r="B2774" s="5" t="s">
        <v>2930</v>
      </c>
      <c r="C2774" s="17">
        <v>20060101</v>
      </c>
      <c r="D2774" s="17">
        <v>22991231</v>
      </c>
      <c r="E2774" s="25">
        <v>1777.55</v>
      </c>
    </row>
    <row r="2775" spans="1:5" ht="26" x14ac:dyDescent="0.3">
      <c r="A2775" s="17" t="str">
        <f>"43887"</f>
        <v>43887</v>
      </c>
      <c r="B2775" s="5" t="s">
        <v>2931</v>
      </c>
      <c r="C2775" s="17">
        <v>20230101</v>
      </c>
      <c r="D2775" s="17">
        <v>22991231</v>
      </c>
      <c r="E2775" s="25">
        <v>903.54</v>
      </c>
    </row>
    <row r="2776" spans="1:5" ht="26" x14ac:dyDescent="0.3">
      <c r="A2776" s="17" t="str">
        <f>"43888"</f>
        <v>43888</v>
      </c>
      <c r="B2776" s="5" t="s">
        <v>2932</v>
      </c>
      <c r="C2776" s="17">
        <v>20060101</v>
      </c>
      <c r="D2776" s="17">
        <v>22991231</v>
      </c>
      <c r="E2776" s="25">
        <v>1777.55</v>
      </c>
    </row>
    <row r="2777" spans="1:5" ht="26" x14ac:dyDescent="0.3">
      <c r="A2777" s="17" t="str">
        <f>"44100"</f>
        <v>44100</v>
      </c>
      <c r="B2777" s="5" t="s">
        <v>2933</v>
      </c>
      <c r="C2777" s="17">
        <v>19900101</v>
      </c>
      <c r="D2777" s="17">
        <v>22991231</v>
      </c>
      <c r="E2777" s="25">
        <v>449.14</v>
      </c>
    </row>
    <row r="2778" spans="1:5" ht="26" x14ac:dyDescent="0.3">
      <c r="A2778" s="17" t="str">
        <f>"44145"</f>
        <v>44145</v>
      </c>
      <c r="B2778" s="5" t="s">
        <v>2934</v>
      </c>
      <c r="C2778" s="17">
        <v>19900101</v>
      </c>
      <c r="D2778" s="17">
        <v>22991231</v>
      </c>
      <c r="E2778" s="24" t="s">
        <v>7128</v>
      </c>
    </row>
    <row r="2779" spans="1:5" ht="26" x14ac:dyDescent="0.3">
      <c r="A2779" s="17" t="str">
        <f>"44180"</f>
        <v>44180</v>
      </c>
      <c r="B2779" s="5" t="s">
        <v>2935</v>
      </c>
      <c r="C2779" s="17">
        <v>20060101</v>
      </c>
      <c r="D2779" s="17">
        <v>22991231</v>
      </c>
      <c r="E2779" s="24" t="s">
        <v>7128</v>
      </c>
    </row>
    <row r="2780" spans="1:5" ht="39" x14ac:dyDescent="0.3">
      <c r="A2780" s="17" t="str">
        <f>"44186"</f>
        <v>44186</v>
      </c>
      <c r="B2780" s="5" t="s">
        <v>2936</v>
      </c>
      <c r="C2780" s="17">
        <v>20060101</v>
      </c>
      <c r="D2780" s="17">
        <v>22991231</v>
      </c>
      <c r="E2780" s="24" t="s">
        <v>7128</v>
      </c>
    </row>
    <row r="2781" spans="1:5" x14ac:dyDescent="0.3">
      <c r="A2781" s="17" t="str">
        <f>"44310"</f>
        <v>44310</v>
      </c>
      <c r="B2781" s="5" t="s">
        <v>2937</v>
      </c>
      <c r="C2781" s="17">
        <v>19900101</v>
      </c>
      <c r="D2781" s="17">
        <v>22991231</v>
      </c>
      <c r="E2781" s="24" t="s">
        <v>7128</v>
      </c>
    </row>
    <row r="2782" spans="1:5" ht="26" x14ac:dyDescent="0.3">
      <c r="A2782" s="17" t="str">
        <f>"44312"</f>
        <v>44312</v>
      </c>
      <c r="B2782" s="5" t="s">
        <v>2938</v>
      </c>
      <c r="C2782" s="17">
        <v>19900101</v>
      </c>
      <c r="D2782" s="17">
        <v>22991231</v>
      </c>
      <c r="E2782" s="25">
        <v>1777.55</v>
      </c>
    </row>
    <row r="2783" spans="1:5" ht="26" x14ac:dyDescent="0.3">
      <c r="A2783" s="17" t="str">
        <f>"44340"</f>
        <v>44340</v>
      </c>
      <c r="B2783" s="5" t="s">
        <v>2939</v>
      </c>
      <c r="C2783" s="17">
        <v>19900101</v>
      </c>
      <c r="D2783" s="17">
        <v>22991231</v>
      </c>
      <c r="E2783" s="25">
        <v>1777.55</v>
      </c>
    </row>
    <row r="2784" spans="1:5" ht="26" x14ac:dyDescent="0.3">
      <c r="A2784" s="17" t="str">
        <f>"44360"</f>
        <v>44360</v>
      </c>
      <c r="B2784" s="5" t="s">
        <v>2940</v>
      </c>
      <c r="C2784" s="17">
        <v>19900101</v>
      </c>
      <c r="D2784" s="17">
        <v>22991231</v>
      </c>
      <c r="E2784" s="25">
        <v>794.51</v>
      </c>
    </row>
    <row r="2785" spans="1:5" ht="26" x14ac:dyDescent="0.3">
      <c r="A2785" s="17" t="str">
        <f>"44361"</f>
        <v>44361</v>
      </c>
      <c r="B2785" s="5" t="s">
        <v>2941</v>
      </c>
      <c r="C2785" s="17">
        <v>19900101</v>
      </c>
      <c r="D2785" s="17">
        <v>22991231</v>
      </c>
      <c r="E2785" s="25">
        <v>794.51</v>
      </c>
    </row>
    <row r="2786" spans="1:5" ht="26" x14ac:dyDescent="0.3">
      <c r="A2786" s="17" t="str">
        <f>"44363"</f>
        <v>44363</v>
      </c>
      <c r="B2786" s="5" t="s">
        <v>2942</v>
      </c>
      <c r="C2786" s="17">
        <v>19900101</v>
      </c>
      <c r="D2786" s="17">
        <v>22991231</v>
      </c>
      <c r="E2786" s="25">
        <v>794.51</v>
      </c>
    </row>
    <row r="2787" spans="1:5" ht="26" x14ac:dyDescent="0.3">
      <c r="A2787" s="17" t="str">
        <f>"44364"</f>
        <v>44364</v>
      </c>
      <c r="B2787" s="5" t="s">
        <v>2943</v>
      </c>
      <c r="C2787" s="17">
        <v>19900101</v>
      </c>
      <c r="D2787" s="17">
        <v>22991231</v>
      </c>
      <c r="E2787" s="25">
        <v>794.51</v>
      </c>
    </row>
    <row r="2788" spans="1:5" ht="26" x14ac:dyDescent="0.3">
      <c r="A2788" s="17" t="str">
        <f>"44365"</f>
        <v>44365</v>
      </c>
      <c r="B2788" s="5" t="s">
        <v>2944</v>
      </c>
      <c r="C2788" s="17">
        <v>19940101</v>
      </c>
      <c r="D2788" s="17">
        <v>22991231</v>
      </c>
      <c r="E2788" s="25">
        <v>794.51</v>
      </c>
    </row>
    <row r="2789" spans="1:5" ht="26" x14ac:dyDescent="0.3">
      <c r="A2789" s="17" t="str">
        <f>"44366"</f>
        <v>44366</v>
      </c>
      <c r="B2789" s="5" t="s">
        <v>2945</v>
      </c>
      <c r="C2789" s="17">
        <v>19900101</v>
      </c>
      <c r="D2789" s="17">
        <v>22991231</v>
      </c>
      <c r="E2789" s="25">
        <v>794.51</v>
      </c>
    </row>
    <row r="2790" spans="1:5" ht="26" x14ac:dyDescent="0.3">
      <c r="A2790" s="17" t="str">
        <f>"44369"</f>
        <v>44369</v>
      </c>
      <c r="B2790" s="5" t="s">
        <v>2946</v>
      </c>
      <c r="C2790" s="17">
        <v>19900101</v>
      </c>
      <c r="D2790" s="17">
        <v>22991231</v>
      </c>
      <c r="E2790" s="25">
        <v>794.51</v>
      </c>
    </row>
    <row r="2791" spans="1:5" ht="26" x14ac:dyDescent="0.3">
      <c r="A2791" s="17" t="str">
        <f>"44370"</f>
        <v>44370</v>
      </c>
      <c r="B2791" s="5" t="s">
        <v>2947</v>
      </c>
      <c r="C2791" s="17">
        <v>20010101</v>
      </c>
      <c r="D2791" s="17">
        <v>22991231</v>
      </c>
      <c r="E2791" s="25">
        <v>4139.9799999999996</v>
      </c>
    </row>
    <row r="2792" spans="1:5" ht="26" x14ac:dyDescent="0.3">
      <c r="A2792" s="17" t="str">
        <f>"44372"</f>
        <v>44372</v>
      </c>
      <c r="B2792" s="5" t="s">
        <v>2948</v>
      </c>
      <c r="C2792" s="17">
        <v>19900101</v>
      </c>
      <c r="D2792" s="17">
        <v>22991231</v>
      </c>
      <c r="E2792" s="25">
        <v>794.51</v>
      </c>
    </row>
    <row r="2793" spans="1:5" ht="26" x14ac:dyDescent="0.3">
      <c r="A2793" s="17" t="str">
        <f>"44373"</f>
        <v>44373</v>
      </c>
      <c r="B2793" s="5" t="s">
        <v>2949</v>
      </c>
      <c r="C2793" s="17">
        <v>19900101</v>
      </c>
      <c r="D2793" s="17">
        <v>22991231</v>
      </c>
      <c r="E2793" s="25">
        <v>794.51</v>
      </c>
    </row>
    <row r="2794" spans="1:5" ht="26" x14ac:dyDescent="0.3">
      <c r="A2794" s="17" t="str">
        <f>"44376"</f>
        <v>44376</v>
      </c>
      <c r="B2794" s="5" t="s">
        <v>2950</v>
      </c>
      <c r="C2794" s="17">
        <v>19940101</v>
      </c>
      <c r="D2794" s="17">
        <v>22991231</v>
      </c>
      <c r="E2794" s="25">
        <v>794.51</v>
      </c>
    </row>
    <row r="2795" spans="1:5" x14ac:dyDescent="0.3">
      <c r="A2795" s="17" t="str">
        <f>"44377"</f>
        <v>44377</v>
      </c>
      <c r="B2795" s="5" t="s">
        <v>2951</v>
      </c>
      <c r="C2795" s="17">
        <v>19940101</v>
      </c>
      <c r="D2795" s="17">
        <v>22991231</v>
      </c>
      <c r="E2795" s="25">
        <v>794.51</v>
      </c>
    </row>
    <row r="2796" spans="1:5" ht="26" x14ac:dyDescent="0.3">
      <c r="A2796" s="17" t="str">
        <f>"44378"</f>
        <v>44378</v>
      </c>
      <c r="B2796" s="5" t="s">
        <v>2952</v>
      </c>
      <c r="C2796" s="17">
        <v>19940101</v>
      </c>
      <c r="D2796" s="17">
        <v>22991231</v>
      </c>
      <c r="E2796" s="25">
        <v>794.51</v>
      </c>
    </row>
    <row r="2797" spans="1:5" ht="26" x14ac:dyDescent="0.3">
      <c r="A2797" s="17" t="str">
        <f>"44379"</f>
        <v>44379</v>
      </c>
      <c r="B2797" s="5" t="s">
        <v>2953</v>
      </c>
      <c r="C2797" s="17">
        <v>20010101</v>
      </c>
      <c r="D2797" s="17">
        <v>22991231</v>
      </c>
      <c r="E2797" s="25">
        <v>2459.81</v>
      </c>
    </row>
    <row r="2798" spans="1:5" ht="39" x14ac:dyDescent="0.3">
      <c r="A2798" s="17" t="str">
        <f>"44380"</f>
        <v>44380</v>
      </c>
      <c r="B2798" s="5" t="s">
        <v>2954</v>
      </c>
      <c r="C2798" s="17">
        <v>19900101</v>
      </c>
      <c r="D2798" s="17">
        <v>22991231</v>
      </c>
      <c r="E2798" s="25">
        <v>449.14</v>
      </c>
    </row>
    <row r="2799" spans="1:5" ht="26" x14ac:dyDescent="0.3">
      <c r="A2799" s="17" t="str">
        <f>"44381"</f>
        <v>44381</v>
      </c>
      <c r="B2799" s="5" t="s">
        <v>2955</v>
      </c>
      <c r="C2799" s="17">
        <v>20230101</v>
      </c>
      <c r="D2799" s="17">
        <v>22991231</v>
      </c>
      <c r="E2799" s="25">
        <v>794.51</v>
      </c>
    </row>
    <row r="2800" spans="1:5" ht="39" x14ac:dyDescent="0.3">
      <c r="A2800" s="17" t="str">
        <f>"44382"</f>
        <v>44382</v>
      </c>
      <c r="B2800" s="5" t="s">
        <v>2956</v>
      </c>
      <c r="C2800" s="17">
        <v>19900101</v>
      </c>
      <c r="D2800" s="17">
        <v>22991231</v>
      </c>
      <c r="E2800" s="25">
        <v>449.14</v>
      </c>
    </row>
    <row r="2801" spans="1:5" ht="39" x14ac:dyDescent="0.3">
      <c r="A2801" s="17" t="str">
        <f>"44384"</f>
        <v>44384</v>
      </c>
      <c r="B2801" s="5" t="s">
        <v>2957</v>
      </c>
      <c r="C2801" s="17">
        <v>20230101</v>
      </c>
      <c r="D2801" s="17">
        <v>22991231</v>
      </c>
      <c r="E2801" s="25">
        <v>1041.76</v>
      </c>
    </row>
    <row r="2802" spans="1:5" ht="26" x14ac:dyDescent="0.3">
      <c r="A2802" s="17" t="str">
        <f>"44385"</f>
        <v>44385</v>
      </c>
      <c r="B2802" s="5" t="s">
        <v>2958</v>
      </c>
      <c r="C2802" s="17">
        <v>19900101</v>
      </c>
      <c r="D2802" s="17">
        <v>22991231</v>
      </c>
      <c r="E2802" s="25">
        <v>452.84</v>
      </c>
    </row>
    <row r="2803" spans="1:5" ht="26" x14ac:dyDescent="0.3">
      <c r="A2803" s="17" t="str">
        <f>"44386"</f>
        <v>44386</v>
      </c>
      <c r="B2803" s="5" t="s">
        <v>2959</v>
      </c>
      <c r="C2803" s="17">
        <v>19900101</v>
      </c>
      <c r="D2803" s="17">
        <v>22991231</v>
      </c>
      <c r="E2803" s="25">
        <v>452.84</v>
      </c>
    </row>
    <row r="2804" spans="1:5" ht="39" x14ac:dyDescent="0.3">
      <c r="A2804" s="17" t="str">
        <f>"44388"</f>
        <v>44388</v>
      </c>
      <c r="B2804" s="5" t="s">
        <v>2960</v>
      </c>
      <c r="C2804" s="17">
        <v>19900101</v>
      </c>
      <c r="D2804" s="17">
        <v>22991231</v>
      </c>
      <c r="E2804" s="25">
        <v>452.84</v>
      </c>
    </row>
    <row r="2805" spans="1:5" ht="39" x14ac:dyDescent="0.3">
      <c r="A2805" s="17" t="str">
        <f>"44389"</f>
        <v>44389</v>
      </c>
      <c r="B2805" s="5" t="s">
        <v>2961</v>
      </c>
      <c r="C2805" s="17">
        <v>19900101</v>
      </c>
      <c r="D2805" s="17">
        <v>22991231</v>
      </c>
      <c r="E2805" s="25">
        <v>584.69000000000005</v>
      </c>
    </row>
    <row r="2806" spans="1:5" ht="39" x14ac:dyDescent="0.3">
      <c r="A2806" s="17" t="str">
        <f>"44390"</f>
        <v>44390</v>
      </c>
      <c r="B2806" s="5" t="s">
        <v>2962</v>
      </c>
      <c r="C2806" s="17">
        <v>19900101</v>
      </c>
      <c r="D2806" s="17">
        <v>22991231</v>
      </c>
      <c r="E2806" s="25">
        <v>452.84</v>
      </c>
    </row>
    <row r="2807" spans="1:5" ht="39" x14ac:dyDescent="0.3">
      <c r="A2807" s="17" t="str">
        <f>"44391"</f>
        <v>44391</v>
      </c>
      <c r="B2807" s="5" t="s">
        <v>2963</v>
      </c>
      <c r="C2807" s="17">
        <v>19900101</v>
      </c>
      <c r="D2807" s="17">
        <v>22991231</v>
      </c>
      <c r="E2807" s="25">
        <v>584.69000000000005</v>
      </c>
    </row>
    <row r="2808" spans="1:5" ht="52" x14ac:dyDescent="0.3">
      <c r="A2808" s="17" t="str">
        <f>"44392"</f>
        <v>44392</v>
      </c>
      <c r="B2808" s="5" t="s">
        <v>2964</v>
      </c>
      <c r="C2808" s="17">
        <v>19900101</v>
      </c>
      <c r="D2808" s="17">
        <v>22991231</v>
      </c>
      <c r="E2808" s="25">
        <v>584.69000000000005</v>
      </c>
    </row>
    <row r="2809" spans="1:5" ht="52" x14ac:dyDescent="0.3">
      <c r="A2809" s="17" t="str">
        <f>"44394"</f>
        <v>44394</v>
      </c>
      <c r="B2809" s="5" t="s">
        <v>2965</v>
      </c>
      <c r="C2809" s="17">
        <v>19940101</v>
      </c>
      <c r="D2809" s="17">
        <v>22991231</v>
      </c>
      <c r="E2809" s="25">
        <v>584.69000000000005</v>
      </c>
    </row>
    <row r="2810" spans="1:5" ht="39" x14ac:dyDescent="0.3">
      <c r="A2810" s="17" t="str">
        <f>"44401"</f>
        <v>44401</v>
      </c>
      <c r="B2810" s="5" t="s">
        <v>2966</v>
      </c>
      <c r="C2810" s="17">
        <v>20230101</v>
      </c>
      <c r="D2810" s="17">
        <v>22991231</v>
      </c>
      <c r="E2810" s="25">
        <v>584.69000000000005</v>
      </c>
    </row>
    <row r="2811" spans="1:5" ht="39" x14ac:dyDescent="0.3">
      <c r="A2811" s="17" t="str">
        <f>"44402"</f>
        <v>44402</v>
      </c>
      <c r="B2811" s="5" t="s">
        <v>2967</v>
      </c>
      <c r="C2811" s="17">
        <v>20230101</v>
      </c>
      <c r="D2811" s="17">
        <v>22991231</v>
      </c>
      <c r="E2811" s="25">
        <v>3097.88</v>
      </c>
    </row>
    <row r="2812" spans="1:5" ht="39" x14ac:dyDescent="0.3">
      <c r="A2812" s="17" t="str">
        <f>"44403"</f>
        <v>44403</v>
      </c>
      <c r="B2812" s="5" t="s">
        <v>2968</v>
      </c>
      <c r="C2812" s="17">
        <v>20230101</v>
      </c>
      <c r="D2812" s="17">
        <v>22991231</v>
      </c>
      <c r="E2812" s="25">
        <v>584.69000000000005</v>
      </c>
    </row>
    <row r="2813" spans="1:5" ht="39" x14ac:dyDescent="0.3">
      <c r="A2813" s="17" t="str">
        <f>"44404"</f>
        <v>44404</v>
      </c>
      <c r="B2813" s="5" t="s">
        <v>2969</v>
      </c>
      <c r="C2813" s="17">
        <v>20230101</v>
      </c>
      <c r="D2813" s="17">
        <v>22991231</v>
      </c>
      <c r="E2813" s="25">
        <v>584.69000000000005</v>
      </c>
    </row>
    <row r="2814" spans="1:5" ht="26" x14ac:dyDescent="0.3">
      <c r="A2814" s="17" t="str">
        <f>"44405"</f>
        <v>44405</v>
      </c>
      <c r="B2814" s="5" t="s">
        <v>2970</v>
      </c>
      <c r="C2814" s="17">
        <v>20230101</v>
      </c>
      <c r="D2814" s="17">
        <v>22991231</v>
      </c>
      <c r="E2814" s="25">
        <v>584.69000000000005</v>
      </c>
    </row>
    <row r="2815" spans="1:5" ht="39" x14ac:dyDescent="0.3">
      <c r="A2815" s="17" t="str">
        <f>"44406"</f>
        <v>44406</v>
      </c>
      <c r="B2815" s="5" t="s">
        <v>2971</v>
      </c>
      <c r="C2815" s="17">
        <v>20230101</v>
      </c>
      <c r="D2815" s="17">
        <v>22991231</v>
      </c>
      <c r="E2815" s="25">
        <v>584.69000000000005</v>
      </c>
    </row>
    <row r="2816" spans="1:5" ht="52" x14ac:dyDescent="0.3">
      <c r="A2816" s="17" t="str">
        <f>"44407"</f>
        <v>44407</v>
      </c>
      <c r="B2816" s="5" t="s">
        <v>2972</v>
      </c>
      <c r="C2816" s="17">
        <v>20230101</v>
      </c>
      <c r="D2816" s="17">
        <v>22991231</v>
      </c>
      <c r="E2816" s="25">
        <v>584.69000000000005</v>
      </c>
    </row>
    <row r="2817" spans="1:5" ht="39" x14ac:dyDescent="0.3">
      <c r="A2817" s="17" t="str">
        <f>"44408"</f>
        <v>44408</v>
      </c>
      <c r="B2817" s="5" t="s">
        <v>2973</v>
      </c>
      <c r="C2817" s="17">
        <v>20230101</v>
      </c>
      <c r="D2817" s="17">
        <v>22991231</v>
      </c>
      <c r="E2817" s="25">
        <v>452.84</v>
      </c>
    </row>
    <row r="2818" spans="1:5" ht="26" x14ac:dyDescent="0.3">
      <c r="A2818" s="17" t="str">
        <f>"44500"</f>
        <v>44500</v>
      </c>
      <c r="B2818" s="5" t="s">
        <v>2974</v>
      </c>
      <c r="C2818" s="17">
        <v>19900101</v>
      </c>
      <c r="D2818" s="17">
        <v>22991231</v>
      </c>
      <c r="E2818" s="25">
        <v>449.14</v>
      </c>
    </row>
    <row r="2819" spans="1:5" x14ac:dyDescent="0.3">
      <c r="A2819" s="17" t="str">
        <f>"44602"</f>
        <v>44602</v>
      </c>
      <c r="B2819" s="5" t="s">
        <v>2975</v>
      </c>
      <c r="C2819" s="17">
        <v>19900101</v>
      </c>
      <c r="D2819" s="17">
        <v>22991231</v>
      </c>
      <c r="E2819" s="24" t="s">
        <v>7128</v>
      </c>
    </row>
    <row r="2820" spans="1:5" x14ac:dyDescent="0.3">
      <c r="A2820" s="17" t="str">
        <f>"44701"</f>
        <v>44701</v>
      </c>
      <c r="B2820" s="5" t="s">
        <v>2976</v>
      </c>
      <c r="C2820" s="17">
        <v>20230101</v>
      </c>
      <c r="D2820" s="17">
        <v>22991231</v>
      </c>
      <c r="E2820" s="25">
        <v>0</v>
      </c>
    </row>
    <row r="2821" spans="1:5" x14ac:dyDescent="0.3">
      <c r="A2821" s="17" t="str">
        <f>"44950"</f>
        <v>44950</v>
      </c>
      <c r="B2821" s="5" t="s">
        <v>2977</v>
      </c>
      <c r="C2821" s="17">
        <v>19900101</v>
      </c>
      <c r="D2821" s="17">
        <v>22991231</v>
      </c>
      <c r="E2821" s="24" t="s">
        <v>7128</v>
      </c>
    </row>
    <row r="2822" spans="1:5" ht="26" x14ac:dyDescent="0.3">
      <c r="A2822" s="17" t="str">
        <f>"44955"</f>
        <v>44955</v>
      </c>
      <c r="B2822" s="5" t="s">
        <v>2978</v>
      </c>
      <c r="C2822" s="17">
        <v>19900101</v>
      </c>
      <c r="D2822" s="17">
        <v>22991231</v>
      </c>
      <c r="E2822" s="24" t="s">
        <v>7128</v>
      </c>
    </row>
    <row r="2823" spans="1:5" x14ac:dyDescent="0.3">
      <c r="A2823" s="17" t="str">
        <f>"44970"</f>
        <v>44970</v>
      </c>
      <c r="B2823" s="5" t="s">
        <v>2979</v>
      </c>
      <c r="C2823" s="17">
        <v>19900101</v>
      </c>
      <c r="D2823" s="17">
        <v>22991231</v>
      </c>
      <c r="E2823" s="24" t="s">
        <v>7128</v>
      </c>
    </row>
    <row r="2824" spans="1:5" x14ac:dyDescent="0.3">
      <c r="A2824" s="17" t="str">
        <f>"45000"</f>
        <v>45000</v>
      </c>
      <c r="B2824" s="5" t="s">
        <v>2980</v>
      </c>
      <c r="C2824" s="17">
        <v>19900101</v>
      </c>
      <c r="D2824" s="17">
        <v>22991231</v>
      </c>
      <c r="E2824" s="25">
        <v>584.69000000000005</v>
      </c>
    </row>
    <row r="2825" spans="1:5" x14ac:dyDescent="0.3">
      <c r="A2825" s="17" t="str">
        <f>"45005"</f>
        <v>45005</v>
      </c>
      <c r="B2825" s="5" t="s">
        <v>2981</v>
      </c>
      <c r="C2825" s="17">
        <v>19900101</v>
      </c>
      <c r="D2825" s="17">
        <v>22991231</v>
      </c>
      <c r="E2825" s="25">
        <v>584.69000000000005</v>
      </c>
    </row>
    <row r="2826" spans="1:5" ht="26" x14ac:dyDescent="0.3">
      <c r="A2826" s="17" t="str">
        <f>"45020"</f>
        <v>45020</v>
      </c>
      <c r="B2826" s="5" t="s">
        <v>2982</v>
      </c>
      <c r="C2826" s="17">
        <v>19900101</v>
      </c>
      <c r="D2826" s="17">
        <v>22991231</v>
      </c>
      <c r="E2826" s="25">
        <v>1288.55</v>
      </c>
    </row>
    <row r="2827" spans="1:5" x14ac:dyDescent="0.3">
      <c r="A2827" s="17" t="str">
        <f>"45100"</f>
        <v>45100</v>
      </c>
      <c r="B2827" s="5" t="s">
        <v>2983</v>
      </c>
      <c r="C2827" s="17">
        <v>19900101</v>
      </c>
      <c r="D2827" s="17">
        <v>22991231</v>
      </c>
      <c r="E2827" s="25">
        <v>1288.55</v>
      </c>
    </row>
    <row r="2828" spans="1:5" x14ac:dyDescent="0.3">
      <c r="A2828" s="17" t="str">
        <f>"45108"</f>
        <v>45108</v>
      </c>
      <c r="B2828" s="5" t="s">
        <v>2984</v>
      </c>
      <c r="C2828" s="17">
        <v>19900101</v>
      </c>
      <c r="D2828" s="17">
        <v>22991231</v>
      </c>
      <c r="E2828" s="25">
        <v>1288.55</v>
      </c>
    </row>
    <row r="2829" spans="1:5" x14ac:dyDescent="0.3">
      <c r="A2829" s="17" t="str">
        <f>"45150"</f>
        <v>45150</v>
      </c>
      <c r="B2829" s="5" t="s">
        <v>2985</v>
      </c>
      <c r="C2829" s="17">
        <v>19900101</v>
      </c>
      <c r="D2829" s="17">
        <v>22991231</v>
      </c>
      <c r="E2829" s="25">
        <v>584.69000000000005</v>
      </c>
    </row>
    <row r="2830" spans="1:5" x14ac:dyDescent="0.3">
      <c r="A2830" s="17" t="str">
        <f>"45160"</f>
        <v>45160</v>
      </c>
      <c r="B2830" s="5" t="s">
        <v>2986</v>
      </c>
      <c r="C2830" s="17">
        <v>19900101</v>
      </c>
      <c r="D2830" s="17">
        <v>22991231</v>
      </c>
      <c r="E2830" s="25">
        <v>1288.55</v>
      </c>
    </row>
    <row r="2831" spans="1:5" x14ac:dyDescent="0.3">
      <c r="A2831" s="17" t="str">
        <f>"45171"</f>
        <v>45171</v>
      </c>
      <c r="B2831" s="5" t="s">
        <v>2987</v>
      </c>
      <c r="C2831" s="17">
        <v>20100101</v>
      </c>
      <c r="D2831" s="17">
        <v>22991231</v>
      </c>
      <c r="E2831" s="25">
        <v>1288.55</v>
      </c>
    </row>
    <row r="2832" spans="1:5" ht="26" x14ac:dyDescent="0.3">
      <c r="A2832" s="17" t="str">
        <f>"45172"</f>
        <v>45172</v>
      </c>
      <c r="B2832" s="5" t="s">
        <v>2988</v>
      </c>
      <c r="C2832" s="17">
        <v>20100101</v>
      </c>
      <c r="D2832" s="17">
        <v>22991231</v>
      </c>
      <c r="E2832" s="25">
        <v>1288.55</v>
      </c>
    </row>
    <row r="2833" spans="1:5" x14ac:dyDescent="0.3">
      <c r="A2833" s="17" t="str">
        <f>"45190"</f>
        <v>45190</v>
      </c>
      <c r="B2833" s="5" t="s">
        <v>2989</v>
      </c>
      <c r="C2833" s="17">
        <v>19900101</v>
      </c>
      <c r="D2833" s="17">
        <v>22991231</v>
      </c>
      <c r="E2833" s="25">
        <v>1288.55</v>
      </c>
    </row>
    <row r="2834" spans="1:5" ht="26" x14ac:dyDescent="0.3">
      <c r="A2834" s="17" t="str">
        <f>"45300"</f>
        <v>45300</v>
      </c>
      <c r="B2834" s="5" t="s">
        <v>2990</v>
      </c>
      <c r="C2834" s="17">
        <v>19900101</v>
      </c>
      <c r="D2834" s="17">
        <v>22991231</v>
      </c>
      <c r="E2834" s="25">
        <v>91.32</v>
      </c>
    </row>
    <row r="2835" spans="1:5" ht="26" x14ac:dyDescent="0.3">
      <c r="A2835" s="17" t="str">
        <f>"45303"</f>
        <v>45303</v>
      </c>
      <c r="B2835" s="5" t="s">
        <v>2991</v>
      </c>
      <c r="C2835" s="17">
        <v>19900101</v>
      </c>
      <c r="D2835" s="17">
        <v>22991231</v>
      </c>
      <c r="E2835" s="25">
        <v>584.69000000000005</v>
      </c>
    </row>
    <row r="2836" spans="1:5" ht="26" x14ac:dyDescent="0.3">
      <c r="A2836" s="17" t="str">
        <f>"45305"</f>
        <v>45305</v>
      </c>
      <c r="B2836" s="5" t="s">
        <v>2992</v>
      </c>
      <c r="C2836" s="17">
        <v>19900101</v>
      </c>
      <c r="D2836" s="17">
        <v>22991231</v>
      </c>
      <c r="E2836" s="25">
        <v>584.69000000000005</v>
      </c>
    </row>
    <row r="2837" spans="1:5" ht="26" x14ac:dyDescent="0.3">
      <c r="A2837" s="17" t="str">
        <f>"45307"</f>
        <v>45307</v>
      </c>
      <c r="B2837" s="5" t="s">
        <v>2993</v>
      </c>
      <c r="C2837" s="17">
        <v>19900101</v>
      </c>
      <c r="D2837" s="17">
        <v>22991231</v>
      </c>
      <c r="E2837" s="25">
        <v>1288.55</v>
      </c>
    </row>
    <row r="2838" spans="1:5" ht="26" x14ac:dyDescent="0.3">
      <c r="A2838" s="17" t="str">
        <f>"45308"</f>
        <v>45308</v>
      </c>
      <c r="B2838" s="5" t="s">
        <v>2994</v>
      </c>
      <c r="C2838" s="17">
        <v>19940101</v>
      </c>
      <c r="D2838" s="17">
        <v>22991231</v>
      </c>
      <c r="E2838" s="25">
        <v>1288.55</v>
      </c>
    </row>
    <row r="2839" spans="1:5" ht="26" x14ac:dyDescent="0.3">
      <c r="A2839" s="17" t="str">
        <f>"45309"</f>
        <v>45309</v>
      </c>
      <c r="B2839" s="5" t="s">
        <v>2995</v>
      </c>
      <c r="C2839" s="17">
        <v>19940101</v>
      </c>
      <c r="D2839" s="17">
        <v>22991231</v>
      </c>
      <c r="E2839" s="25">
        <v>584.69000000000005</v>
      </c>
    </row>
    <row r="2840" spans="1:5" ht="39" x14ac:dyDescent="0.3">
      <c r="A2840" s="17" t="str">
        <f>"45315"</f>
        <v>45315</v>
      </c>
      <c r="B2840" s="5" t="s">
        <v>2996</v>
      </c>
      <c r="C2840" s="17">
        <v>19900101</v>
      </c>
      <c r="D2840" s="17">
        <v>22991231</v>
      </c>
      <c r="E2840" s="25">
        <v>584.69000000000005</v>
      </c>
    </row>
    <row r="2841" spans="1:5" ht="26" x14ac:dyDescent="0.3">
      <c r="A2841" s="17" t="str">
        <f>"45317"</f>
        <v>45317</v>
      </c>
      <c r="B2841" s="5" t="s">
        <v>2997</v>
      </c>
      <c r="C2841" s="17">
        <v>19900101</v>
      </c>
      <c r="D2841" s="17">
        <v>22991231</v>
      </c>
      <c r="E2841" s="25">
        <v>584.69000000000005</v>
      </c>
    </row>
    <row r="2842" spans="1:5" ht="26" x14ac:dyDescent="0.3">
      <c r="A2842" s="17" t="str">
        <f>"45320"</f>
        <v>45320</v>
      </c>
      <c r="B2842" s="5" t="s">
        <v>2998</v>
      </c>
      <c r="C2842" s="17">
        <v>19900101</v>
      </c>
      <c r="D2842" s="17">
        <v>22991231</v>
      </c>
      <c r="E2842" s="25">
        <v>1288.55</v>
      </c>
    </row>
    <row r="2843" spans="1:5" ht="26" x14ac:dyDescent="0.3">
      <c r="A2843" s="17" t="str">
        <f>"45321"</f>
        <v>45321</v>
      </c>
      <c r="B2843" s="5" t="s">
        <v>2999</v>
      </c>
      <c r="C2843" s="17">
        <v>19900101</v>
      </c>
      <c r="D2843" s="17">
        <v>22991231</v>
      </c>
      <c r="E2843" s="25">
        <v>1288.55</v>
      </c>
    </row>
    <row r="2844" spans="1:5" ht="26" x14ac:dyDescent="0.3">
      <c r="A2844" s="17" t="str">
        <f>"45327"</f>
        <v>45327</v>
      </c>
      <c r="B2844" s="5" t="s">
        <v>3000</v>
      </c>
      <c r="C2844" s="17">
        <v>20010101</v>
      </c>
      <c r="D2844" s="17">
        <v>22991231</v>
      </c>
      <c r="E2844" s="25">
        <v>3817.25</v>
      </c>
    </row>
    <row r="2845" spans="1:5" ht="26" x14ac:dyDescent="0.3">
      <c r="A2845" s="17" t="str">
        <f>"45330"</f>
        <v>45330</v>
      </c>
      <c r="B2845" s="5" t="s">
        <v>3001</v>
      </c>
      <c r="C2845" s="17">
        <v>19900101</v>
      </c>
      <c r="D2845" s="17">
        <v>22991231</v>
      </c>
      <c r="E2845" s="25">
        <v>144.81</v>
      </c>
    </row>
    <row r="2846" spans="1:5" ht="26" x14ac:dyDescent="0.3">
      <c r="A2846" s="17" t="str">
        <f>"45331"</f>
        <v>45331</v>
      </c>
      <c r="B2846" s="5" t="s">
        <v>3002</v>
      </c>
      <c r="C2846" s="17">
        <v>19900101</v>
      </c>
      <c r="D2846" s="17">
        <v>22991231</v>
      </c>
      <c r="E2846" s="25">
        <v>452.84</v>
      </c>
    </row>
    <row r="2847" spans="1:5" ht="26" x14ac:dyDescent="0.3">
      <c r="A2847" s="17" t="str">
        <f>"45332"</f>
        <v>45332</v>
      </c>
      <c r="B2847" s="5" t="s">
        <v>3003</v>
      </c>
      <c r="C2847" s="17">
        <v>19900101</v>
      </c>
      <c r="D2847" s="17">
        <v>22991231</v>
      </c>
      <c r="E2847" s="25">
        <v>584.69000000000005</v>
      </c>
    </row>
    <row r="2848" spans="1:5" ht="39" x14ac:dyDescent="0.3">
      <c r="A2848" s="17" t="str">
        <f>"45333"</f>
        <v>45333</v>
      </c>
      <c r="B2848" s="5" t="s">
        <v>3004</v>
      </c>
      <c r="C2848" s="17">
        <v>19900101</v>
      </c>
      <c r="D2848" s="17">
        <v>22991231</v>
      </c>
      <c r="E2848" s="25">
        <v>452.84</v>
      </c>
    </row>
    <row r="2849" spans="1:5" ht="26" x14ac:dyDescent="0.3">
      <c r="A2849" s="17" t="str">
        <f>"45334"</f>
        <v>45334</v>
      </c>
      <c r="B2849" s="5" t="s">
        <v>3005</v>
      </c>
      <c r="C2849" s="17">
        <v>19900101</v>
      </c>
      <c r="D2849" s="17">
        <v>22991231</v>
      </c>
      <c r="E2849" s="25">
        <v>584.69000000000005</v>
      </c>
    </row>
    <row r="2850" spans="1:5" ht="26" x14ac:dyDescent="0.3">
      <c r="A2850" s="17" t="str">
        <f>"45335"</f>
        <v>45335</v>
      </c>
      <c r="B2850" s="5" t="s">
        <v>3006</v>
      </c>
      <c r="C2850" s="17">
        <v>20230101</v>
      </c>
      <c r="D2850" s="17">
        <v>22991231</v>
      </c>
      <c r="E2850" s="25">
        <v>452.84</v>
      </c>
    </row>
    <row r="2851" spans="1:5" ht="26" x14ac:dyDescent="0.3">
      <c r="A2851" s="17" t="str">
        <f>"45337"</f>
        <v>45337</v>
      </c>
      <c r="B2851" s="5" t="s">
        <v>3007</v>
      </c>
      <c r="C2851" s="17">
        <v>19900101</v>
      </c>
      <c r="D2851" s="17">
        <v>22991231</v>
      </c>
      <c r="E2851" s="25">
        <v>452.84</v>
      </c>
    </row>
    <row r="2852" spans="1:5" ht="39" x14ac:dyDescent="0.3">
      <c r="A2852" s="17" t="str">
        <f>"45338"</f>
        <v>45338</v>
      </c>
      <c r="B2852" s="5" t="s">
        <v>3008</v>
      </c>
      <c r="C2852" s="17">
        <v>19940101</v>
      </c>
      <c r="D2852" s="17">
        <v>22991231</v>
      </c>
      <c r="E2852" s="25">
        <v>584.69000000000005</v>
      </c>
    </row>
    <row r="2853" spans="1:5" ht="26" x14ac:dyDescent="0.3">
      <c r="A2853" s="17" t="str">
        <f>"45340"</f>
        <v>45340</v>
      </c>
      <c r="B2853" s="5" t="s">
        <v>3009</v>
      </c>
      <c r="C2853" s="17">
        <v>20030401</v>
      </c>
      <c r="D2853" s="17">
        <v>22991231</v>
      </c>
      <c r="E2853" s="25">
        <v>584.69000000000005</v>
      </c>
    </row>
    <row r="2854" spans="1:5" ht="26" x14ac:dyDescent="0.3">
      <c r="A2854" s="17" t="str">
        <f>"45341"</f>
        <v>45341</v>
      </c>
      <c r="B2854" s="5" t="s">
        <v>3010</v>
      </c>
      <c r="C2854" s="17">
        <v>20010101</v>
      </c>
      <c r="D2854" s="17">
        <v>22991231</v>
      </c>
      <c r="E2854" s="25">
        <v>452.84</v>
      </c>
    </row>
    <row r="2855" spans="1:5" ht="39" x14ac:dyDescent="0.3">
      <c r="A2855" s="17" t="str">
        <f>"45342"</f>
        <v>45342</v>
      </c>
      <c r="B2855" s="5" t="s">
        <v>3011</v>
      </c>
      <c r="C2855" s="17">
        <v>20010101</v>
      </c>
      <c r="D2855" s="17">
        <v>22991231</v>
      </c>
      <c r="E2855" s="25">
        <v>584.69000000000005</v>
      </c>
    </row>
    <row r="2856" spans="1:5" ht="26" x14ac:dyDescent="0.3">
      <c r="A2856" s="17" t="str">
        <f>"45346"</f>
        <v>45346</v>
      </c>
      <c r="B2856" s="5" t="s">
        <v>3012</v>
      </c>
      <c r="C2856" s="17">
        <v>20230101</v>
      </c>
      <c r="D2856" s="17">
        <v>22991231</v>
      </c>
      <c r="E2856" s="25">
        <v>584.69000000000005</v>
      </c>
    </row>
    <row r="2857" spans="1:5" ht="26" x14ac:dyDescent="0.3">
      <c r="A2857" s="17" t="str">
        <f>"45347"</f>
        <v>45347</v>
      </c>
      <c r="B2857" s="5" t="s">
        <v>3013</v>
      </c>
      <c r="C2857" s="17">
        <v>20230101</v>
      </c>
      <c r="D2857" s="17">
        <v>22991231</v>
      </c>
      <c r="E2857" s="25">
        <v>3835.98</v>
      </c>
    </row>
    <row r="2858" spans="1:5" ht="26" x14ac:dyDescent="0.3">
      <c r="A2858" s="17" t="str">
        <f>"45349"</f>
        <v>45349</v>
      </c>
      <c r="B2858" s="5" t="s">
        <v>3014</v>
      </c>
      <c r="C2858" s="17">
        <v>20230101</v>
      </c>
      <c r="D2858" s="17">
        <v>22991231</v>
      </c>
      <c r="E2858" s="25">
        <v>1288.55</v>
      </c>
    </row>
    <row r="2859" spans="1:5" ht="26" x14ac:dyDescent="0.3">
      <c r="A2859" s="17" t="str">
        <f>"45350"</f>
        <v>45350</v>
      </c>
      <c r="B2859" s="5" t="s">
        <v>3015</v>
      </c>
      <c r="C2859" s="17">
        <v>20230101</v>
      </c>
      <c r="D2859" s="17">
        <v>22991231</v>
      </c>
      <c r="E2859" s="25">
        <v>584.69000000000005</v>
      </c>
    </row>
    <row r="2860" spans="1:5" ht="26" x14ac:dyDescent="0.3">
      <c r="A2860" s="17" t="str">
        <f>"45378"</f>
        <v>45378</v>
      </c>
      <c r="B2860" s="5" t="s">
        <v>3016</v>
      </c>
      <c r="C2860" s="17">
        <v>19900101</v>
      </c>
      <c r="D2860" s="17">
        <v>22991231</v>
      </c>
      <c r="E2860" s="25">
        <v>452.84</v>
      </c>
    </row>
    <row r="2861" spans="1:5" ht="26" x14ac:dyDescent="0.3">
      <c r="A2861" s="17" t="str">
        <f>"45379"</f>
        <v>45379</v>
      </c>
      <c r="B2861" s="5" t="s">
        <v>3017</v>
      </c>
      <c r="C2861" s="17">
        <v>19900101</v>
      </c>
      <c r="D2861" s="17">
        <v>22991231</v>
      </c>
      <c r="E2861" s="25">
        <v>584.69000000000005</v>
      </c>
    </row>
    <row r="2862" spans="1:5" ht="26" x14ac:dyDescent="0.3">
      <c r="A2862" s="17" t="str">
        <f>"45380"</f>
        <v>45380</v>
      </c>
      <c r="B2862" s="5" t="s">
        <v>3018</v>
      </c>
      <c r="C2862" s="17">
        <v>19900101</v>
      </c>
      <c r="D2862" s="17">
        <v>22991231</v>
      </c>
      <c r="E2862" s="25">
        <v>584.69000000000005</v>
      </c>
    </row>
    <row r="2863" spans="1:5" ht="26" x14ac:dyDescent="0.3">
      <c r="A2863" s="17" t="str">
        <f>"45381"</f>
        <v>45381</v>
      </c>
      <c r="B2863" s="5" t="s">
        <v>3019</v>
      </c>
      <c r="C2863" s="17">
        <v>20030101</v>
      </c>
      <c r="D2863" s="17">
        <v>22991231</v>
      </c>
      <c r="E2863" s="25">
        <v>584.69000000000005</v>
      </c>
    </row>
    <row r="2864" spans="1:5" ht="26" x14ac:dyDescent="0.3">
      <c r="A2864" s="17" t="str">
        <f>"45382"</f>
        <v>45382</v>
      </c>
      <c r="B2864" s="5" t="s">
        <v>3020</v>
      </c>
      <c r="C2864" s="17">
        <v>19900101</v>
      </c>
      <c r="D2864" s="17">
        <v>22991231</v>
      </c>
      <c r="E2864" s="25">
        <v>584.69000000000005</v>
      </c>
    </row>
    <row r="2865" spans="1:5" ht="39" x14ac:dyDescent="0.3">
      <c r="A2865" s="17" t="str">
        <f>"45384"</f>
        <v>45384</v>
      </c>
      <c r="B2865" s="5" t="s">
        <v>3021</v>
      </c>
      <c r="C2865" s="17">
        <v>19940101</v>
      </c>
      <c r="D2865" s="17">
        <v>22991231</v>
      </c>
      <c r="E2865" s="25">
        <v>584.69000000000005</v>
      </c>
    </row>
    <row r="2866" spans="1:5" ht="26" x14ac:dyDescent="0.3">
      <c r="A2866" s="17" t="str">
        <f>"45385"</f>
        <v>45385</v>
      </c>
      <c r="B2866" s="5" t="s">
        <v>3022</v>
      </c>
      <c r="C2866" s="17">
        <v>19900101</v>
      </c>
      <c r="D2866" s="17">
        <v>22991231</v>
      </c>
      <c r="E2866" s="25">
        <v>584.69000000000005</v>
      </c>
    </row>
    <row r="2867" spans="1:5" ht="26" x14ac:dyDescent="0.3">
      <c r="A2867" s="17" t="str">
        <f>"45386"</f>
        <v>45386</v>
      </c>
      <c r="B2867" s="5" t="s">
        <v>3023</v>
      </c>
      <c r="C2867" s="17">
        <v>20030401</v>
      </c>
      <c r="D2867" s="17">
        <v>22991231</v>
      </c>
      <c r="E2867" s="25">
        <v>584.69000000000005</v>
      </c>
    </row>
    <row r="2868" spans="1:5" ht="26" x14ac:dyDescent="0.3">
      <c r="A2868" s="17" t="str">
        <f>"45388"</f>
        <v>45388</v>
      </c>
      <c r="B2868" s="5" t="s">
        <v>3024</v>
      </c>
      <c r="C2868" s="17">
        <v>20230101</v>
      </c>
      <c r="D2868" s="17">
        <v>22991231</v>
      </c>
      <c r="E2868" s="25">
        <v>584.69000000000005</v>
      </c>
    </row>
    <row r="2869" spans="1:5" ht="26" x14ac:dyDescent="0.3">
      <c r="A2869" s="17" t="str">
        <f>"45389"</f>
        <v>45389</v>
      </c>
      <c r="B2869" s="5" t="s">
        <v>3025</v>
      </c>
      <c r="C2869" s="17">
        <v>20230101</v>
      </c>
      <c r="D2869" s="17">
        <v>22991231</v>
      </c>
      <c r="E2869" s="25">
        <v>3769.49</v>
      </c>
    </row>
    <row r="2870" spans="1:5" ht="26" x14ac:dyDescent="0.3">
      <c r="A2870" s="17" t="str">
        <f>"45390"</f>
        <v>45390</v>
      </c>
      <c r="B2870" s="5" t="s">
        <v>3026</v>
      </c>
      <c r="C2870" s="17">
        <v>20230101</v>
      </c>
      <c r="D2870" s="17">
        <v>22991231</v>
      </c>
      <c r="E2870" s="25">
        <v>1288.55</v>
      </c>
    </row>
    <row r="2871" spans="1:5" ht="26" x14ac:dyDescent="0.3">
      <c r="A2871" s="17" t="str">
        <f>"45391"</f>
        <v>45391</v>
      </c>
      <c r="B2871" s="5" t="s">
        <v>3027</v>
      </c>
      <c r="C2871" s="17">
        <v>20051001</v>
      </c>
      <c r="D2871" s="17">
        <v>22991231</v>
      </c>
      <c r="E2871" s="25">
        <v>584.69000000000005</v>
      </c>
    </row>
    <row r="2872" spans="1:5" ht="39" x14ac:dyDescent="0.3">
      <c r="A2872" s="17" t="str">
        <f>"45392"</f>
        <v>45392</v>
      </c>
      <c r="B2872" s="5" t="s">
        <v>3028</v>
      </c>
      <c r="C2872" s="17">
        <v>20051001</v>
      </c>
      <c r="D2872" s="17">
        <v>22991231</v>
      </c>
      <c r="E2872" s="25">
        <v>584.69000000000005</v>
      </c>
    </row>
    <row r="2873" spans="1:5" ht="26" x14ac:dyDescent="0.3">
      <c r="A2873" s="17" t="str">
        <f>"45393"</f>
        <v>45393</v>
      </c>
      <c r="B2873" s="5" t="s">
        <v>3029</v>
      </c>
      <c r="C2873" s="17">
        <v>20230101</v>
      </c>
      <c r="D2873" s="17">
        <v>22991231</v>
      </c>
      <c r="E2873" s="25">
        <v>584.69000000000005</v>
      </c>
    </row>
    <row r="2874" spans="1:5" ht="26" x14ac:dyDescent="0.3">
      <c r="A2874" s="17" t="str">
        <f>"45398"</f>
        <v>45398</v>
      </c>
      <c r="B2874" s="5" t="s">
        <v>3030</v>
      </c>
      <c r="C2874" s="17">
        <v>20230101</v>
      </c>
      <c r="D2874" s="17">
        <v>22991231</v>
      </c>
      <c r="E2874" s="25">
        <v>584.69000000000005</v>
      </c>
    </row>
    <row r="2875" spans="1:5" x14ac:dyDescent="0.3">
      <c r="A2875" s="17" t="str">
        <f>"45500"</f>
        <v>45500</v>
      </c>
      <c r="B2875" s="5" t="s">
        <v>3031</v>
      </c>
      <c r="C2875" s="17">
        <v>19900101</v>
      </c>
      <c r="D2875" s="17">
        <v>22991231</v>
      </c>
      <c r="E2875" s="25">
        <v>1288.55</v>
      </c>
    </row>
    <row r="2876" spans="1:5" ht="26" x14ac:dyDescent="0.3">
      <c r="A2876" s="17" t="str">
        <f>"45505"</f>
        <v>45505</v>
      </c>
      <c r="B2876" s="5" t="s">
        <v>3032</v>
      </c>
      <c r="C2876" s="17">
        <v>19900101</v>
      </c>
      <c r="D2876" s="17">
        <v>22991231</v>
      </c>
      <c r="E2876" s="25">
        <v>1288.55</v>
      </c>
    </row>
    <row r="2877" spans="1:5" x14ac:dyDescent="0.3">
      <c r="A2877" s="17" t="str">
        <f>"45520"</f>
        <v>45520</v>
      </c>
      <c r="B2877" s="5" t="s">
        <v>3033</v>
      </c>
      <c r="C2877" s="17">
        <v>19900101</v>
      </c>
      <c r="D2877" s="17">
        <v>22991231</v>
      </c>
      <c r="E2877" s="25">
        <v>0</v>
      </c>
    </row>
    <row r="2878" spans="1:5" x14ac:dyDescent="0.3">
      <c r="A2878" s="17" t="str">
        <f>"45541"</f>
        <v>45541</v>
      </c>
      <c r="B2878" s="5" t="s">
        <v>3034</v>
      </c>
      <c r="C2878" s="17">
        <v>19900101</v>
      </c>
      <c r="D2878" s="17">
        <v>22991231</v>
      </c>
      <c r="E2878" s="25">
        <v>1288.55</v>
      </c>
    </row>
    <row r="2879" spans="1:5" x14ac:dyDescent="0.3">
      <c r="A2879" s="17" t="str">
        <f>"45560"</f>
        <v>45560</v>
      </c>
      <c r="B2879" s="5" t="s">
        <v>3035</v>
      </c>
      <c r="C2879" s="17">
        <v>19900101</v>
      </c>
      <c r="D2879" s="17">
        <v>22991231</v>
      </c>
      <c r="E2879" s="25">
        <v>1288.55</v>
      </c>
    </row>
    <row r="2880" spans="1:5" ht="26" x14ac:dyDescent="0.3">
      <c r="A2880" s="17" t="str">
        <f>"45900"</f>
        <v>45900</v>
      </c>
      <c r="B2880" s="5" t="s">
        <v>3036</v>
      </c>
      <c r="C2880" s="17">
        <v>19900101</v>
      </c>
      <c r="D2880" s="17">
        <v>22991231</v>
      </c>
      <c r="E2880" s="25">
        <v>452.84</v>
      </c>
    </row>
    <row r="2881" spans="1:5" x14ac:dyDescent="0.3">
      <c r="A2881" s="17" t="str">
        <f>"45905"</f>
        <v>45905</v>
      </c>
      <c r="B2881" s="5" t="s">
        <v>3037</v>
      </c>
      <c r="C2881" s="17">
        <v>19900101</v>
      </c>
      <c r="D2881" s="17">
        <v>22991231</v>
      </c>
      <c r="E2881" s="25">
        <v>584.69000000000005</v>
      </c>
    </row>
    <row r="2882" spans="1:5" x14ac:dyDescent="0.3">
      <c r="A2882" s="17" t="str">
        <f>"45910"</f>
        <v>45910</v>
      </c>
      <c r="B2882" s="5" t="s">
        <v>3038</v>
      </c>
      <c r="C2882" s="17">
        <v>19900101</v>
      </c>
      <c r="D2882" s="17">
        <v>22991231</v>
      </c>
      <c r="E2882" s="25">
        <v>584.69000000000005</v>
      </c>
    </row>
    <row r="2883" spans="1:5" ht="26" x14ac:dyDescent="0.3">
      <c r="A2883" s="17" t="str">
        <f>"45915"</f>
        <v>45915</v>
      </c>
      <c r="B2883" s="5" t="s">
        <v>3039</v>
      </c>
      <c r="C2883" s="17">
        <v>19900101</v>
      </c>
      <c r="D2883" s="17">
        <v>22991231</v>
      </c>
      <c r="E2883" s="25">
        <v>584.69000000000005</v>
      </c>
    </row>
    <row r="2884" spans="1:5" ht="26" x14ac:dyDescent="0.3">
      <c r="A2884" s="17" t="str">
        <f>"45990"</f>
        <v>45990</v>
      </c>
      <c r="B2884" s="5" t="s">
        <v>3040</v>
      </c>
      <c r="C2884" s="17">
        <v>20060101</v>
      </c>
      <c r="D2884" s="17">
        <v>22991231</v>
      </c>
      <c r="E2884" s="25">
        <v>1288.55</v>
      </c>
    </row>
    <row r="2885" spans="1:5" x14ac:dyDescent="0.3">
      <c r="A2885" s="17" t="str">
        <f>"45999"</f>
        <v>45999</v>
      </c>
      <c r="B2885" s="5" t="s">
        <v>3041</v>
      </c>
      <c r="C2885" s="17">
        <v>19900101</v>
      </c>
      <c r="D2885" s="17">
        <v>22991231</v>
      </c>
      <c r="E2885" s="24" t="s">
        <v>7128</v>
      </c>
    </row>
    <row r="2886" spans="1:5" x14ac:dyDescent="0.3">
      <c r="A2886" s="17" t="str">
        <f>"46020"</f>
        <v>46020</v>
      </c>
      <c r="B2886" s="5" t="s">
        <v>3042</v>
      </c>
      <c r="C2886" s="17">
        <v>20030401</v>
      </c>
      <c r="D2886" s="17">
        <v>22991231</v>
      </c>
      <c r="E2886" s="25">
        <v>1288.55</v>
      </c>
    </row>
    <row r="2887" spans="1:5" x14ac:dyDescent="0.3">
      <c r="A2887" s="17" t="str">
        <f>"46030"</f>
        <v>46030</v>
      </c>
      <c r="B2887" s="5" t="s">
        <v>3043</v>
      </c>
      <c r="C2887" s="17">
        <v>19900101</v>
      </c>
      <c r="D2887" s="17">
        <v>22991231</v>
      </c>
      <c r="E2887" s="25">
        <v>584.69000000000005</v>
      </c>
    </row>
    <row r="2888" spans="1:5" x14ac:dyDescent="0.3">
      <c r="A2888" s="17" t="str">
        <f>"46040"</f>
        <v>46040</v>
      </c>
      <c r="B2888" s="5" t="s">
        <v>3044</v>
      </c>
      <c r="C2888" s="17">
        <v>19900101</v>
      </c>
      <c r="D2888" s="17">
        <v>22991231</v>
      </c>
      <c r="E2888" s="25">
        <v>584.69000000000005</v>
      </c>
    </row>
    <row r="2889" spans="1:5" ht="26" x14ac:dyDescent="0.3">
      <c r="A2889" s="17" t="str">
        <f>"46045"</f>
        <v>46045</v>
      </c>
      <c r="B2889" s="5" t="s">
        <v>3045</v>
      </c>
      <c r="C2889" s="17">
        <v>19900101</v>
      </c>
      <c r="D2889" s="17">
        <v>22991231</v>
      </c>
      <c r="E2889" s="25">
        <v>1288.55</v>
      </c>
    </row>
    <row r="2890" spans="1:5" ht="26" x14ac:dyDescent="0.3">
      <c r="A2890" s="17" t="str">
        <f>"46050"</f>
        <v>46050</v>
      </c>
      <c r="B2890" s="5" t="s">
        <v>3046</v>
      </c>
      <c r="C2890" s="17">
        <v>19900101</v>
      </c>
      <c r="D2890" s="17">
        <v>22991231</v>
      </c>
      <c r="E2890" s="25">
        <v>452.84</v>
      </c>
    </row>
    <row r="2891" spans="1:5" ht="39" x14ac:dyDescent="0.3">
      <c r="A2891" s="17" t="str">
        <f>"46060"</f>
        <v>46060</v>
      </c>
      <c r="B2891" s="5" t="s">
        <v>3047</v>
      </c>
      <c r="C2891" s="17">
        <v>19900101</v>
      </c>
      <c r="D2891" s="17">
        <v>22991231</v>
      </c>
      <c r="E2891" s="25">
        <v>1288.55</v>
      </c>
    </row>
    <row r="2892" spans="1:5" x14ac:dyDescent="0.3">
      <c r="A2892" s="17" t="str">
        <f>"46070"</f>
        <v>46070</v>
      </c>
      <c r="B2892" s="5" t="s">
        <v>3048</v>
      </c>
      <c r="C2892" s="17">
        <v>19900101</v>
      </c>
      <c r="D2892" s="17">
        <v>22991231</v>
      </c>
      <c r="E2892" s="25">
        <v>1288.55</v>
      </c>
    </row>
    <row r="2893" spans="1:5" x14ac:dyDescent="0.3">
      <c r="A2893" s="17" t="str">
        <f>"46080"</f>
        <v>46080</v>
      </c>
      <c r="B2893" s="5" t="s">
        <v>3049</v>
      </c>
      <c r="C2893" s="17">
        <v>19900101</v>
      </c>
      <c r="D2893" s="17">
        <v>22991231</v>
      </c>
      <c r="E2893" s="25">
        <v>1288.55</v>
      </c>
    </row>
    <row r="2894" spans="1:5" x14ac:dyDescent="0.3">
      <c r="A2894" s="17" t="str">
        <f>"46083"</f>
        <v>46083</v>
      </c>
      <c r="B2894" s="5" t="s">
        <v>3050</v>
      </c>
      <c r="C2894" s="17">
        <v>19900101</v>
      </c>
      <c r="D2894" s="17">
        <v>22991231</v>
      </c>
      <c r="E2894" s="25">
        <v>122.45</v>
      </c>
    </row>
    <row r="2895" spans="1:5" x14ac:dyDescent="0.3">
      <c r="A2895" s="17" t="str">
        <f>"46200"</f>
        <v>46200</v>
      </c>
      <c r="B2895" s="5" t="s">
        <v>3051</v>
      </c>
      <c r="C2895" s="17">
        <v>19900101</v>
      </c>
      <c r="D2895" s="17">
        <v>22991231</v>
      </c>
      <c r="E2895" s="25">
        <v>1288.55</v>
      </c>
    </row>
    <row r="2896" spans="1:5" ht="26" x14ac:dyDescent="0.3">
      <c r="A2896" s="17" t="str">
        <f>"46220"</f>
        <v>46220</v>
      </c>
      <c r="B2896" s="5" t="s">
        <v>3052</v>
      </c>
      <c r="C2896" s="17">
        <v>19900101</v>
      </c>
      <c r="D2896" s="17">
        <v>22991231</v>
      </c>
      <c r="E2896" s="25">
        <v>584.69000000000005</v>
      </c>
    </row>
    <row r="2897" spans="1:5" ht="26" x14ac:dyDescent="0.3">
      <c r="A2897" s="17" t="str">
        <f>"46221"</f>
        <v>46221</v>
      </c>
      <c r="B2897" s="5" t="s">
        <v>3053</v>
      </c>
      <c r="C2897" s="17">
        <v>19900101</v>
      </c>
      <c r="D2897" s="17">
        <v>22991231</v>
      </c>
      <c r="E2897" s="25">
        <v>182.02</v>
      </c>
    </row>
    <row r="2898" spans="1:5" ht="26" x14ac:dyDescent="0.3">
      <c r="A2898" s="17" t="str">
        <f>"46230"</f>
        <v>46230</v>
      </c>
      <c r="B2898" s="5" t="s">
        <v>3054</v>
      </c>
      <c r="C2898" s="17">
        <v>19900101</v>
      </c>
      <c r="D2898" s="17">
        <v>22991231</v>
      </c>
      <c r="E2898" s="25">
        <v>1288.55</v>
      </c>
    </row>
    <row r="2899" spans="1:5" x14ac:dyDescent="0.3">
      <c r="A2899" s="17" t="str">
        <f>"46250"</f>
        <v>46250</v>
      </c>
      <c r="B2899" s="5" t="s">
        <v>3055</v>
      </c>
      <c r="C2899" s="17">
        <v>19900101</v>
      </c>
      <c r="D2899" s="17">
        <v>22991231</v>
      </c>
      <c r="E2899" s="25">
        <v>1288.55</v>
      </c>
    </row>
    <row r="2900" spans="1:5" ht="26" x14ac:dyDescent="0.3">
      <c r="A2900" s="17" t="str">
        <f>"46255"</f>
        <v>46255</v>
      </c>
      <c r="B2900" s="5" t="s">
        <v>3056</v>
      </c>
      <c r="C2900" s="17">
        <v>19900101</v>
      </c>
      <c r="D2900" s="17">
        <v>22991231</v>
      </c>
      <c r="E2900" s="25">
        <v>1288.55</v>
      </c>
    </row>
    <row r="2901" spans="1:5" ht="26" x14ac:dyDescent="0.3">
      <c r="A2901" s="17" t="str">
        <f>"46257"</f>
        <v>46257</v>
      </c>
      <c r="B2901" s="5" t="s">
        <v>3057</v>
      </c>
      <c r="C2901" s="17">
        <v>19900101</v>
      </c>
      <c r="D2901" s="17">
        <v>22991231</v>
      </c>
      <c r="E2901" s="25">
        <v>1288.55</v>
      </c>
    </row>
    <row r="2902" spans="1:5" ht="39" x14ac:dyDescent="0.3">
      <c r="A2902" s="17" t="str">
        <f>"46258"</f>
        <v>46258</v>
      </c>
      <c r="B2902" s="5" t="s">
        <v>3058</v>
      </c>
      <c r="C2902" s="17">
        <v>19900101</v>
      </c>
      <c r="D2902" s="17">
        <v>22991231</v>
      </c>
      <c r="E2902" s="25">
        <v>1288.55</v>
      </c>
    </row>
    <row r="2903" spans="1:5" x14ac:dyDescent="0.3">
      <c r="A2903" s="17" t="str">
        <f>"46260"</f>
        <v>46260</v>
      </c>
      <c r="B2903" s="5" t="s">
        <v>3059</v>
      </c>
      <c r="C2903" s="17">
        <v>19900101</v>
      </c>
      <c r="D2903" s="17">
        <v>22991231</v>
      </c>
      <c r="E2903" s="25">
        <v>1288.55</v>
      </c>
    </row>
    <row r="2904" spans="1:5" ht="26" x14ac:dyDescent="0.3">
      <c r="A2904" s="17" t="str">
        <f>"46261"</f>
        <v>46261</v>
      </c>
      <c r="B2904" s="5" t="s">
        <v>3060</v>
      </c>
      <c r="C2904" s="17">
        <v>19900101</v>
      </c>
      <c r="D2904" s="17">
        <v>22991231</v>
      </c>
      <c r="E2904" s="25">
        <v>1288.55</v>
      </c>
    </row>
    <row r="2905" spans="1:5" ht="26" x14ac:dyDescent="0.3">
      <c r="A2905" s="17" t="str">
        <f>"46262"</f>
        <v>46262</v>
      </c>
      <c r="B2905" s="5" t="s">
        <v>3061</v>
      </c>
      <c r="C2905" s="17">
        <v>19900101</v>
      </c>
      <c r="D2905" s="17">
        <v>22991231</v>
      </c>
      <c r="E2905" s="25">
        <v>1288.55</v>
      </c>
    </row>
    <row r="2906" spans="1:5" x14ac:dyDescent="0.3">
      <c r="A2906" s="17" t="str">
        <f>"46270"</f>
        <v>46270</v>
      </c>
      <c r="B2906" s="5" t="s">
        <v>3062</v>
      </c>
      <c r="C2906" s="17">
        <v>19900101</v>
      </c>
      <c r="D2906" s="17">
        <v>22991231</v>
      </c>
      <c r="E2906" s="25">
        <v>1288.55</v>
      </c>
    </row>
    <row r="2907" spans="1:5" ht="26" x14ac:dyDescent="0.3">
      <c r="A2907" s="17" t="str">
        <f>"46275"</f>
        <v>46275</v>
      </c>
      <c r="B2907" s="5" t="s">
        <v>3063</v>
      </c>
      <c r="C2907" s="17">
        <v>19900101</v>
      </c>
      <c r="D2907" s="17">
        <v>22991231</v>
      </c>
      <c r="E2907" s="25">
        <v>1288.55</v>
      </c>
    </row>
    <row r="2908" spans="1:5" ht="26" x14ac:dyDescent="0.3">
      <c r="A2908" s="17" t="str">
        <f>"46280"</f>
        <v>46280</v>
      </c>
      <c r="B2908" s="5" t="s">
        <v>3064</v>
      </c>
      <c r="C2908" s="17">
        <v>19900101</v>
      </c>
      <c r="D2908" s="17">
        <v>22991231</v>
      </c>
      <c r="E2908" s="25">
        <v>1288.55</v>
      </c>
    </row>
    <row r="2909" spans="1:5" ht="26" x14ac:dyDescent="0.3">
      <c r="A2909" s="17" t="str">
        <f>"46285"</f>
        <v>46285</v>
      </c>
      <c r="B2909" s="5" t="s">
        <v>3065</v>
      </c>
      <c r="C2909" s="17">
        <v>19900101</v>
      </c>
      <c r="D2909" s="17">
        <v>22991231</v>
      </c>
      <c r="E2909" s="25">
        <v>1288.55</v>
      </c>
    </row>
    <row r="2910" spans="1:5" ht="26" x14ac:dyDescent="0.3">
      <c r="A2910" s="17" t="str">
        <f>"46288"</f>
        <v>46288</v>
      </c>
      <c r="B2910" s="5" t="s">
        <v>3066</v>
      </c>
      <c r="C2910" s="17">
        <v>19950101</v>
      </c>
      <c r="D2910" s="17">
        <v>22991231</v>
      </c>
      <c r="E2910" s="25">
        <v>1288.55</v>
      </c>
    </row>
    <row r="2911" spans="1:5" x14ac:dyDescent="0.3">
      <c r="A2911" s="17" t="str">
        <f>"46320"</f>
        <v>46320</v>
      </c>
      <c r="B2911" s="5" t="s">
        <v>3067</v>
      </c>
      <c r="C2911" s="17">
        <v>19900101</v>
      </c>
      <c r="D2911" s="17">
        <v>22991231</v>
      </c>
      <c r="E2911" s="25">
        <v>141.06</v>
      </c>
    </row>
    <row r="2912" spans="1:5" x14ac:dyDescent="0.3">
      <c r="A2912" s="17" t="str">
        <f>"46500"</f>
        <v>46500</v>
      </c>
      <c r="B2912" s="5" t="s">
        <v>3068</v>
      </c>
      <c r="C2912" s="17">
        <v>19900101</v>
      </c>
      <c r="D2912" s="17">
        <v>22991231</v>
      </c>
      <c r="E2912" s="25">
        <v>230.81</v>
      </c>
    </row>
    <row r="2913" spans="1:5" ht="26" x14ac:dyDescent="0.3">
      <c r="A2913" s="17" t="str">
        <f>"46505"</f>
        <v>46505</v>
      </c>
      <c r="B2913" s="5" t="s">
        <v>3069</v>
      </c>
      <c r="C2913" s="17">
        <v>20060101</v>
      </c>
      <c r="D2913" s="17">
        <v>22991231</v>
      </c>
      <c r="E2913" s="25">
        <v>584.69000000000005</v>
      </c>
    </row>
    <row r="2914" spans="1:5" x14ac:dyDescent="0.3">
      <c r="A2914" s="17" t="str">
        <f>"46600"</f>
        <v>46600</v>
      </c>
      <c r="B2914" s="5" t="s">
        <v>3070</v>
      </c>
      <c r="C2914" s="17">
        <v>19900101</v>
      </c>
      <c r="D2914" s="17">
        <v>22991231</v>
      </c>
      <c r="E2914" s="25">
        <v>0</v>
      </c>
    </row>
    <row r="2915" spans="1:5" ht="26" x14ac:dyDescent="0.3">
      <c r="A2915" s="17" t="str">
        <f>"46601"</f>
        <v>46601</v>
      </c>
      <c r="B2915" s="5" t="s">
        <v>3071</v>
      </c>
      <c r="C2915" s="17">
        <v>20230101</v>
      </c>
      <c r="D2915" s="17">
        <v>22991231</v>
      </c>
      <c r="E2915" s="25">
        <v>0</v>
      </c>
    </row>
    <row r="2916" spans="1:5" x14ac:dyDescent="0.3">
      <c r="A2916" s="17" t="str">
        <f>"46604"</f>
        <v>46604</v>
      </c>
      <c r="B2916" s="5" t="s">
        <v>3072</v>
      </c>
      <c r="C2916" s="17">
        <v>19900101</v>
      </c>
      <c r="D2916" s="17">
        <v>22991231</v>
      </c>
      <c r="E2916" s="25">
        <v>562.97</v>
      </c>
    </row>
    <row r="2917" spans="1:5" x14ac:dyDescent="0.3">
      <c r="A2917" s="17" t="str">
        <f>"46606"</f>
        <v>46606</v>
      </c>
      <c r="B2917" s="5" t="s">
        <v>3073</v>
      </c>
      <c r="C2917" s="17">
        <v>19900101</v>
      </c>
      <c r="D2917" s="17">
        <v>22991231</v>
      </c>
      <c r="E2917" s="25">
        <v>218.61</v>
      </c>
    </row>
    <row r="2918" spans="1:5" ht="26" x14ac:dyDescent="0.3">
      <c r="A2918" s="17" t="str">
        <f>"46607"</f>
        <v>46607</v>
      </c>
      <c r="B2918" s="5" t="s">
        <v>3074</v>
      </c>
      <c r="C2918" s="17">
        <v>20230101</v>
      </c>
      <c r="D2918" s="17">
        <v>22991231</v>
      </c>
      <c r="E2918" s="25">
        <v>584.69000000000005</v>
      </c>
    </row>
    <row r="2919" spans="1:5" ht="26" x14ac:dyDescent="0.3">
      <c r="A2919" s="17" t="str">
        <f>"46608"</f>
        <v>46608</v>
      </c>
      <c r="B2919" s="5" t="s">
        <v>3075</v>
      </c>
      <c r="C2919" s="17">
        <v>19900101</v>
      </c>
      <c r="D2919" s="17">
        <v>22991231</v>
      </c>
      <c r="E2919" s="25">
        <v>452.84</v>
      </c>
    </row>
    <row r="2920" spans="1:5" ht="26" x14ac:dyDescent="0.3">
      <c r="A2920" s="17" t="str">
        <f>"46610"</f>
        <v>46610</v>
      </c>
      <c r="B2920" s="5" t="s">
        <v>3076</v>
      </c>
      <c r="C2920" s="17">
        <v>19900101</v>
      </c>
      <c r="D2920" s="17">
        <v>22991231</v>
      </c>
      <c r="E2920" s="25">
        <v>1288.55</v>
      </c>
    </row>
    <row r="2921" spans="1:5" ht="26" x14ac:dyDescent="0.3">
      <c r="A2921" s="17" t="str">
        <f>"46611"</f>
        <v>46611</v>
      </c>
      <c r="B2921" s="5" t="s">
        <v>3077</v>
      </c>
      <c r="C2921" s="17">
        <v>19940101</v>
      </c>
      <c r="D2921" s="17">
        <v>22991231</v>
      </c>
      <c r="E2921" s="25">
        <v>452.84</v>
      </c>
    </row>
    <row r="2922" spans="1:5" ht="39" x14ac:dyDescent="0.3">
      <c r="A2922" s="17" t="str">
        <f>"46612"</f>
        <v>46612</v>
      </c>
      <c r="B2922" s="5" t="s">
        <v>3078</v>
      </c>
      <c r="C2922" s="17">
        <v>19900101</v>
      </c>
      <c r="D2922" s="17">
        <v>22991231</v>
      </c>
      <c r="E2922" s="25">
        <v>1288.55</v>
      </c>
    </row>
    <row r="2923" spans="1:5" x14ac:dyDescent="0.3">
      <c r="A2923" s="17" t="str">
        <f>"46614"</f>
        <v>46614</v>
      </c>
      <c r="B2923" s="5" t="s">
        <v>3079</v>
      </c>
      <c r="C2923" s="17">
        <v>19900101</v>
      </c>
      <c r="D2923" s="17">
        <v>22991231</v>
      </c>
      <c r="E2923" s="25">
        <v>121.66</v>
      </c>
    </row>
    <row r="2924" spans="1:5" ht="26" x14ac:dyDescent="0.3">
      <c r="A2924" s="17" t="str">
        <f>"46615"</f>
        <v>46615</v>
      </c>
      <c r="B2924" s="5" t="s">
        <v>3080</v>
      </c>
      <c r="C2924" s="17">
        <v>19940101</v>
      </c>
      <c r="D2924" s="17">
        <v>22991231</v>
      </c>
      <c r="E2924" s="25">
        <v>1288.55</v>
      </c>
    </row>
    <row r="2925" spans="1:5" x14ac:dyDescent="0.3">
      <c r="A2925" s="17" t="str">
        <f>"46700"</f>
        <v>46700</v>
      </c>
      <c r="B2925" s="5" t="s">
        <v>3081</v>
      </c>
      <c r="C2925" s="17">
        <v>19900101</v>
      </c>
      <c r="D2925" s="17">
        <v>22991231</v>
      </c>
      <c r="E2925" s="25">
        <v>1288.55</v>
      </c>
    </row>
    <row r="2926" spans="1:5" ht="26" x14ac:dyDescent="0.3">
      <c r="A2926" s="17" t="str">
        <f>"46706"</f>
        <v>46706</v>
      </c>
      <c r="B2926" s="5" t="s">
        <v>3082</v>
      </c>
      <c r="C2926" s="17">
        <v>20051001</v>
      </c>
      <c r="D2926" s="17">
        <v>22991231</v>
      </c>
      <c r="E2926" s="25">
        <v>1288.55</v>
      </c>
    </row>
    <row r="2927" spans="1:5" ht="26" x14ac:dyDescent="0.3">
      <c r="A2927" s="17" t="str">
        <f>"46707"</f>
        <v>46707</v>
      </c>
      <c r="B2927" s="5" t="s">
        <v>3083</v>
      </c>
      <c r="C2927" s="17">
        <v>20100101</v>
      </c>
      <c r="D2927" s="17">
        <v>22991231</v>
      </c>
      <c r="E2927" s="25">
        <v>1738.06</v>
      </c>
    </row>
    <row r="2928" spans="1:5" ht="26" x14ac:dyDescent="0.3">
      <c r="A2928" s="17" t="str">
        <f>"46750"</f>
        <v>46750</v>
      </c>
      <c r="B2928" s="5" t="s">
        <v>3084</v>
      </c>
      <c r="C2928" s="17">
        <v>19900101</v>
      </c>
      <c r="D2928" s="17">
        <v>22991231</v>
      </c>
      <c r="E2928" s="25">
        <v>1288.55</v>
      </c>
    </row>
    <row r="2929" spans="1:5" ht="26" x14ac:dyDescent="0.3">
      <c r="A2929" s="17" t="str">
        <f>"46753"</f>
        <v>46753</v>
      </c>
      <c r="B2929" s="5" t="s">
        <v>3085</v>
      </c>
      <c r="C2929" s="17">
        <v>19900101</v>
      </c>
      <c r="D2929" s="17">
        <v>22991231</v>
      </c>
      <c r="E2929" s="25">
        <v>1288.55</v>
      </c>
    </row>
    <row r="2930" spans="1:5" x14ac:dyDescent="0.3">
      <c r="A2930" s="17" t="str">
        <f>"46754"</f>
        <v>46754</v>
      </c>
      <c r="B2930" s="5" t="s">
        <v>3086</v>
      </c>
      <c r="C2930" s="17">
        <v>19900101</v>
      </c>
      <c r="D2930" s="17">
        <v>22991231</v>
      </c>
      <c r="E2930" s="25">
        <v>1288.55</v>
      </c>
    </row>
    <row r="2931" spans="1:5" ht="26" x14ac:dyDescent="0.3">
      <c r="A2931" s="17" t="str">
        <f>"46760"</f>
        <v>46760</v>
      </c>
      <c r="B2931" s="5" t="s">
        <v>3087</v>
      </c>
      <c r="C2931" s="17">
        <v>19900101</v>
      </c>
      <c r="D2931" s="17">
        <v>22991231</v>
      </c>
      <c r="E2931" s="25">
        <v>1288.55</v>
      </c>
    </row>
    <row r="2932" spans="1:5" ht="26" x14ac:dyDescent="0.3">
      <c r="A2932" s="17" t="str">
        <f>"46761"</f>
        <v>46761</v>
      </c>
      <c r="B2932" s="5" t="s">
        <v>3088</v>
      </c>
      <c r="C2932" s="17">
        <v>20030401</v>
      </c>
      <c r="D2932" s="17">
        <v>22991231</v>
      </c>
      <c r="E2932" s="25">
        <v>1288.55</v>
      </c>
    </row>
    <row r="2933" spans="1:5" x14ac:dyDescent="0.3">
      <c r="A2933" s="17" t="str">
        <f>"46900"</f>
        <v>46900</v>
      </c>
      <c r="B2933" s="5" t="s">
        <v>3089</v>
      </c>
      <c r="C2933" s="17">
        <v>19900101</v>
      </c>
      <c r="D2933" s="17">
        <v>22991231</v>
      </c>
      <c r="E2933" s="25">
        <v>158.88</v>
      </c>
    </row>
    <row r="2934" spans="1:5" x14ac:dyDescent="0.3">
      <c r="A2934" s="17" t="str">
        <f>"46910"</f>
        <v>46910</v>
      </c>
      <c r="B2934" s="5" t="s">
        <v>3090</v>
      </c>
      <c r="C2934" s="17">
        <v>19900101</v>
      </c>
      <c r="D2934" s="17">
        <v>22991231</v>
      </c>
      <c r="E2934" s="25">
        <v>179.52</v>
      </c>
    </row>
    <row r="2935" spans="1:5" x14ac:dyDescent="0.3">
      <c r="A2935" s="17" t="str">
        <f>"46916"</f>
        <v>46916</v>
      </c>
      <c r="B2935" s="5" t="s">
        <v>3091</v>
      </c>
      <c r="C2935" s="17">
        <v>19900101</v>
      </c>
      <c r="D2935" s="17">
        <v>22991231</v>
      </c>
      <c r="E2935" s="25">
        <v>99.19</v>
      </c>
    </row>
    <row r="2936" spans="1:5" x14ac:dyDescent="0.3">
      <c r="A2936" s="17" t="str">
        <f>"46917"</f>
        <v>46917</v>
      </c>
      <c r="B2936" s="5" t="s">
        <v>3092</v>
      </c>
      <c r="C2936" s="17">
        <v>19900101</v>
      </c>
      <c r="D2936" s="17">
        <v>22991231</v>
      </c>
      <c r="E2936" s="25">
        <v>1288.55</v>
      </c>
    </row>
    <row r="2937" spans="1:5" x14ac:dyDescent="0.3">
      <c r="A2937" s="17" t="str">
        <f>"46922"</f>
        <v>46922</v>
      </c>
      <c r="B2937" s="5" t="s">
        <v>3093</v>
      </c>
      <c r="C2937" s="17">
        <v>19900101</v>
      </c>
      <c r="D2937" s="17">
        <v>22991231</v>
      </c>
      <c r="E2937" s="25">
        <v>1288.55</v>
      </c>
    </row>
    <row r="2938" spans="1:5" x14ac:dyDescent="0.3">
      <c r="A2938" s="17" t="str">
        <f>"46924"</f>
        <v>46924</v>
      </c>
      <c r="B2938" s="5" t="s">
        <v>3094</v>
      </c>
      <c r="C2938" s="17">
        <v>19900101</v>
      </c>
      <c r="D2938" s="17">
        <v>22991231</v>
      </c>
      <c r="E2938" s="25">
        <v>1288.55</v>
      </c>
    </row>
    <row r="2939" spans="1:5" x14ac:dyDescent="0.3">
      <c r="A2939" s="17" t="str">
        <f>"46930"</f>
        <v>46930</v>
      </c>
      <c r="B2939" s="5" t="s">
        <v>3095</v>
      </c>
      <c r="C2939" s="17">
        <v>20090101</v>
      </c>
      <c r="D2939" s="17">
        <v>22991231</v>
      </c>
      <c r="E2939" s="25">
        <v>146.37</v>
      </c>
    </row>
    <row r="2940" spans="1:5" ht="26" x14ac:dyDescent="0.3">
      <c r="A2940" s="17" t="str">
        <f>"46940"</f>
        <v>46940</v>
      </c>
      <c r="B2940" s="5" t="s">
        <v>3096</v>
      </c>
      <c r="C2940" s="17">
        <v>19900101</v>
      </c>
      <c r="D2940" s="17">
        <v>22991231</v>
      </c>
      <c r="E2940" s="25">
        <v>167.32</v>
      </c>
    </row>
    <row r="2941" spans="1:5" ht="26" x14ac:dyDescent="0.3">
      <c r="A2941" s="17" t="str">
        <f>"46942"</f>
        <v>46942</v>
      </c>
      <c r="B2941" s="5" t="s">
        <v>3097</v>
      </c>
      <c r="C2941" s="17">
        <v>19900101</v>
      </c>
      <c r="D2941" s="17">
        <v>22991231</v>
      </c>
      <c r="E2941" s="25">
        <v>165.45</v>
      </c>
    </row>
    <row r="2942" spans="1:5" x14ac:dyDescent="0.3">
      <c r="A2942" s="17" t="str">
        <f>"46945"</f>
        <v>46945</v>
      </c>
      <c r="B2942" s="5" t="s">
        <v>3098</v>
      </c>
      <c r="C2942" s="17">
        <v>19900101</v>
      </c>
      <c r="D2942" s="17">
        <v>22991231</v>
      </c>
      <c r="E2942" s="25">
        <v>1288.55</v>
      </c>
    </row>
    <row r="2943" spans="1:5" x14ac:dyDescent="0.3">
      <c r="A2943" s="17" t="str">
        <f>"46946"</f>
        <v>46946</v>
      </c>
      <c r="B2943" s="5" t="s">
        <v>3099</v>
      </c>
      <c r="C2943" s="17">
        <v>19900101</v>
      </c>
      <c r="D2943" s="17">
        <v>22991231</v>
      </c>
      <c r="E2943" s="25">
        <v>1288.55</v>
      </c>
    </row>
    <row r="2944" spans="1:5" x14ac:dyDescent="0.3">
      <c r="A2944" s="17" t="str">
        <f>"46947"</f>
        <v>46947</v>
      </c>
      <c r="B2944" s="5" t="s">
        <v>3100</v>
      </c>
      <c r="C2944" s="17">
        <v>20050101</v>
      </c>
      <c r="D2944" s="17">
        <v>22991231</v>
      </c>
      <c r="E2944" s="25">
        <v>1288.55</v>
      </c>
    </row>
    <row r="2945" spans="1:5" ht="26" x14ac:dyDescent="0.3">
      <c r="A2945" s="17" t="str">
        <f>"46948"</f>
        <v>46948</v>
      </c>
      <c r="B2945" s="5" t="s">
        <v>3101</v>
      </c>
      <c r="C2945" s="17">
        <v>20200101</v>
      </c>
      <c r="D2945" s="17">
        <v>22991231</v>
      </c>
      <c r="E2945" s="25">
        <v>1288.55</v>
      </c>
    </row>
    <row r="2946" spans="1:5" x14ac:dyDescent="0.3">
      <c r="A2946" s="17" t="str">
        <f>"46999"</f>
        <v>46999</v>
      </c>
      <c r="B2946" s="5" t="s">
        <v>3102</v>
      </c>
      <c r="C2946" s="17">
        <v>19900101</v>
      </c>
      <c r="D2946" s="17">
        <v>22991231</v>
      </c>
      <c r="E2946" s="24" t="s">
        <v>7128</v>
      </c>
    </row>
    <row r="2947" spans="1:5" x14ac:dyDescent="0.3">
      <c r="A2947" s="17" t="str">
        <f>"47000"</f>
        <v>47000</v>
      </c>
      <c r="B2947" s="5" t="s">
        <v>3103</v>
      </c>
      <c r="C2947" s="17">
        <v>19900101</v>
      </c>
      <c r="D2947" s="17">
        <v>22991231</v>
      </c>
      <c r="E2947" s="25">
        <v>652.27</v>
      </c>
    </row>
    <row r="2948" spans="1:5" x14ac:dyDescent="0.3">
      <c r="A2948" s="17" t="str">
        <f>"47001"</f>
        <v>47001</v>
      </c>
      <c r="B2948" s="5" t="s">
        <v>3104</v>
      </c>
      <c r="C2948" s="17">
        <v>20230101</v>
      </c>
      <c r="D2948" s="17">
        <v>22991231</v>
      </c>
      <c r="E2948" s="25">
        <v>0</v>
      </c>
    </row>
    <row r="2949" spans="1:5" x14ac:dyDescent="0.3">
      <c r="A2949" s="17" t="str">
        <f>"47100"</f>
        <v>47100</v>
      </c>
      <c r="B2949" s="5" t="s">
        <v>3105</v>
      </c>
      <c r="C2949" s="17">
        <v>19900101</v>
      </c>
      <c r="D2949" s="17">
        <v>22991231</v>
      </c>
      <c r="E2949" s="24" t="s">
        <v>7128</v>
      </c>
    </row>
    <row r="2950" spans="1:5" x14ac:dyDescent="0.3">
      <c r="A2950" s="17" t="str">
        <f>"47379"</f>
        <v>47379</v>
      </c>
      <c r="B2950" s="5" t="s">
        <v>3106</v>
      </c>
      <c r="C2950" s="17">
        <v>20010101</v>
      </c>
      <c r="D2950" s="17">
        <v>22991231</v>
      </c>
      <c r="E2950" s="24" t="s">
        <v>7128</v>
      </c>
    </row>
    <row r="2951" spans="1:5" ht="26" x14ac:dyDescent="0.3">
      <c r="A2951" s="17" t="str">
        <f>"47382"</f>
        <v>47382</v>
      </c>
      <c r="B2951" s="5" t="s">
        <v>3107</v>
      </c>
      <c r="C2951" s="17">
        <v>20230101</v>
      </c>
      <c r="D2951" s="17">
        <v>22991231</v>
      </c>
      <c r="E2951" s="25">
        <v>2584.12</v>
      </c>
    </row>
    <row r="2952" spans="1:5" ht="26" x14ac:dyDescent="0.3">
      <c r="A2952" s="17" t="str">
        <f>"47383"</f>
        <v>47383</v>
      </c>
      <c r="B2952" s="5" t="s">
        <v>3108</v>
      </c>
      <c r="C2952" s="17">
        <v>20230101</v>
      </c>
      <c r="D2952" s="17">
        <v>22991231</v>
      </c>
      <c r="E2952" s="25">
        <v>6296.31</v>
      </c>
    </row>
    <row r="2953" spans="1:5" ht="26" x14ac:dyDescent="0.3">
      <c r="A2953" s="17" t="str">
        <f>"47490"</f>
        <v>47490</v>
      </c>
      <c r="B2953" s="5" t="s">
        <v>3109</v>
      </c>
      <c r="C2953" s="17">
        <v>19900101</v>
      </c>
      <c r="D2953" s="17">
        <v>22991231</v>
      </c>
      <c r="E2953" s="24" t="s">
        <v>7128</v>
      </c>
    </row>
    <row r="2954" spans="1:5" ht="39" x14ac:dyDescent="0.3">
      <c r="A2954" s="17" t="str">
        <f>"47531"</f>
        <v>47531</v>
      </c>
      <c r="B2954" s="5" t="s">
        <v>3110</v>
      </c>
      <c r="C2954" s="17">
        <v>20230101</v>
      </c>
      <c r="D2954" s="17">
        <v>22991231</v>
      </c>
      <c r="E2954" s="25">
        <v>0</v>
      </c>
    </row>
    <row r="2955" spans="1:5" ht="39" x14ac:dyDescent="0.3">
      <c r="A2955" s="17" t="str">
        <f>"47532"</f>
        <v>47532</v>
      </c>
      <c r="B2955" s="5" t="s">
        <v>3111</v>
      </c>
      <c r="C2955" s="17">
        <v>20230101</v>
      </c>
      <c r="D2955" s="17">
        <v>22991231</v>
      </c>
      <c r="E2955" s="25">
        <v>0</v>
      </c>
    </row>
    <row r="2956" spans="1:5" ht="39" x14ac:dyDescent="0.3">
      <c r="A2956" s="17" t="str">
        <f>"47533"</f>
        <v>47533</v>
      </c>
      <c r="B2956" s="5" t="s">
        <v>3112</v>
      </c>
      <c r="C2956" s="17">
        <v>20230101</v>
      </c>
      <c r="D2956" s="17">
        <v>22991231</v>
      </c>
      <c r="E2956" s="25">
        <v>1549.07</v>
      </c>
    </row>
    <row r="2957" spans="1:5" ht="39" x14ac:dyDescent="0.3">
      <c r="A2957" s="17" t="str">
        <f>"47534"</f>
        <v>47534</v>
      </c>
      <c r="B2957" s="5" t="s">
        <v>3113</v>
      </c>
      <c r="C2957" s="17">
        <v>20230101</v>
      </c>
      <c r="D2957" s="17">
        <v>22991231</v>
      </c>
      <c r="E2957" s="25">
        <v>1549.07</v>
      </c>
    </row>
    <row r="2958" spans="1:5" ht="52" x14ac:dyDescent="0.3">
      <c r="A2958" s="17" t="str">
        <f>"47535"</f>
        <v>47535</v>
      </c>
      <c r="B2958" s="5" t="s">
        <v>3114</v>
      </c>
      <c r="C2958" s="17">
        <v>20230101</v>
      </c>
      <c r="D2958" s="17">
        <v>22991231</v>
      </c>
      <c r="E2958" s="25">
        <v>1549.07</v>
      </c>
    </row>
    <row r="2959" spans="1:5" ht="26" x14ac:dyDescent="0.3">
      <c r="A2959" s="17" t="str">
        <f>"47536"</f>
        <v>47536</v>
      </c>
      <c r="B2959" s="5" t="s">
        <v>3115</v>
      </c>
      <c r="C2959" s="17">
        <v>20230101</v>
      </c>
      <c r="D2959" s="17">
        <v>22991231</v>
      </c>
      <c r="E2959" s="25">
        <v>1549.07</v>
      </c>
    </row>
    <row r="2960" spans="1:5" ht="26" x14ac:dyDescent="0.3">
      <c r="A2960" s="17" t="str">
        <f>"47537"</f>
        <v>47537</v>
      </c>
      <c r="B2960" s="5" t="s">
        <v>3116</v>
      </c>
      <c r="C2960" s="17">
        <v>20230101</v>
      </c>
      <c r="D2960" s="17">
        <v>22991231</v>
      </c>
      <c r="E2960" s="25">
        <v>449.14</v>
      </c>
    </row>
    <row r="2961" spans="1:5" ht="39" x14ac:dyDescent="0.3">
      <c r="A2961" s="17" t="str">
        <f>"47538"</f>
        <v>47538</v>
      </c>
      <c r="B2961" s="5" t="s">
        <v>3117</v>
      </c>
      <c r="C2961" s="17">
        <v>20230101</v>
      </c>
      <c r="D2961" s="17">
        <v>22991231</v>
      </c>
      <c r="E2961" s="25">
        <v>3654.02</v>
      </c>
    </row>
    <row r="2962" spans="1:5" ht="39" x14ac:dyDescent="0.3">
      <c r="A2962" s="17" t="str">
        <f>"47539"</f>
        <v>47539</v>
      </c>
      <c r="B2962" s="5" t="s">
        <v>3118</v>
      </c>
      <c r="C2962" s="17">
        <v>20230101</v>
      </c>
      <c r="D2962" s="17">
        <v>22991231</v>
      </c>
      <c r="E2962" s="25">
        <v>2584.12</v>
      </c>
    </row>
    <row r="2963" spans="1:5" ht="39" x14ac:dyDescent="0.3">
      <c r="A2963" s="17" t="str">
        <f>"47540"</f>
        <v>47540</v>
      </c>
      <c r="B2963" s="5" t="s">
        <v>3119</v>
      </c>
      <c r="C2963" s="17">
        <v>20230101</v>
      </c>
      <c r="D2963" s="17">
        <v>22991231</v>
      </c>
      <c r="E2963" s="25">
        <v>3636.73</v>
      </c>
    </row>
    <row r="2964" spans="1:5" ht="39" x14ac:dyDescent="0.3">
      <c r="A2964" s="17" t="str">
        <f>"47541"</f>
        <v>47541</v>
      </c>
      <c r="B2964" s="5" t="s">
        <v>3120</v>
      </c>
      <c r="C2964" s="17">
        <v>20230101</v>
      </c>
      <c r="D2964" s="17">
        <v>22991231</v>
      </c>
      <c r="E2964" s="25">
        <v>4766.58</v>
      </c>
    </row>
    <row r="2965" spans="1:5" ht="26" x14ac:dyDescent="0.3">
      <c r="A2965" s="17" t="str">
        <f>"47542"</f>
        <v>47542</v>
      </c>
      <c r="B2965" s="5" t="s">
        <v>3121</v>
      </c>
      <c r="C2965" s="17">
        <v>20230101</v>
      </c>
      <c r="D2965" s="17">
        <v>22991231</v>
      </c>
      <c r="E2965" s="25">
        <v>0</v>
      </c>
    </row>
    <row r="2966" spans="1:5" ht="26" x14ac:dyDescent="0.3">
      <c r="A2966" s="17" t="str">
        <f>"47543"</f>
        <v>47543</v>
      </c>
      <c r="B2966" s="5" t="s">
        <v>3122</v>
      </c>
      <c r="C2966" s="17">
        <v>20230101</v>
      </c>
      <c r="D2966" s="17">
        <v>22991231</v>
      </c>
      <c r="E2966" s="25">
        <v>0</v>
      </c>
    </row>
    <row r="2967" spans="1:5" ht="39" x14ac:dyDescent="0.3">
      <c r="A2967" s="17" t="str">
        <f>"47544"</f>
        <v>47544</v>
      </c>
      <c r="B2967" s="5" t="s">
        <v>3123</v>
      </c>
      <c r="C2967" s="17">
        <v>20230101</v>
      </c>
      <c r="D2967" s="17">
        <v>22991231</v>
      </c>
      <c r="E2967" s="25">
        <v>0</v>
      </c>
    </row>
    <row r="2968" spans="1:5" x14ac:dyDescent="0.3">
      <c r="A2968" s="17" t="str">
        <f>"47552"</f>
        <v>47552</v>
      </c>
      <c r="B2968" s="5" t="s">
        <v>3124</v>
      </c>
      <c r="C2968" s="17">
        <v>19900101</v>
      </c>
      <c r="D2968" s="17">
        <v>22991231</v>
      </c>
      <c r="E2968" s="25">
        <v>3555.44</v>
      </c>
    </row>
    <row r="2969" spans="1:5" x14ac:dyDescent="0.3">
      <c r="A2969" s="17" t="str">
        <f>"47553"</f>
        <v>47553</v>
      </c>
      <c r="B2969" s="5" t="s">
        <v>3125</v>
      </c>
      <c r="C2969" s="17">
        <v>19900101</v>
      </c>
      <c r="D2969" s="17">
        <v>22991231</v>
      </c>
      <c r="E2969" s="25">
        <v>3555.44</v>
      </c>
    </row>
    <row r="2970" spans="1:5" x14ac:dyDescent="0.3">
      <c r="A2970" s="17" t="str">
        <f>"47554"</f>
        <v>47554</v>
      </c>
      <c r="B2970" s="5" t="s">
        <v>3126</v>
      </c>
      <c r="C2970" s="17">
        <v>19900101</v>
      </c>
      <c r="D2970" s="17">
        <v>22991231</v>
      </c>
      <c r="E2970" s="25">
        <v>4336.99</v>
      </c>
    </row>
    <row r="2971" spans="1:5" x14ac:dyDescent="0.3">
      <c r="A2971" s="17" t="str">
        <f>"47555"</f>
        <v>47555</v>
      </c>
      <c r="B2971" s="5" t="s">
        <v>3127</v>
      </c>
      <c r="C2971" s="17">
        <v>19900101</v>
      </c>
      <c r="D2971" s="17">
        <v>22991231</v>
      </c>
      <c r="E2971" s="25">
        <v>2073.12</v>
      </c>
    </row>
    <row r="2972" spans="1:5" ht="26" x14ac:dyDescent="0.3">
      <c r="A2972" s="17" t="str">
        <f>"47556"</f>
        <v>47556</v>
      </c>
      <c r="B2972" s="5" t="s">
        <v>3128</v>
      </c>
      <c r="C2972" s="17">
        <v>19920115</v>
      </c>
      <c r="D2972" s="17">
        <v>22991231</v>
      </c>
      <c r="E2972" s="25">
        <v>5818.73</v>
      </c>
    </row>
    <row r="2973" spans="1:5" x14ac:dyDescent="0.3">
      <c r="A2973" s="17" t="str">
        <f>"47562"</f>
        <v>47562</v>
      </c>
      <c r="B2973" s="5" t="s">
        <v>3129</v>
      </c>
      <c r="C2973" s="17">
        <v>20000101</v>
      </c>
      <c r="D2973" s="17">
        <v>22991231</v>
      </c>
      <c r="E2973" s="25">
        <v>2584.12</v>
      </c>
    </row>
    <row r="2974" spans="1:5" ht="26" x14ac:dyDescent="0.3">
      <c r="A2974" s="17" t="str">
        <f>"47563"</f>
        <v>47563</v>
      </c>
      <c r="B2974" s="5" t="s">
        <v>3130</v>
      </c>
      <c r="C2974" s="17">
        <v>20000101</v>
      </c>
      <c r="D2974" s="17">
        <v>22991231</v>
      </c>
      <c r="E2974" s="25">
        <v>2584.12</v>
      </c>
    </row>
    <row r="2975" spans="1:5" ht="26" x14ac:dyDescent="0.3">
      <c r="A2975" s="17" t="str">
        <f>"47564"</f>
        <v>47564</v>
      </c>
      <c r="B2975" s="5" t="s">
        <v>3131</v>
      </c>
      <c r="C2975" s="17">
        <v>20000101</v>
      </c>
      <c r="D2975" s="17">
        <v>22991231</v>
      </c>
      <c r="E2975" s="25">
        <v>4336.99</v>
      </c>
    </row>
    <row r="2976" spans="1:5" x14ac:dyDescent="0.3">
      <c r="A2976" s="17" t="str">
        <f>"47579"</f>
        <v>47579</v>
      </c>
      <c r="B2976" s="5" t="s">
        <v>3132</v>
      </c>
      <c r="C2976" s="17">
        <v>20000101</v>
      </c>
      <c r="D2976" s="17">
        <v>22991231</v>
      </c>
      <c r="E2976" s="24" t="s">
        <v>7128</v>
      </c>
    </row>
    <row r="2977" spans="1:5" x14ac:dyDescent="0.3">
      <c r="A2977" s="17" t="str">
        <f>"47600"</f>
        <v>47600</v>
      </c>
      <c r="B2977" s="5" t="s">
        <v>3133</v>
      </c>
      <c r="C2977" s="17">
        <v>19900101</v>
      </c>
      <c r="D2977" s="17">
        <v>22991231</v>
      </c>
      <c r="E2977" s="24" t="s">
        <v>7128</v>
      </c>
    </row>
    <row r="2978" spans="1:5" ht="26" x14ac:dyDescent="0.3">
      <c r="A2978" s="17" t="str">
        <f>"47605"</f>
        <v>47605</v>
      </c>
      <c r="B2978" s="5" t="s">
        <v>3134</v>
      </c>
      <c r="C2978" s="17">
        <v>19900101</v>
      </c>
      <c r="D2978" s="17">
        <v>22991231</v>
      </c>
      <c r="E2978" s="24" t="s">
        <v>7128</v>
      </c>
    </row>
    <row r="2979" spans="1:5" x14ac:dyDescent="0.3">
      <c r="A2979" s="17" t="str">
        <f>"48102"</f>
        <v>48102</v>
      </c>
      <c r="B2979" s="5" t="s">
        <v>3135</v>
      </c>
      <c r="C2979" s="17">
        <v>19900101</v>
      </c>
      <c r="D2979" s="17">
        <v>22991231</v>
      </c>
      <c r="E2979" s="25">
        <v>652.27</v>
      </c>
    </row>
    <row r="2980" spans="1:5" ht="26" x14ac:dyDescent="0.3">
      <c r="A2980" s="17" t="str">
        <f>"48160"</f>
        <v>48160</v>
      </c>
      <c r="B2980" s="5" t="s">
        <v>3136</v>
      </c>
      <c r="C2980" s="17">
        <v>19900101</v>
      </c>
      <c r="D2980" s="17">
        <v>22991231</v>
      </c>
      <c r="E2980" s="24" t="s">
        <v>7128</v>
      </c>
    </row>
    <row r="2981" spans="1:5" x14ac:dyDescent="0.3">
      <c r="A2981" s="17" t="str">
        <f>"49002"</f>
        <v>49002</v>
      </c>
      <c r="B2981" s="5" t="s">
        <v>3137</v>
      </c>
      <c r="C2981" s="17">
        <v>19900101</v>
      </c>
      <c r="D2981" s="17">
        <v>22991231</v>
      </c>
      <c r="E2981" s="24" t="s">
        <v>7128</v>
      </c>
    </row>
    <row r="2982" spans="1:5" x14ac:dyDescent="0.3">
      <c r="A2982" s="17" t="str">
        <f>"49082"</f>
        <v>49082</v>
      </c>
      <c r="B2982" s="5" t="s">
        <v>3138</v>
      </c>
      <c r="C2982" s="17">
        <v>20120101</v>
      </c>
      <c r="D2982" s="17">
        <v>22991231</v>
      </c>
      <c r="E2982" s="25">
        <v>449.14</v>
      </c>
    </row>
    <row r="2983" spans="1:5" ht="26" x14ac:dyDescent="0.3">
      <c r="A2983" s="17" t="str">
        <f>"49083"</f>
        <v>49083</v>
      </c>
      <c r="B2983" s="5" t="s">
        <v>3139</v>
      </c>
      <c r="C2983" s="17">
        <v>20120101</v>
      </c>
      <c r="D2983" s="17">
        <v>22991231</v>
      </c>
      <c r="E2983" s="25">
        <v>449.14</v>
      </c>
    </row>
    <row r="2984" spans="1:5" x14ac:dyDescent="0.3">
      <c r="A2984" s="17" t="str">
        <f>"49084"</f>
        <v>49084</v>
      </c>
      <c r="B2984" s="5" t="s">
        <v>3140</v>
      </c>
      <c r="C2984" s="17">
        <v>20120101</v>
      </c>
      <c r="D2984" s="17">
        <v>22991231</v>
      </c>
      <c r="E2984" s="25">
        <v>449.14</v>
      </c>
    </row>
    <row r="2985" spans="1:5" x14ac:dyDescent="0.3">
      <c r="A2985" s="17" t="str">
        <f>"49180"</f>
        <v>49180</v>
      </c>
      <c r="B2985" s="5" t="s">
        <v>3141</v>
      </c>
      <c r="C2985" s="17">
        <v>19900101</v>
      </c>
      <c r="D2985" s="17">
        <v>22991231</v>
      </c>
      <c r="E2985" s="25">
        <v>652.27</v>
      </c>
    </row>
    <row r="2986" spans="1:5" x14ac:dyDescent="0.3">
      <c r="A2986" s="17" t="str">
        <f>"49250"</f>
        <v>49250</v>
      </c>
      <c r="B2986" s="5" t="s">
        <v>3142</v>
      </c>
      <c r="C2986" s="17">
        <v>19900101</v>
      </c>
      <c r="D2986" s="17">
        <v>22991231</v>
      </c>
      <c r="E2986" s="25">
        <v>1549.07</v>
      </c>
    </row>
    <row r="2987" spans="1:5" x14ac:dyDescent="0.3">
      <c r="A2987" s="17" t="str">
        <f>"49320"</f>
        <v>49320</v>
      </c>
      <c r="B2987" s="5" t="s">
        <v>3143</v>
      </c>
      <c r="C2987" s="17">
        <v>20000101</v>
      </c>
      <c r="D2987" s="17">
        <v>22991231</v>
      </c>
      <c r="E2987" s="25">
        <v>2584.12</v>
      </c>
    </row>
    <row r="2988" spans="1:5" x14ac:dyDescent="0.3">
      <c r="A2988" s="17" t="str">
        <f>"49321"</f>
        <v>49321</v>
      </c>
      <c r="B2988" s="5" t="s">
        <v>3144</v>
      </c>
      <c r="C2988" s="17">
        <v>20000101</v>
      </c>
      <c r="D2988" s="17">
        <v>22991231</v>
      </c>
      <c r="E2988" s="25">
        <v>2584.12</v>
      </c>
    </row>
    <row r="2989" spans="1:5" ht="26" x14ac:dyDescent="0.3">
      <c r="A2989" s="17" t="str">
        <f>"49322"</f>
        <v>49322</v>
      </c>
      <c r="B2989" s="5" t="s">
        <v>3145</v>
      </c>
      <c r="C2989" s="17">
        <v>20000101</v>
      </c>
      <c r="D2989" s="17">
        <v>22991231</v>
      </c>
      <c r="E2989" s="25">
        <v>2584.12</v>
      </c>
    </row>
    <row r="2990" spans="1:5" ht="26" x14ac:dyDescent="0.3">
      <c r="A2990" s="17" t="str">
        <f>"49323"</f>
        <v>49323</v>
      </c>
      <c r="B2990" s="5" t="s">
        <v>3146</v>
      </c>
      <c r="C2990" s="17">
        <v>20000101</v>
      </c>
      <c r="D2990" s="17">
        <v>22991231</v>
      </c>
      <c r="E2990" s="24" t="s">
        <v>7128</v>
      </c>
    </row>
    <row r="2991" spans="1:5" ht="26" x14ac:dyDescent="0.3">
      <c r="A2991" s="17" t="str">
        <f>"49324"</f>
        <v>49324</v>
      </c>
      <c r="B2991" s="5" t="s">
        <v>3147</v>
      </c>
      <c r="C2991" s="17">
        <v>20230101</v>
      </c>
      <c r="D2991" s="17">
        <v>22991231</v>
      </c>
      <c r="E2991" s="25">
        <v>2584.12</v>
      </c>
    </row>
    <row r="2992" spans="1:5" ht="26" x14ac:dyDescent="0.3">
      <c r="A2992" s="17" t="str">
        <f>"49325"</f>
        <v>49325</v>
      </c>
      <c r="B2992" s="5" t="s">
        <v>3148</v>
      </c>
      <c r="C2992" s="17">
        <v>20230101</v>
      </c>
      <c r="D2992" s="17">
        <v>22991231</v>
      </c>
      <c r="E2992" s="25">
        <v>2584.12</v>
      </c>
    </row>
    <row r="2993" spans="1:5" ht="26" x14ac:dyDescent="0.3">
      <c r="A2993" s="17" t="str">
        <f>"49326"</f>
        <v>49326</v>
      </c>
      <c r="B2993" s="5" t="s">
        <v>3149</v>
      </c>
      <c r="C2993" s="17">
        <v>20230101</v>
      </c>
      <c r="D2993" s="17">
        <v>22991231</v>
      </c>
      <c r="E2993" s="25">
        <v>0</v>
      </c>
    </row>
    <row r="2994" spans="1:5" ht="26" x14ac:dyDescent="0.3">
      <c r="A2994" s="17" t="str">
        <f>"49327"</f>
        <v>49327</v>
      </c>
      <c r="B2994" s="5" t="s">
        <v>3150</v>
      </c>
      <c r="C2994" s="17">
        <v>20110101</v>
      </c>
      <c r="D2994" s="17">
        <v>22991231</v>
      </c>
      <c r="E2994" s="25">
        <v>0</v>
      </c>
    </row>
    <row r="2995" spans="1:5" ht="26" x14ac:dyDescent="0.3">
      <c r="A2995" s="17" t="str">
        <f>"49329"</f>
        <v>49329</v>
      </c>
      <c r="B2995" s="5" t="s">
        <v>3151</v>
      </c>
      <c r="C2995" s="17">
        <v>20020101</v>
      </c>
      <c r="D2995" s="17">
        <v>22991231</v>
      </c>
      <c r="E2995" s="24" t="s">
        <v>7128</v>
      </c>
    </row>
    <row r="2996" spans="1:5" ht="26" x14ac:dyDescent="0.3">
      <c r="A2996" s="17" t="str">
        <f>"49400"</f>
        <v>49400</v>
      </c>
      <c r="B2996" s="5" t="s">
        <v>3152</v>
      </c>
      <c r="C2996" s="17">
        <v>19900101</v>
      </c>
      <c r="D2996" s="17">
        <v>22991231</v>
      </c>
      <c r="E2996" s="25">
        <v>0</v>
      </c>
    </row>
    <row r="2997" spans="1:5" x14ac:dyDescent="0.3">
      <c r="A2997" s="17" t="str">
        <f>"49402"</f>
        <v>49402</v>
      </c>
      <c r="B2997" s="5" t="s">
        <v>3153</v>
      </c>
      <c r="C2997" s="17">
        <v>20070101</v>
      </c>
      <c r="D2997" s="17">
        <v>22991231</v>
      </c>
      <c r="E2997" s="25">
        <v>1549.07</v>
      </c>
    </row>
    <row r="2998" spans="1:5" ht="26" x14ac:dyDescent="0.3">
      <c r="A2998" s="17" t="str">
        <f>"49406"</f>
        <v>49406</v>
      </c>
      <c r="B2998" s="5" t="s">
        <v>3154</v>
      </c>
      <c r="C2998" s="17">
        <v>20230101</v>
      </c>
      <c r="D2998" s="17">
        <v>22991231</v>
      </c>
      <c r="E2998" s="25">
        <v>652.27</v>
      </c>
    </row>
    <row r="2999" spans="1:5" ht="26" x14ac:dyDescent="0.3">
      <c r="A2999" s="17" t="str">
        <f>"49407"</f>
        <v>49407</v>
      </c>
      <c r="B2999" s="5" t="s">
        <v>3155</v>
      </c>
      <c r="C2999" s="17">
        <v>20230101</v>
      </c>
      <c r="D2999" s="17">
        <v>22991231</v>
      </c>
      <c r="E2999" s="25">
        <v>652.27</v>
      </c>
    </row>
    <row r="3000" spans="1:5" ht="26" x14ac:dyDescent="0.3">
      <c r="A3000" s="17" t="str">
        <f>"49411"</f>
        <v>49411</v>
      </c>
      <c r="B3000" s="5" t="s">
        <v>3156</v>
      </c>
      <c r="C3000" s="17">
        <v>20230101</v>
      </c>
      <c r="D3000" s="17">
        <v>22991231</v>
      </c>
      <c r="E3000" s="25">
        <v>325.89</v>
      </c>
    </row>
    <row r="3001" spans="1:5" ht="26" x14ac:dyDescent="0.3">
      <c r="A3001" s="17" t="str">
        <f>"49418"</f>
        <v>49418</v>
      </c>
      <c r="B3001" s="5" t="s">
        <v>3157</v>
      </c>
      <c r="C3001" s="17">
        <v>20110101</v>
      </c>
      <c r="D3001" s="17">
        <v>22991231</v>
      </c>
      <c r="E3001" s="25">
        <v>1549.07</v>
      </c>
    </row>
    <row r="3002" spans="1:5" ht="26" x14ac:dyDescent="0.3">
      <c r="A3002" s="17" t="str">
        <f>"49419"</f>
        <v>49419</v>
      </c>
      <c r="B3002" s="5" t="s">
        <v>3158</v>
      </c>
      <c r="C3002" s="17">
        <v>20051001</v>
      </c>
      <c r="D3002" s="17">
        <v>22991231</v>
      </c>
      <c r="E3002" s="25">
        <v>2772.9</v>
      </c>
    </row>
    <row r="3003" spans="1:5" ht="26" x14ac:dyDescent="0.3">
      <c r="A3003" s="17" t="str">
        <f>"49421"</f>
        <v>49421</v>
      </c>
      <c r="B3003" s="5" t="s">
        <v>3159</v>
      </c>
      <c r="C3003" s="17">
        <v>19900101</v>
      </c>
      <c r="D3003" s="17">
        <v>22991231</v>
      </c>
      <c r="E3003" s="25">
        <v>1549.07</v>
      </c>
    </row>
    <row r="3004" spans="1:5" x14ac:dyDescent="0.3">
      <c r="A3004" s="17" t="str">
        <f>"49422"</f>
        <v>49422</v>
      </c>
      <c r="B3004" s="5" t="s">
        <v>3160</v>
      </c>
      <c r="C3004" s="17">
        <v>19950101</v>
      </c>
      <c r="D3004" s="17">
        <v>22991231</v>
      </c>
      <c r="E3004" s="25">
        <v>1478.57</v>
      </c>
    </row>
    <row r="3005" spans="1:5" ht="26" x14ac:dyDescent="0.3">
      <c r="A3005" s="17" t="str">
        <f>"49423"</f>
        <v>49423</v>
      </c>
      <c r="B3005" s="5" t="s">
        <v>3161</v>
      </c>
      <c r="C3005" s="17">
        <v>19980101</v>
      </c>
      <c r="D3005" s="17">
        <v>22991231</v>
      </c>
      <c r="E3005" s="25">
        <v>794.51</v>
      </c>
    </row>
    <row r="3006" spans="1:5" ht="26" x14ac:dyDescent="0.3">
      <c r="A3006" s="17" t="str">
        <f>"49424"</f>
        <v>49424</v>
      </c>
      <c r="B3006" s="5" t="s">
        <v>3162</v>
      </c>
      <c r="C3006" s="17">
        <v>19980101</v>
      </c>
      <c r="D3006" s="17">
        <v>22991231</v>
      </c>
      <c r="E3006" s="25">
        <v>0</v>
      </c>
    </row>
    <row r="3007" spans="1:5" ht="26" x14ac:dyDescent="0.3">
      <c r="A3007" s="17" t="str">
        <f>"49426"</f>
        <v>49426</v>
      </c>
      <c r="B3007" s="5" t="s">
        <v>3163</v>
      </c>
      <c r="C3007" s="17">
        <v>19970801</v>
      </c>
      <c r="D3007" s="17">
        <v>22991231</v>
      </c>
      <c r="E3007" s="25">
        <v>1549.07</v>
      </c>
    </row>
    <row r="3008" spans="1:5" ht="26" x14ac:dyDescent="0.3">
      <c r="A3008" s="17" t="str">
        <f>"49427"</f>
        <v>49427</v>
      </c>
      <c r="B3008" s="5" t="s">
        <v>3164</v>
      </c>
      <c r="C3008" s="17">
        <v>19930101</v>
      </c>
      <c r="D3008" s="17">
        <v>22991231</v>
      </c>
      <c r="E3008" s="25">
        <v>0</v>
      </c>
    </row>
    <row r="3009" spans="1:5" ht="26" x14ac:dyDescent="0.3">
      <c r="A3009" s="17" t="str">
        <f>"49429"</f>
        <v>49429</v>
      </c>
      <c r="B3009" s="5" t="s">
        <v>3165</v>
      </c>
      <c r="C3009" s="17">
        <v>19950101</v>
      </c>
      <c r="D3009" s="17">
        <v>22991231</v>
      </c>
      <c r="E3009" s="25">
        <v>1478.57</v>
      </c>
    </row>
    <row r="3010" spans="1:5" x14ac:dyDescent="0.3">
      <c r="A3010" s="17" t="str">
        <f>"49435"</f>
        <v>49435</v>
      </c>
      <c r="B3010" s="5" t="s">
        <v>3166</v>
      </c>
      <c r="C3010" s="17">
        <v>20230101</v>
      </c>
      <c r="D3010" s="17">
        <v>22991231</v>
      </c>
      <c r="E3010" s="25">
        <v>0</v>
      </c>
    </row>
    <row r="3011" spans="1:5" x14ac:dyDescent="0.3">
      <c r="A3011" s="17" t="str">
        <f>"49436"</f>
        <v>49436</v>
      </c>
      <c r="B3011" s="5" t="s">
        <v>3167</v>
      </c>
      <c r="C3011" s="17">
        <v>20230101</v>
      </c>
      <c r="D3011" s="17">
        <v>22991231</v>
      </c>
      <c r="E3011" s="25">
        <v>794.51</v>
      </c>
    </row>
    <row r="3012" spans="1:5" ht="26" x14ac:dyDescent="0.3">
      <c r="A3012" s="17" t="str">
        <f>"49440"</f>
        <v>49440</v>
      </c>
      <c r="B3012" s="5" t="s">
        <v>3168</v>
      </c>
      <c r="C3012" s="17">
        <v>20080101</v>
      </c>
      <c r="D3012" s="17">
        <v>22991231</v>
      </c>
      <c r="E3012" s="25">
        <v>794.51</v>
      </c>
    </row>
    <row r="3013" spans="1:5" ht="26" x14ac:dyDescent="0.3">
      <c r="A3013" s="17" t="str">
        <f>"49441"</f>
        <v>49441</v>
      </c>
      <c r="B3013" s="5" t="s">
        <v>3169</v>
      </c>
      <c r="C3013" s="17">
        <v>20080101</v>
      </c>
      <c r="D3013" s="17">
        <v>22991231</v>
      </c>
      <c r="E3013" s="25">
        <v>794.51</v>
      </c>
    </row>
    <row r="3014" spans="1:5" ht="26" x14ac:dyDescent="0.3">
      <c r="A3014" s="17" t="str">
        <f>"49442"</f>
        <v>49442</v>
      </c>
      <c r="B3014" s="5" t="s">
        <v>3170</v>
      </c>
      <c r="C3014" s="17">
        <v>20080101</v>
      </c>
      <c r="D3014" s="17">
        <v>22991231</v>
      </c>
      <c r="E3014" s="25">
        <v>584.69000000000005</v>
      </c>
    </row>
    <row r="3015" spans="1:5" ht="39" x14ac:dyDescent="0.3">
      <c r="A3015" s="17" t="str">
        <f>"49446"</f>
        <v>49446</v>
      </c>
      <c r="B3015" s="5" t="s">
        <v>3171</v>
      </c>
      <c r="C3015" s="17">
        <v>20080101</v>
      </c>
      <c r="D3015" s="17">
        <v>22991231</v>
      </c>
      <c r="E3015" s="25">
        <v>794.51</v>
      </c>
    </row>
    <row r="3016" spans="1:5" ht="26" x14ac:dyDescent="0.3">
      <c r="A3016" s="17" t="str">
        <f>"49450"</f>
        <v>49450</v>
      </c>
      <c r="B3016" s="5" t="s">
        <v>3172</v>
      </c>
      <c r="C3016" s="17">
        <v>20080101</v>
      </c>
      <c r="D3016" s="17">
        <v>22991231</v>
      </c>
      <c r="E3016" s="25">
        <v>449.14</v>
      </c>
    </row>
    <row r="3017" spans="1:5" ht="26" x14ac:dyDescent="0.3">
      <c r="A3017" s="17" t="str">
        <f>"49451"</f>
        <v>49451</v>
      </c>
      <c r="B3017" s="5" t="s">
        <v>3173</v>
      </c>
      <c r="C3017" s="17">
        <v>20080101</v>
      </c>
      <c r="D3017" s="17">
        <v>22991231</v>
      </c>
      <c r="E3017" s="25">
        <v>449.14</v>
      </c>
    </row>
    <row r="3018" spans="1:5" ht="26" x14ac:dyDescent="0.3">
      <c r="A3018" s="17" t="str">
        <f>"49452"</f>
        <v>49452</v>
      </c>
      <c r="B3018" s="5" t="s">
        <v>3174</v>
      </c>
      <c r="C3018" s="17">
        <v>20080101</v>
      </c>
      <c r="D3018" s="17">
        <v>22991231</v>
      </c>
      <c r="E3018" s="25">
        <v>449.14</v>
      </c>
    </row>
    <row r="3019" spans="1:5" ht="39" x14ac:dyDescent="0.3">
      <c r="A3019" s="17" t="str">
        <f>"49460"</f>
        <v>49460</v>
      </c>
      <c r="B3019" s="5" t="s">
        <v>3175</v>
      </c>
      <c r="C3019" s="17">
        <v>20080101</v>
      </c>
      <c r="D3019" s="17">
        <v>22991231</v>
      </c>
      <c r="E3019" s="25">
        <v>449.14</v>
      </c>
    </row>
    <row r="3020" spans="1:5" ht="39" x14ac:dyDescent="0.3">
      <c r="A3020" s="17" t="str">
        <f>"49465"</f>
        <v>49465</v>
      </c>
      <c r="B3020" s="5" t="s">
        <v>3176</v>
      </c>
      <c r="C3020" s="17">
        <v>20080101</v>
      </c>
      <c r="D3020" s="17">
        <v>22991231</v>
      </c>
      <c r="E3020" s="25">
        <v>121.41</v>
      </c>
    </row>
    <row r="3021" spans="1:5" ht="52" x14ac:dyDescent="0.3">
      <c r="A3021" s="17" t="str">
        <f>"49495"</f>
        <v>49495</v>
      </c>
      <c r="B3021" s="5" t="s">
        <v>3177</v>
      </c>
      <c r="C3021" s="17">
        <v>19940101</v>
      </c>
      <c r="D3021" s="17">
        <v>22991231</v>
      </c>
      <c r="E3021" s="25">
        <v>1549.07</v>
      </c>
    </row>
    <row r="3022" spans="1:5" ht="52" x14ac:dyDescent="0.3">
      <c r="A3022" s="17" t="str">
        <f>"49496"</f>
        <v>49496</v>
      </c>
      <c r="B3022" s="5" t="s">
        <v>3178</v>
      </c>
      <c r="C3022" s="17">
        <v>19940101</v>
      </c>
      <c r="D3022" s="17">
        <v>22991231</v>
      </c>
      <c r="E3022" s="25">
        <v>1549.07</v>
      </c>
    </row>
    <row r="3023" spans="1:5" ht="26" x14ac:dyDescent="0.3">
      <c r="A3023" s="17" t="str">
        <f>"49500"</f>
        <v>49500</v>
      </c>
      <c r="B3023" s="5" t="s">
        <v>3179</v>
      </c>
      <c r="C3023" s="17">
        <v>19900101</v>
      </c>
      <c r="D3023" s="17">
        <v>22991231</v>
      </c>
      <c r="E3023" s="25">
        <v>3555.44</v>
      </c>
    </row>
    <row r="3024" spans="1:5" ht="26" x14ac:dyDescent="0.3">
      <c r="A3024" s="17" t="str">
        <f>"49501"</f>
        <v>49501</v>
      </c>
      <c r="B3024" s="5" t="s">
        <v>3180</v>
      </c>
      <c r="C3024" s="17">
        <v>19940101</v>
      </c>
      <c r="D3024" s="17">
        <v>22991231</v>
      </c>
      <c r="E3024" s="25">
        <v>1549.07</v>
      </c>
    </row>
    <row r="3025" spans="1:5" x14ac:dyDescent="0.3">
      <c r="A3025" s="17" t="str">
        <f>"49505"</f>
        <v>49505</v>
      </c>
      <c r="B3025" s="5" t="s">
        <v>3181</v>
      </c>
      <c r="C3025" s="17">
        <v>19900101</v>
      </c>
      <c r="D3025" s="17">
        <v>22991231</v>
      </c>
      <c r="E3025" s="25">
        <v>1549.07</v>
      </c>
    </row>
    <row r="3026" spans="1:5" x14ac:dyDescent="0.3">
      <c r="A3026" s="17" t="str">
        <f>"49507"</f>
        <v>49507</v>
      </c>
      <c r="B3026" s="5" t="s">
        <v>3182</v>
      </c>
      <c r="C3026" s="17">
        <v>19940101</v>
      </c>
      <c r="D3026" s="17">
        <v>22991231</v>
      </c>
      <c r="E3026" s="25">
        <v>1549.07</v>
      </c>
    </row>
    <row r="3027" spans="1:5" x14ac:dyDescent="0.3">
      <c r="A3027" s="17" t="str">
        <f>"49520"</f>
        <v>49520</v>
      </c>
      <c r="B3027" s="5" t="s">
        <v>3183</v>
      </c>
      <c r="C3027" s="17">
        <v>19900101</v>
      </c>
      <c r="D3027" s="17">
        <v>22991231</v>
      </c>
      <c r="E3027" s="25">
        <v>1549.07</v>
      </c>
    </row>
    <row r="3028" spans="1:5" x14ac:dyDescent="0.3">
      <c r="A3028" s="17" t="str">
        <f>"49521"</f>
        <v>49521</v>
      </c>
      <c r="B3028" s="5" t="s">
        <v>3184</v>
      </c>
      <c r="C3028" s="17">
        <v>19940101</v>
      </c>
      <c r="D3028" s="17">
        <v>22991231</v>
      </c>
      <c r="E3028" s="25">
        <v>3555.44</v>
      </c>
    </row>
    <row r="3029" spans="1:5" x14ac:dyDescent="0.3">
      <c r="A3029" s="17" t="str">
        <f>"49525"</f>
        <v>49525</v>
      </c>
      <c r="B3029" s="5" t="s">
        <v>3185</v>
      </c>
      <c r="C3029" s="17">
        <v>19900101</v>
      </c>
      <c r="D3029" s="17">
        <v>22991231</v>
      </c>
      <c r="E3029" s="25">
        <v>1549.07</v>
      </c>
    </row>
    <row r="3030" spans="1:5" x14ac:dyDescent="0.3">
      <c r="A3030" s="17" t="str">
        <f>"49540"</f>
        <v>49540</v>
      </c>
      <c r="B3030" s="5" t="s">
        <v>3186</v>
      </c>
      <c r="C3030" s="17">
        <v>19900101</v>
      </c>
      <c r="D3030" s="17">
        <v>22991231</v>
      </c>
      <c r="E3030" s="25">
        <v>2584.12</v>
      </c>
    </row>
    <row r="3031" spans="1:5" x14ac:dyDescent="0.3">
      <c r="A3031" s="17" t="str">
        <f>"49550"</f>
        <v>49550</v>
      </c>
      <c r="B3031" s="5" t="s">
        <v>3187</v>
      </c>
      <c r="C3031" s="17">
        <v>19900101</v>
      </c>
      <c r="D3031" s="17">
        <v>22991231</v>
      </c>
      <c r="E3031" s="25">
        <v>1549.07</v>
      </c>
    </row>
    <row r="3032" spans="1:5" x14ac:dyDescent="0.3">
      <c r="A3032" s="17" t="str">
        <f>"49553"</f>
        <v>49553</v>
      </c>
      <c r="B3032" s="5" t="s">
        <v>3188</v>
      </c>
      <c r="C3032" s="17">
        <v>19940101</v>
      </c>
      <c r="D3032" s="17">
        <v>22991231</v>
      </c>
      <c r="E3032" s="25">
        <v>1549.07</v>
      </c>
    </row>
    <row r="3033" spans="1:5" x14ac:dyDescent="0.3">
      <c r="A3033" s="17" t="str">
        <f>"49555"</f>
        <v>49555</v>
      </c>
      <c r="B3033" s="5" t="s">
        <v>3189</v>
      </c>
      <c r="C3033" s="17">
        <v>19900101</v>
      </c>
      <c r="D3033" s="17">
        <v>22991231</v>
      </c>
      <c r="E3033" s="25">
        <v>1549.07</v>
      </c>
    </row>
    <row r="3034" spans="1:5" x14ac:dyDescent="0.3">
      <c r="A3034" s="17" t="str">
        <f>"49557"</f>
        <v>49557</v>
      </c>
      <c r="B3034" s="5" t="s">
        <v>3190</v>
      </c>
      <c r="C3034" s="17">
        <v>19940101</v>
      </c>
      <c r="D3034" s="17">
        <v>22991231</v>
      </c>
      <c r="E3034" s="25">
        <v>1549.07</v>
      </c>
    </row>
    <row r="3035" spans="1:5" ht="26" x14ac:dyDescent="0.3">
      <c r="A3035" s="17" t="str">
        <f>"49591"</f>
        <v>49591</v>
      </c>
      <c r="B3035" s="5" t="s">
        <v>3191</v>
      </c>
      <c r="C3035" s="17">
        <v>20230101</v>
      </c>
      <c r="D3035" s="17">
        <v>22991231</v>
      </c>
      <c r="E3035" s="25">
        <v>1549.07</v>
      </c>
    </row>
    <row r="3036" spans="1:5" ht="26" x14ac:dyDescent="0.3">
      <c r="A3036" s="17" t="str">
        <f>"49592"</f>
        <v>49592</v>
      </c>
      <c r="B3036" s="5" t="s">
        <v>3192</v>
      </c>
      <c r="C3036" s="17">
        <v>20230101</v>
      </c>
      <c r="D3036" s="17">
        <v>22991231</v>
      </c>
      <c r="E3036" s="25">
        <v>2584.12</v>
      </c>
    </row>
    <row r="3037" spans="1:5" ht="26" x14ac:dyDescent="0.3">
      <c r="A3037" s="17" t="str">
        <f>"49593"</f>
        <v>49593</v>
      </c>
      <c r="B3037" s="5" t="s">
        <v>3193</v>
      </c>
      <c r="C3037" s="17">
        <v>20230101</v>
      </c>
      <c r="D3037" s="17">
        <v>22991231</v>
      </c>
      <c r="E3037" s="25">
        <v>1549.07</v>
      </c>
    </row>
    <row r="3038" spans="1:5" ht="26" x14ac:dyDescent="0.3">
      <c r="A3038" s="17" t="str">
        <f>"49594"</f>
        <v>49594</v>
      </c>
      <c r="B3038" s="5" t="s">
        <v>3194</v>
      </c>
      <c r="C3038" s="17">
        <v>20230101</v>
      </c>
      <c r="D3038" s="17">
        <v>22991231</v>
      </c>
      <c r="E3038" s="25">
        <v>2584.12</v>
      </c>
    </row>
    <row r="3039" spans="1:5" ht="26" x14ac:dyDescent="0.3">
      <c r="A3039" s="17" t="str">
        <f>"49595"</f>
        <v>49595</v>
      </c>
      <c r="B3039" s="5" t="s">
        <v>3195</v>
      </c>
      <c r="C3039" s="17">
        <v>20230101</v>
      </c>
      <c r="D3039" s="17">
        <v>22991231</v>
      </c>
      <c r="E3039" s="25">
        <v>1549.07</v>
      </c>
    </row>
    <row r="3040" spans="1:5" ht="26" x14ac:dyDescent="0.3">
      <c r="A3040" s="17" t="str">
        <f>"49600"</f>
        <v>49600</v>
      </c>
      <c r="B3040" s="5" t="s">
        <v>3196</v>
      </c>
      <c r="C3040" s="17">
        <v>19900101</v>
      </c>
      <c r="D3040" s="17">
        <v>22991231</v>
      </c>
      <c r="E3040" s="25">
        <v>1549.07</v>
      </c>
    </row>
    <row r="3041" spans="1:5" ht="26" x14ac:dyDescent="0.3">
      <c r="A3041" s="17" t="str">
        <f>"49613"</f>
        <v>49613</v>
      </c>
      <c r="B3041" s="5" t="s">
        <v>3197</v>
      </c>
      <c r="C3041" s="17">
        <v>20230101</v>
      </c>
      <c r="D3041" s="17">
        <v>22991231</v>
      </c>
      <c r="E3041" s="25">
        <v>1549.07</v>
      </c>
    </row>
    <row r="3042" spans="1:5" ht="26" x14ac:dyDescent="0.3">
      <c r="A3042" s="17" t="str">
        <f>"49614"</f>
        <v>49614</v>
      </c>
      <c r="B3042" s="5" t="s">
        <v>3198</v>
      </c>
      <c r="C3042" s="17">
        <v>20230101</v>
      </c>
      <c r="D3042" s="17">
        <v>22991231</v>
      </c>
      <c r="E3042" s="25">
        <v>2584.12</v>
      </c>
    </row>
    <row r="3043" spans="1:5" ht="26" x14ac:dyDescent="0.3">
      <c r="A3043" s="17" t="str">
        <f>"49615"</f>
        <v>49615</v>
      </c>
      <c r="B3043" s="5" t="s">
        <v>3199</v>
      </c>
      <c r="C3043" s="17">
        <v>20230101</v>
      </c>
      <c r="D3043" s="17">
        <v>22991231</v>
      </c>
      <c r="E3043" s="25">
        <v>1549.07</v>
      </c>
    </row>
    <row r="3044" spans="1:5" x14ac:dyDescent="0.3">
      <c r="A3044" s="17" t="str">
        <f>"49650"</f>
        <v>49650</v>
      </c>
      <c r="B3044" s="5" t="s">
        <v>3200</v>
      </c>
      <c r="C3044" s="17">
        <v>20000101</v>
      </c>
      <c r="D3044" s="17">
        <v>22991231</v>
      </c>
      <c r="E3044" s="25">
        <v>2584.12</v>
      </c>
    </row>
    <row r="3045" spans="1:5" ht="26" x14ac:dyDescent="0.3">
      <c r="A3045" s="17" t="str">
        <f>"49651"</f>
        <v>49651</v>
      </c>
      <c r="B3045" s="5" t="s">
        <v>3201</v>
      </c>
      <c r="C3045" s="17">
        <v>20000101</v>
      </c>
      <c r="D3045" s="17">
        <v>22991231</v>
      </c>
      <c r="E3045" s="25">
        <v>2584.12</v>
      </c>
    </row>
    <row r="3046" spans="1:5" x14ac:dyDescent="0.3">
      <c r="A3046" s="17" t="str">
        <f>"50020"</f>
        <v>50020</v>
      </c>
      <c r="B3046" s="5" t="s">
        <v>3202</v>
      </c>
      <c r="C3046" s="17">
        <v>19900101</v>
      </c>
      <c r="D3046" s="17">
        <v>22991231</v>
      </c>
      <c r="E3046" s="24" t="s">
        <v>7128</v>
      </c>
    </row>
    <row r="3047" spans="1:5" ht="26" x14ac:dyDescent="0.3">
      <c r="A3047" s="17" t="str">
        <f>"50080"</f>
        <v>50080</v>
      </c>
      <c r="B3047" s="5" t="s">
        <v>3203</v>
      </c>
      <c r="C3047" s="17">
        <v>19900101</v>
      </c>
      <c r="D3047" s="17">
        <v>22991231</v>
      </c>
      <c r="E3047" s="25">
        <v>4341.6400000000003</v>
      </c>
    </row>
    <row r="3048" spans="1:5" ht="26" x14ac:dyDescent="0.3">
      <c r="A3048" s="17" t="str">
        <f>"50081"</f>
        <v>50081</v>
      </c>
      <c r="B3048" s="5" t="s">
        <v>3204</v>
      </c>
      <c r="C3048" s="17">
        <v>19900101</v>
      </c>
      <c r="D3048" s="17">
        <v>22991231</v>
      </c>
      <c r="E3048" s="25">
        <v>4341.6400000000003</v>
      </c>
    </row>
    <row r="3049" spans="1:5" x14ac:dyDescent="0.3">
      <c r="A3049" s="17" t="str">
        <f>"50200"</f>
        <v>50200</v>
      </c>
      <c r="B3049" s="5" t="s">
        <v>3205</v>
      </c>
      <c r="C3049" s="17">
        <v>19900101</v>
      </c>
      <c r="D3049" s="17">
        <v>22991231</v>
      </c>
      <c r="E3049" s="25">
        <v>652.27</v>
      </c>
    </row>
    <row r="3050" spans="1:5" ht="26" x14ac:dyDescent="0.3">
      <c r="A3050" s="17" t="str">
        <f>"50382"</f>
        <v>50382</v>
      </c>
      <c r="B3050" s="5" t="s">
        <v>3206</v>
      </c>
      <c r="C3050" s="17">
        <v>20060101</v>
      </c>
      <c r="D3050" s="17">
        <v>22991231</v>
      </c>
      <c r="E3050" s="25">
        <v>888.17</v>
      </c>
    </row>
    <row r="3051" spans="1:5" ht="26" x14ac:dyDescent="0.3">
      <c r="A3051" s="17" t="str">
        <f>"50384"</f>
        <v>50384</v>
      </c>
      <c r="B3051" s="5" t="s">
        <v>3207</v>
      </c>
      <c r="C3051" s="17">
        <v>20060101</v>
      </c>
      <c r="D3051" s="17">
        <v>22991231</v>
      </c>
      <c r="E3051" s="25">
        <v>888.17</v>
      </c>
    </row>
    <row r="3052" spans="1:5" ht="26" x14ac:dyDescent="0.3">
      <c r="A3052" s="17" t="str">
        <f>"50385"</f>
        <v>50385</v>
      </c>
      <c r="B3052" s="5" t="s">
        <v>3208</v>
      </c>
      <c r="C3052" s="17">
        <v>20080101</v>
      </c>
      <c r="D3052" s="17">
        <v>22991231</v>
      </c>
      <c r="E3052" s="25">
        <v>888.17</v>
      </c>
    </row>
    <row r="3053" spans="1:5" ht="26" x14ac:dyDescent="0.3">
      <c r="A3053" s="17" t="str">
        <f>"50386"</f>
        <v>50386</v>
      </c>
      <c r="B3053" s="5" t="s">
        <v>3209</v>
      </c>
      <c r="C3053" s="17">
        <v>20080101</v>
      </c>
      <c r="D3053" s="17">
        <v>22991231</v>
      </c>
      <c r="E3053" s="25">
        <v>591.73</v>
      </c>
    </row>
    <row r="3054" spans="1:5" ht="39" x14ac:dyDescent="0.3">
      <c r="A3054" s="17" t="str">
        <f>"50387"</f>
        <v>50387</v>
      </c>
      <c r="B3054" s="5" t="s">
        <v>3210</v>
      </c>
      <c r="C3054" s="17">
        <v>20060101</v>
      </c>
      <c r="D3054" s="17">
        <v>22991231</v>
      </c>
      <c r="E3054" s="25">
        <v>888.17</v>
      </c>
    </row>
    <row r="3055" spans="1:5" ht="26" x14ac:dyDescent="0.3">
      <c r="A3055" s="17" t="str">
        <f>"50389"</f>
        <v>50389</v>
      </c>
      <c r="B3055" s="5" t="s">
        <v>3211</v>
      </c>
      <c r="C3055" s="17">
        <v>20060101</v>
      </c>
      <c r="D3055" s="17">
        <v>22991231</v>
      </c>
      <c r="E3055" s="25">
        <v>299.17</v>
      </c>
    </row>
    <row r="3056" spans="1:5" x14ac:dyDescent="0.3">
      <c r="A3056" s="17" t="str">
        <f>"50390"</f>
        <v>50390</v>
      </c>
      <c r="B3056" s="5" t="s">
        <v>3212</v>
      </c>
      <c r="C3056" s="17">
        <v>19970801</v>
      </c>
      <c r="D3056" s="17">
        <v>22991231</v>
      </c>
      <c r="E3056" s="25">
        <v>348.6</v>
      </c>
    </row>
    <row r="3057" spans="1:5" x14ac:dyDescent="0.3">
      <c r="A3057" s="17" t="str">
        <f>"50391"</f>
        <v>50391</v>
      </c>
      <c r="B3057" s="5" t="s">
        <v>3213</v>
      </c>
      <c r="C3057" s="17">
        <v>20230101</v>
      </c>
      <c r="D3057" s="17">
        <v>22991231</v>
      </c>
      <c r="E3057" s="25">
        <v>48.47</v>
      </c>
    </row>
    <row r="3058" spans="1:5" ht="26" x14ac:dyDescent="0.3">
      <c r="A3058" s="17" t="str">
        <f>"50396"</f>
        <v>50396</v>
      </c>
      <c r="B3058" s="5" t="s">
        <v>3214</v>
      </c>
      <c r="C3058" s="17">
        <v>19970801</v>
      </c>
      <c r="D3058" s="17">
        <v>22991231</v>
      </c>
      <c r="E3058" s="25">
        <v>299.17</v>
      </c>
    </row>
    <row r="3059" spans="1:5" ht="39" x14ac:dyDescent="0.3">
      <c r="A3059" s="17" t="str">
        <f>"50430"</f>
        <v>50430</v>
      </c>
      <c r="B3059" s="5" t="s">
        <v>3215</v>
      </c>
      <c r="C3059" s="17">
        <v>20230101</v>
      </c>
      <c r="D3059" s="17">
        <v>22991231</v>
      </c>
      <c r="E3059" s="25">
        <v>0</v>
      </c>
    </row>
    <row r="3060" spans="1:5" ht="39" x14ac:dyDescent="0.3">
      <c r="A3060" s="17" t="str">
        <f>"50431"</f>
        <v>50431</v>
      </c>
      <c r="B3060" s="5" t="s">
        <v>3216</v>
      </c>
      <c r="C3060" s="17">
        <v>20230101</v>
      </c>
      <c r="D3060" s="17">
        <v>22991231</v>
      </c>
      <c r="E3060" s="25">
        <v>0</v>
      </c>
    </row>
    <row r="3061" spans="1:5" ht="26" x14ac:dyDescent="0.3">
      <c r="A3061" s="17" t="str">
        <f>"50432"</f>
        <v>50432</v>
      </c>
      <c r="B3061" s="5" t="s">
        <v>3217</v>
      </c>
      <c r="C3061" s="17">
        <v>20230101</v>
      </c>
      <c r="D3061" s="17">
        <v>22991231</v>
      </c>
      <c r="E3061" s="25">
        <v>888.17</v>
      </c>
    </row>
    <row r="3062" spans="1:5" ht="39" x14ac:dyDescent="0.3">
      <c r="A3062" s="17" t="str">
        <f>"50433"</f>
        <v>50433</v>
      </c>
      <c r="B3062" s="5" t="s">
        <v>3218</v>
      </c>
      <c r="C3062" s="17">
        <v>20230101</v>
      </c>
      <c r="D3062" s="17">
        <v>22991231</v>
      </c>
      <c r="E3062" s="25">
        <v>1553.18</v>
      </c>
    </row>
    <row r="3063" spans="1:5" ht="39" x14ac:dyDescent="0.3">
      <c r="A3063" s="17" t="str">
        <f>"50434"</f>
        <v>50434</v>
      </c>
      <c r="B3063" s="5" t="s">
        <v>3219</v>
      </c>
      <c r="C3063" s="17">
        <v>20230101</v>
      </c>
      <c r="D3063" s="17">
        <v>22991231</v>
      </c>
      <c r="E3063" s="25">
        <v>888.17</v>
      </c>
    </row>
    <row r="3064" spans="1:5" ht="26" x14ac:dyDescent="0.3">
      <c r="A3064" s="17" t="str">
        <f>"50435"</f>
        <v>50435</v>
      </c>
      <c r="B3064" s="5" t="s">
        <v>3220</v>
      </c>
      <c r="C3064" s="17">
        <v>20230101</v>
      </c>
      <c r="D3064" s="17">
        <v>22991231</v>
      </c>
      <c r="E3064" s="25">
        <v>888.17</v>
      </c>
    </row>
    <row r="3065" spans="1:5" ht="26" x14ac:dyDescent="0.3">
      <c r="A3065" s="17" t="str">
        <f>"50436"</f>
        <v>50436</v>
      </c>
      <c r="B3065" s="5" t="s">
        <v>3221</v>
      </c>
      <c r="C3065" s="17">
        <v>20190101</v>
      </c>
      <c r="D3065" s="17">
        <v>22991231</v>
      </c>
      <c r="E3065" s="25">
        <v>1553.18</v>
      </c>
    </row>
    <row r="3066" spans="1:5" ht="39" x14ac:dyDescent="0.3">
      <c r="A3066" s="17" t="str">
        <f>"50437"</f>
        <v>50437</v>
      </c>
      <c r="B3066" s="5" t="s">
        <v>3222</v>
      </c>
      <c r="C3066" s="17">
        <v>20190101</v>
      </c>
      <c r="D3066" s="17">
        <v>22991231</v>
      </c>
      <c r="E3066" s="25">
        <v>1553.18</v>
      </c>
    </row>
    <row r="3067" spans="1:5" x14ac:dyDescent="0.3">
      <c r="A3067" s="17" t="str">
        <f>"50541"</f>
        <v>50541</v>
      </c>
      <c r="B3067" s="5" t="s">
        <v>3223</v>
      </c>
      <c r="C3067" s="17">
        <v>20000101</v>
      </c>
      <c r="D3067" s="17">
        <v>22991231</v>
      </c>
      <c r="E3067" s="24" t="s">
        <v>7128</v>
      </c>
    </row>
    <row r="3068" spans="1:5" x14ac:dyDescent="0.3">
      <c r="A3068" s="17" t="str">
        <f>"50544"</f>
        <v>50544</v>
      </c>
      <c r="B3068" s="5" t="s">
        <v>3224</v>
      </c>
      <c r="C3068" s="17">
        <v>20000101</v>
      </c>
      <c r="D3068" s="17">
        <v>22991231</v>
      </c>
      <c r="E3068" s="24" t="s">
        <v>7128</v>
      </c>
    </row>
    <row r="3069" spans="1:5" ht="39" x14ac:dyDescent="0.3">
      <c r="A3069" s="17" t="str">
        <f>"50551"</f>
        <v>50551</v>
      </c>
      <c r="B3069" s="5" t="s">
        <v>3225</v>
      </c>
      <c r="C3069" s="17">
        <v>19900101</v>
      </c>
      <c r="D3069" s="17">
        <v>22991231</v>
      </c>
      <c r="E3069" s="25">
        <v>2360.33</v>
      </c>
    </row>
    <row r="3070" spans="1:5" ht="39" x14ac:dyDescent="0.3">
      <c r="A3070" s="17" t="str">
        <f>"50553"</f>
        <v>50553</v>
      </c>
      <c r="B3070" s="5" t="s">
        <v>3226</v>
      </c>
      <c r="C3070" s="17">
        <v>19900101</v>
      </c>
      <c r="D3070" s="17">
        <v>22991231</v>
      </c>
      <c r="E3070" s="25">
        <v>2360.33</v>
      </c>
    </row>
    <row r="3071" spans="1:5" ht="39" x14ac:dyDescent="0.3">
      <c r="A3071" s="17" t="str">
        <f>"50555"</f>
        <v>50555</v>
      </c>
      <c r="B3071" s="5" t="s">
        <v>3227</v>
      </c>
      <c r="C3071" s="17">
        <v>19900101</v>
      </c>
      <c r="D3071" s="17">
        <v>22991231</v>
      </c>
      <c r="E3071" s="25">
        <v>4341.6400000000003</v>
      </c>
    </row>
    <row r="3072" spans="1:5" ht="39" x14ac:dyDescent="0.3">
      <c r="A3072" s="17" t="str">
        <f>"50557"</f>
        <v>50557</v>
      </c>
      <c r="B3072" s="5" t="s">
        <v>3228</v>
      </c>
      <c r="C3072" s="17">
        <v>19900101</v>
      </c>
      <c r="D3072" s="17">
        <v>22991231</v>
      </c>
      <c r="E3072" s="25">
        <v>4341.6400000000003</v>
      </c>
    </row>
    <row r="3073" spans="1:5" ht="39" x14ac:dyDescent="0.3">
      <c r="A3073" s="17" t="str">
        <f>"50561"</f>
        <v>50561</v>
      </c>
      <c r="B3073" s="5" t="s">
        <v>3229</v>
      </c>
      <c r="C3073" s="17">
        <v>19900101</v>
      </c>
      <c r="D3073" s="17">
        <v>22991231</v>
      </c>
      <c r="E3073" s="25">
        <v>2360.33</v>
      </c>
    </row>
    <row r="3074" spans="1:5" ht="39" x14ac:dyDescent="0.3">
      <c r="A3074" s="17" t="str">
        <f>"50562"</f>
        <v>50562</v>
      </c>
      <c r="B3074" s="5" t="s">
        <v>3230</v>
      </c>
      <c r="C3074" s="17">
        <v>20230101</v>
      </c>
      <c r="D3074" s="17">
        <v>22991231</v>
      </c>
      <c r="E3074" s="25">
        <v>4341.6400000000003</v>
      </c>
    </row>
    <row r="3075" spans="1:5" x14ac:dyDescent="0.3">
      <c r="A3075" s="17" t="str">
        <f>"50570"</f>
        <v>50570</v>
      </c>
      <c r="B3075" s="5" t="s">
        <v>3231</v>
      </c>
      <c r="C3075" s="17">
        <v>19900101</v>
      </c>
      <c r="D3075" s="17">
        <v>22991231</v>
      </c>
      <c r="E3075" s="25">
        <v>1553.18</v>
      </c>
    </row>
    <row r="3076" spans="1:5" ht="26" x14ac:dyDescent="0.3">
      <c r="A3076" s="17" t="str">
        <f>"50572"</f>
        <v>50572</v>
      </c>
      <c r="B3076" s="5" t="s">
        <v>3232</v>
      </c>
      <c r="C3076" s="17">
        <v>19900101</v>
      </c>
      <c r="D3076" s="17">
        <v>22991231</v>
      </c>
      <c r="E3076" s="25">
        <v>299.17</v>
      </c>
    </row>
    <row r="3077" spans="1:5" x14ac:dyDescent="0.3">
      <c r="A3077" s="17" t="str">
        <f>"50574"</f>
        <v>50574</v>
      </c>
      <c r="B3077" s="5" t="s">
        <v>3233</v>
      </c>
      <c r="C3077" s="17">
        <v>19900101</v>
      </c>
      <c r="D3077" s="17">
        <v>22991231</v>
      </c>
      <c r="E3077" s="25">
        <v>1553.18</v>
      </c>
    </row>
    <row r="3078" spans="1:5" ht="26" x14ac:dyDescent="0.3">
      <c r="A3078" s="17" t="str">
        <f>"50575"</f>
        <v>50575</v>
      </c>
      <c r="B3078" s="5" t="s">
        <v>3234</v>
      </c>
      <c r="C3078" s="17">
        <v>19940101</v>
      </c>
      <c r="D3078" s="17">
        <v>22991231</v>
      </c>
      <c r="E3078" s="25">
        <v>2360.33</v>
      </c>
    </row>
    <row r="3079" spans="1:5" ht="26" x14ac:dyDescent="0.3">
      <c r="A3079" s="17" t="str">
        <f>"50576"</f>
        <v>50576</v>
      </c>
      <c r="B3079" s="5" t="s">
        <v>3235</v>
      </c>
      <c r="C3079" s="17">
        <v>19900101</v>
      </c>
      <c r="D3079" s="17">
        <v>22991231</v>
      </c>
      <c r="E3079" s="25">
        <v>4341.6400000000003</v>
      </c>
    </row>
    <row r="3080" spans="1:5" ht="26" x14ac:dyDescent="0.3">
      <c r="A3080" s="17" t="str">
        <f>"50580"</f>
        <v>50580</v>
      </c>
      <c r="B3080" s="5" t="s">
        <v>3236</v>
      </c>
      <c r="C3080" s="17">
        <v>19900101</v>
      </c>
      <c r="D3080" s="17">
        <v>22991231</v>
      </c>
      <c r="E3080" s="25">
        <v>2360.33</v>
      </c>
    </row>
    <row r="3081" spans="1:5" x14ac:dyDescent="0.3">
      <c r="A3081" s="17" t="str">
        <f>"50590"</f>
        <v>50590</v>
      </c>
      <c r="B3081" s="5" t="s">
        <v>3237</v>
      </c>
      <c r="C3081" s="17">
        <v>19900101</v>
      </c>
      <c r="D3081" s="17">
        <v>22991231</v>
      </c>
      <c r="E3081" s="25">
        <v>1553.18</v>
      </c>
    </row>
    <row r="3082" spans="1:5" ht="26" x14ac:dyDescent="0.3">
      <c r="A3082" s="17" t="str">
        <f>"50592"</f>
        <v>50592</v>
      </c>
      <c r="B3082" s="5" t="s">
        <v>3238</v>
      </c>
      <c r="C3082" s="17">
        <v>20060101</v>
      </c>
      <c r="D3082" s="17">
        <v>22991231</v>
      </c>
      <c r="E3082" s="25">
        <v>2584.12</v>
      </c>
    </row>
    <row r="3083" spans="1:5" x14ac:dyDescent="0.3">
      <c r="A3083" s="17" t="str">
        <f>"50593"</f>
        <v>50593</v>
      </c>
      <c r="B3083" s="5" t="s">
        <v>3239</v>
      </c>
      <c r="C3083" s="17">
        <v>20080101</v>
      </c>
      <c r="D3083" s="17">
        <v>22991231</v>
      </c>
      <c r="E3083" s="25">
        <v>6139.17</v>
      </c>
    </row>
    <row r="3084" spans="1:5" ht="26" x14ac:dyDescent="0.3">
      <c r="A3084" s="17" t="str">
        <f>"50606"</f>
        <v>50606</v>
      </c>
      <c r="B3084" s="5" t="s">
        <v>3240</v>
      </c>
      <c r="C3084" s="17">
        <v>20230101</v>
      </c>
      <c r="D3084" s="17">
        <v>22991231</v>
      </c>
      <c r="E3084" s="25">
        <v>0</v>
      </c>
    </row>
    <row r="3085" spans="1:5" x14ac:dyDescent="0.3">
      <c r="A3085" s="17" t="str">
        <f>"50684"</f>
        <v>50684</v>
      </c>
      <c r="B3085" s="5" t="s">
        <v>3241</v>
      </c>
      <c r="C3085" s="17">
        <v>19900101</v>
      </c>
      <c r="D3085" s="17">
        <v>22991231</v>
      </c>
      <c r="E3085" s="25">
        <v>0</v>
      </c>
    </row>
    <row r="3086" spans="1:5" x14ac:dyDescent="0.3">
      <c r="A3086" s="17" t="str">
        <f>"50686"</f>
        <v>50686</v>
      </c>
      <c r="B3086" s="5" t="s">
        <v>3242</v>
      </c>
      <c r="C3086" s="17">
        <v>19900101</v>
      </c>
      <c r="D3086" s="17">
        <v>22991231</v>
      </c>
      <c r="E3086" s="25">
        <v>77.400000000000006</v>
      </c>
    </row>
    <row r="3087" spans="1:5" x14ac:dyDescent="0.3">
      <c r="A3087" s="17" t="str">
        <f>"50688"</f>
        <v>50688</v>
      </c>
      <c r="B3087" s="5" t="s">
        <v>3243</v>
      </c>
      <c r="C3087" s="17">
        <v>19900101</v>
      </c>
      <c r="D3087" s="17">
        <v>22991231</v>
      </c>
      <c r="E3087" s="25">
        <v>888.17</v>
      </c>
    </row>
    <row r="3088" spans="1:5" x14ac:dyDescent="0.3">
      <c r="A3088" s="17" t="str">
        <f>"50690"</f>
        <v>50690</v>
      </c>
      <c r="B3088" s="5" t="s">
        <v>3244</v>
      </c>
      <c r="C3088" s="17">
        <v>19900101</v>
      </c>
      <c r="D3088" s="17">
        <v>22991231</v>
      </c>
      <c r="E3088" s="25">
        <v>0</v>
      </c>
    </row>
    <row r="3089" spans="1:5" ht="39" x14ac:dyDescent="0.3">
      <c r="A3089" s="17" t="str">
        <f>"50693"</f>
        <v>50693</v>
      </c>
      <c r="B3089" s="5" t="s">
        <v>3245</v>
      </c>
      <c r="C3089" s="17">
        <v>20160101</v>
      </c>
      <c r="D3089" s="17">
        <v>22991231</v>
      </c>
      <c r="E3089" s="25">
        <v>1553.18</v>
      </c>
    </row>
    <row r="3090" spans="1:5" ht="39" x14ac:dyDescent="0.3">
      <c r="A3090" s="17" t="str">
        <f>"50694"</f>
        <v>50694</v>
      </c>
      <c r="B3090" s="5" t="s">
        <v>3246</v>
      </c>
      <c r="C3090" s="17">
        <v>20160101</v>
      </c>
      <c r="D3090" s="17">
        <v>22991231</v>
      </c>
      <c r="E3090" s="25">
        <v>1553.18</v>
      </c>
    </row>
    <row r="3091" spans="1:5" ht="39" x14ac:dyDescent="0.3">
      <c r="A3091" s="17" t="str">
        <f>"50695"</f>
        <v>50695</v>
      </c>
      <c r="B3091" s="5" t="s">
        <v>3247</v>
      </c>
      <c r="C3091" s="17">
        <v>20160101</v>
      </c>
      <c r="D3091" s="17">
        <v>22991231</v>
      </c>
      <c r="E3091" s="25">
        <v>1553.18</v>
      </c>
    </row>
    <row r="3092" spans="1:5" ht="26" x14ac:dyDescent="0.3">
      <c r="A3092" s="17" t="str">
        <f>"50705"</f>
        <v>50705</v>
      </c>
      <c r="B3092" s="5" t="s">
        <v>3248</v>
      </c>
      <c r="C3092" s="17">
        <v>20160101</v>
      </c>
      <c r="D3092" s="17">
        <v>22991231</v>
      </c>
      <c r="E3092" s="25">
        <v>0</v>
      </c>
    </row>
    <row r="3093" spans="1:5" ht="39" x14ac:dyDescent="0.3">
      <c r="A3093" s="17" t="str">
        <f>"50706"</f>
        <v>50706</v>
      </c>
      <c r="B3093" s="5" t="s">
        <v>3249</v>
      </c>
      <c r="C3093" s="17">
        <v>20160101</v>
      </c>
      <c r="D3093" s="17">
        <v>22991231</v>
      </c>
      <c r="E3093" s="25">
        <v>0</v>
      </c>
    </row>
    <row r="3094" spans="1:5" x14ac:dyDescent="0.3">
      <c r="A3094" s="17" t="str">
        <f>"50727"</f>
        <v>50727</v>
      </c>
      <c r="B3094" s="5" t="s">
        <v>3250</v>
      </c>
      <c r="C3094" s="17">
        <v>20230101</v>
      </c>
      <c r="D3094" s="17">
        <v>22991231</v>
      </c>
      <c r="E3094" s="25">
        <v>1553.18</v>
      </c>
    </row>
    <row r="3095" spans="1:5" ht="26" x14ac:dyDescent="0.3">
      <c r="A3095" s="17" t="str">
        <f>"50945"</f>
        <v>50945</v>
      </c>
      <c r="B3095" s="5" t="s">
        <v>3251</v>
      </c>
      <c r="C3095" s="17">
        <v>20000101</v>
      </c>
      <c r="D3095" s="17">
        <v>22991231</v>
      </c>
      <c r="E3095" s="24" t="s">
        <v>7128</v>
      </c>
    </row>
    <row r="3096" spans="1:5" ht="26" x14ac:dyDescent="0.3">
      <c r="A3096" s="17" t="str">
        <f>"50947"</f>
        <v>50947</v>
      </c>
      <c r="B3096" s="5" t="s">
        <v>3252</v>
      </c>
      <c r="C3096" s="17">
        <v>20010101</v>
      </c>
      <c r="D3096" s="17">
        <v>22991231</v>
      </c>
      <c r="E3096" s="25">
        <v>4336.99</v>
      </c>
    </row>
    <row r="3097" spans="1:5" x14ac:dyDescent="0.3">
      <c r="A3097" s="17" t="str">
        <f>"50948"</f>
        <v>50948</v>
      </c>
      <c r="B3097" s="5" t="s">
        <v>3253</v>
      </c>
      <c r="C3097" s="17">
        <v>20010101</v>
      </c>
      <c r="D3097" s="17">
        <v>22991231</v>
      </c>
      <c r="E3097" s="25">
        <v>4336.99</v>
      </c>
    </row>
    <row r="3098" spans="1:5" ht="39" x14ac:dyDescent="0.3">
      <c r="A3098" s="17" t="str">
        <f>"50951"</f>
        <v>50951</v>
      </c>
      <c r="B3098" s="5" t="s">
        <v>3254</v>
      </c>
      <c r="C3098" s="17">
        <v>19900101</v>
      </c>
      <c r="D3098" s="17">
        <v>22991231</v>
      </c>
      <c r="E3098" s="25">
        <v>1553.18</v>
      </c>
    </row>
    <row r="3099" spans="1:5" ht="39" x14ac:dyDescent="0.3">
      <c r="A3099" s="17" t="str">
        <f>"50953"</f>
        <v>50953</v>
      </c>
      <c r="B3099" s="5" t="s">
        <v>3255</v>
      </c>
      <c r="C3099" s="17">
        <v>19900101</v>
      </c>
      <c r="D3099" s="17">
        <v>22991231</v>
      </c>
      <c r="E3099" s="25">
        <v>1553.18</v>
      </c>
    </row>
    <row r="3100" spans="1:5" ht="39" x14ac:dyDescent="0.3">
      <c r="A3100" s="17" t="str">
        <f>"50955"</f>
        <v>50955</v>
      </c>
      <c r="B3100" s="5" t="s">
        <v>3256</v>
      </c>
      <c r="C3100" s="17">
        <v>19900101</v>
      </c>
      <c r="D3100" s="17">
        <v>22991231</v>
      </c>
      <c r="E3100" s="25">
        <v>2360.33</v>
      </c>
    </row>
    <row r="3101" spans="1:5" ht="39" x14ac:dyDescent="0.3">
      <c r="A3101" s="17" t="str">
        <f>"50957"</f>
        <v>50957</v>
      </c>
      <c r="B3101" s="5" t="s">
        <v>3257</v>
      </c>
      <c r="C3101" s="17">
        <v>19900101</v>
      </c>
      <c r="D3101" s="17">
        <v>22991231</v>
      </c>
      <c r="E3101" s="25">
        <v>2360.33</v>
      </c>
    </row>
    <row r="3102" spans="1:5" ht="39" x14ac:dyDescent="0.3">
      <c r="A3102" s="17" t="str">
        <f>"50961"</f>
        <v>50961</v>
      </c>
      <c r="B3102" s="5" t="s">
        <v>3258</v>
      </c>
      <c r="C3102" s="17">
        <v>19900101</v>
      </c>
      <c r="D3102" s="17">
        <v>22991231</v>
      </c>
      <c r="E3102" s="25">
        <v>2360.33</v>
      </c>
    </row>
    <row r="3103" spans="1:5" x14ac:dyDescent="0.3">
      <c r="A3103" s="17" t="str">
        <f>"50970"</f>
        <v>50970</v>
      </c>
      <c r="B3103" s="5" t="s">
        <v>3259</v>
      </c>
      <c r="C3103" s="17">
        <v>19900101</v>
      </c>
      <c r="D3103" s="17">
        <v>22991231</v>
      </c>
      <c r="E3103" s="25">
        <v>1553.18</v>
      </c>
    </row>
    <row r="3104" spans="1:5" x14ac:dyDescent="0.3">
      <c r="A3104" s="17" t="str">
        <f>"50972"</f>
        <v>50972</v>
      </c>
      <c r="B3104" s="5" t="s">
        <v>3260</v>
      </c>
      <c r="C3104" s="17">
        <v>19900101</v>
      </c>
      <c r="D3104" s="17">
        <v>22991231</v>
      </c>
      <c r="E3104" s="25">
        <v>1553.18</v>
      </c>
    </row>
    <row r="3105" spans="1:5" x14ac:dyDescent="0.3">
      <c r="A3105" s="17" t="str">
        <f>"50974"</f>
        <v>50974</v>
      </c>
      <c r="B3105" s="5" t="s">
        <v>3261</v>
      </c>
      <c r="C3105" s="17">
        <v>19900101</v>
      </c>
      <c r="D3105" s="17">
        <v>22991231</v>
      </c>
      <c r="E3105" s="25">
        <v>2360.33</v>
      </c>
    </row>
    <row r="3106" spans="1:5" ht="26" x14ac:dyDescent="0.3">
      <c r="A3106" s="17" t="str">
        <f>"50976"</f>
        <v>50976</v>
      </c>
      <c r="B3106" s="5" t="s">
        <v>3262</v>
      </c>
      <c r="C3106" s="17">
        <v>19900101</v>
      </c>
      <c r="D3106" s="17">
        <v>22991231</v>
      </c>
      <c r="E3106" s="25">
        <v>2360.33</v>
      </c>
    </row>
    <row r="3107" spans="1:5" ht="26" x14ac:dyDescent="0.3">
      <c r="A3107" s="17" t="str">
        <f>"50980"</f>
        <v>50980</v>
      </c>
      <c r="B3107" s="5" t="s">
        <v>3263</v>
      </c>
      <c r="C3107" s="17">
        <v>19900101</v>
      </c>
      <c r="D3107" s="17">
        <v>22991231</v>
      </c>
      <c r="E3107" s="25">
        <v>2360.33</v>
      </c>
    </row>
    <row r="3108" spans="1:5" ht="26" x14ac:dyDescent="0.3">
      <c r="A3108" s="17" t="str">
        <f>"51020"</f>
        <v>51020</v>
      </c>
      <c r="B3108" s="5" t="s">
        <v>3264</v>
      </c>
      <c r="C3108" s="17">
        <v>19900101</v>
      </c>
      <c r="D3108" s="17">
        <v>22991231</v>
      </c>
      <c r="E3108" s="25">
        <v>1553.18</v>
      </c>
    </row>
    <row r="3109" spans="1:5" ht="26" x14ac:dyDescent="0.3">
      <c r="A3109" s="17" t="str">
        <f>"51030"</f>
        <v>51030</v>
      </c>
      <c r="B3109" s="5" t="s">
        <v>3265</v>
      </c>
      <c r="C3109" s="17">
        <v>19900101</v>
      </c>
      <c r="D3109" s="17">
        <v>22991231</v>
      </c>
      <c r="E3109" s="25">
        <v>1553.18</v>
      </c>
    </row>
    <row r="3110" spans="1:5" x14ac:dyDescent="0.3">
      <c r="A3110" s="17" t="str">
        <f>"51040"</f>
        <v>51040</v>
      </c>
      <c r="B3110" s="5" t="s">
        <v>3266</v>
      </c>
      <c r="C3110" s="17">
        <v>19900101</v>
      </c>
      <c r="D3110" s="17">
        <v>22991231</v>
      </c>
      <c r="E3110" s="25">
        <v>888.17</v>
      </c>
    </row>
    <row r="3111" spans="1:5" ht="26" x14ac:dyDescent="0.3">
      <c r="A3111" s="17" t="str">
        <f>"51045"</f>
        <v>51045</v>
      </c>
      <c r="B3111" s="5" t="s">
        <v>3267</v>
      </c>
      <c r="C3111" s="17">
        <v>19900101</v>
      </c>
      <c r="D3111" s="17">
        <v>22991231</v>
      </c>
      <c r="E3111" s="25">
        <v>888.17</v>
      </c>
    </row>
    <row r="3112" spans="1:5" ht="26" x14ac:dyDescent="0.3">
      <c r="A3112" s="17" t="str">
        <f>"51050"</f>
        <v>51050</v>
      </c>
      <c r="B3112" s="5" t="s">
        <v>3268</v>
      </c>
      <c r="C3112" s="17">
        <v>19900101</v>
      </c>
      <c r="D3112" s="17">
        <v>22991231</v>
      </c>
      <c r="E3112" s="25">
        <v>2360.33</v>
      </c>
    </row>
    <row r="3113" spans="1:5" ht="26" x14ac:dyDescent="0.3">
      <c r="A3113" s="17" t="str">
        <f>"51060"</f>
        <v>51060</v>
      </c>
      <c r="B3113" s="5" t="s">
        <v>3269</v>
      </c>
      <c r="C3113" s="17">
        <v>19900101</v>
      </c>
      <c r="D3113" s="17">
        <v>22991231</v>
      </c>
      <c r="E3113" s="24" t="s">
        <v>7128</v>
      </c>
    </row>
    <row r="3114" spans="1:5" ht="26" x14ac:dyDescent="0.3">
      <c r="A3114" s="17" t="str">
        <f>"51065"</f>
        <v>51065</v>
      </c>
      <c r="B3114" s="5" t="s">
        <v>3270</v>
      </c>
      <c r="C3114" s="17">
        <v>19900101</v>
      </c>
      <c r="D3114" s="17">
        <v>22991231</v>
      </c>
      <c r="E3114" s="25">
        <v>1553.18</v>
      </c>
    </row>
    <row r="3115" spans="1:5" x14ac:dyDescent="0.3">
      <c r="A3115" s="17" t="str">
        <f>"51080"</f>
        <v>51080</v>
      </c>
      <c r="B3115" s="5" t="s">
        <v>3271</v>
      </c>
      <c r="C3115" s="17">
        <v>19900101</v>
      </c>
      <c r="D3115" s="17">
        <v>22991231</v>
      </c>
      <c r="E3115" s="25">
        <v>1105.24</v>
      </c>
    </row>
    <row r="3116" spans="1:5" x14ac:dyDescent="0.3">
      <c r="A3116" s="17" t="str">
        <f>"51100"</f>
        <v>51100</v>
      </c>
      <c r="B3116" s="5" t="s">
        <v>3272</v>
      </c>
      <c r="C3116" s="17">
        <v>20080101</v>
      </c>
      <c r="D3116" s="17">
        <v>22991231</v>
      </c>
      <c r="E3116" s="25">
        <v>41.91</v>
      </c>
    </row>
    <row r="3117" spans="1:5" x14ac:dyDescent="0.3">
      <c r="A3117" s="17" t="str">
        <f>"51101"</f>
        <v>51101</v>
      </c>
      <c r="B3117" s="5" t="s">
        <v>3273</v>
      </c>
      <c r="C3117" s="17">
        <v>20080101</v>
      </c>
      <c r="D3117" s="17">
        <v>22991231</v>
      </c>
      <c r="E3117" s="25">
        <v>108.52</v>
      </c>
    </row>
    <row r="3118" spans="1:5" ht="26" x14ac:dyDescent="0.3">
      <c r="A3118" s="17" t="str">
        <f>"51102"</f>
        <v>51102</v>
      </c>
      <c r="B3118" s="5" t="s">
        <v>3274</v>
      </c>
      <c r="C3118" s="17">
        <v>20080101</v>
      </c>
      <c r="D3118" s="17">
        <v>22991231</v>
      </c>
      <c r="E3118" s="25">
        <v>888.17</v>
      </c>
    </row>
    <row r="3119" spans="1:5" x14ac:dyDescent="0.3">
      <c r="A3119" s="17" t="str">
        <f>"51500"</f>
        <v>51500</v>
      </c>
      <c r="B3119" s="5" t="s">
        <v>3275</v>
      </c>
      <c r="C3119" s="17">
        <v>19900101</v>
      </c>
      <c r="D3119" s="17">
        <v>22991231</v>
      </c>
      <c r="E3119" s="25">
        <v>2584.12</v>
      </c>
    </row>
    <row r="3120" spans="1:5" x14ac:dyDescent="0.3">
      <c r="A3120" s="17" t="str">
        <f>"51520"</f>
        <v>51520</v>
      </c>
      <c r="B3120" s="5" t="s">
        <v>3276</v>
      </c>
      <c r="C3120" s="17">
        <v>19900101</v>
      </c>
      <c r="D3120" s="17">
        <v>22991231</v>
      </c>
      <c r="E3120" s="25">
        <v>1553.18</v>
      </c>
    </row>
    <row r="3121" spans="1:5" ht="26" x14ac:dyDescent="0.3">
      <c r="A3121" s="17" t="str">
        <f>"51535"</f>
        <v>51535</v>
      </c>
      <c r="B3121" s="5" t="s">
        <v>3277</v>
      </c>
      <c r="C3121" s="17">
        <v>19900101</v>
      </c>
      <c r="D3121" s="17">
        <v>22991231</v>
      </c>
      <c r="E3121" s="25">
        <v>1553.18</v>
      </c>
    </row>
    <row r="3122" spans="1:5" ht="26" x14ac:dyDescent="0.3">
      <c r="A3122" s="17" t="str">
        <f>"51600"</f>
        <v>51600</v>
      </c>
      <c r="B3122" s="5" t="s">
        <v>3278</v>
      </c>
      <c r="C3122" s="17">
        <v>19900101</v>
      </c>
      <c r="D3122" s="17">
        <v>22991231</v>
      </c>
      <c r="E3122" s="25">
        <v>0</v>
      </c>
    </row>
    <row r="3123" spans="1:5" ht="26" x14ac:dyDescent="0.3">
      <c r="A3123" s="17" t="str">
        <f>"51605"</f>
        <v>51605</v>
      </c>
      <c r="B3123" s="5" t="s">
        <v>3279</v>
      </c>
      <c r="C3123" s="17">
        <v>19900101</v>
      </c>
      <c r="D3123" s="17">
        <v>22991231</v>
      </c>
      <c r="E3123" s="25">
        <v>0</v>
      </c>
    </row>
    <row r="3124" spans="1:5" ht="26" x14ac:dyDescent="0.3">
      <c r="A3124" s="17" t="str">
        <f>"51610"</f>
        <v>51610</v>
      </c>
      <c r="B3124" s="5" t="s">
        <v>3280</v>
      </c>
      <c r="C3124" s="17">
        <v>19900101</v>
      </c>
      <c r="D3124" s="17">
        <v>22991231</v>
      </c>
      <c r="E3124" s="25">
        <v>0</v>
      </c>
    </row>
    <row r="3125" spans="1:5" x14ac:dyDescent="0.3">
      <c r="A3125" s="17" t="str">
        <f>"51700"</f>
        <v>51700</v>
      </c>
      <c r="B3125" s="5" t="s">
        <v>3281</v>
      </c>
      <c r="C3125" s="17">
        <v>19900101</v>
      </c>
      <c r="D3125" s="17">
        <v>22991231</v>
      </c>
      <c r="E3125" s="25">
        <v>50.67</v>
      </c>
    </row>
    <row r="3126" spans="1:5" x14ac:dyDescent="0.3">
      <c r="A3126" s="17" t="str">
        <f>"51701"</f>
        <v>51701</v>
      </c>
      <c r="B3126" s="5" t="s">
        <v>3282</v>
      </c>
      <c r="C3126" s="17">
        <v>20230101</v>
      </c>
      <c r="D3126" s="17">
        <v>22991231</v>
      </c>
      <c r="E3126" s="25">
        <v>0</v>
      </c>
    </row>
    <row r="3127" spans="1:5" x14ac:dyDescent="0.3">
      <c r="A3127" s="17" t="str">
        <f>"51702"</f>
        <v>51702</v>
      </c>
      <c r="B3127" s="5" t="s">
        <v>3283</v>
      </c>
      <c r="C3127" s="17">
        <v>20230101</v>
      </c>
      <c r="D3127" s="17">
        <v>22991231</v>
      </c>
      <c r="E3127" s="25">
        <v>0</v>
      </c>
    </row>
    <row r="3128" spans="1:5" x14ac:dyDescent="0.3">
      <c r="A3128" s="17" t="str">
        <f>"51703"</f>
        <v>51703</v>
      </c>
      <c r="B3128" s="5" t="s">
        <v>3284</v>
      </c>
      <c r="C3128" s="17">
        <v>20230101</v>
      </c>
      <c r="D3128" s="17">
        <v>22991231</v>
      </c>
      <c r="E3128" s="25">
        <v>77.400000000000006</v>
      </c>
    </row>
    <row r="3129" spans="1:5" x14ac:dyDescent="0.3">
      <c r="A3129" s="17" t="str">
        <f>"51705"</f>
        <v>51705</v>
      </c>
      <c r="B3129" s="5" t="s">
        <v>3285</v>
      </c>
      <c r="C3129" s="17">
        <v>19900101</v>
      </c>
      <c r="D3129" s="17">
        <v>22991231</v>
      </c>
      <c r="E3129" s="25">
        <v>60.05</v>
      </c>
    </row>
    <row r="3130" spans="1:5" x14ac:dyDescent="0.3">
      <c r="A3130" s="17" t="str">
        <f>"51710"</f>
        <v>51710</v>
      </c>
      <c r="B3130" s="5" t="s">
        <v>3286</v>
      </c>
      <c r="C3130" s="17">
        <v>19900101</v>
      </c>
      <c r="D3130" s="17">
        <v>22991231</v>
      </c>
      <c r="E3130" s="25">
        <v>299.17</v>
      </c>
    </row>
    <row r="3131" spans="1:5" ht="26" x14ac:dyDescent="0.3">
      <c r="A3131" s="17" t="str">
        <f>"51715"</f>
        <v>51715</v>
      </c>
      <c r="B3131" s="5" t="s">
        <v>3287</v>
      </c>
      <c r="C3131" s="17">
        <v>19940101</v>
      </c>
      <c r="D3131" s="17">
        <v>22991231</v>
      </c>
      <c r="E3131" s="25">
        <v>2147.37</v>
      </c>
    </row>
    <row r="3132" spans="1:5" x14ac:dyDescent="0.3">
      <c r="A3132" s="17" t="str">
        <f>"51720"</f>
        <v>51720</v>
      </c>
      <c r="B3132" s="5" t="s">
        <v>3288</v>
      </c>
      <c r="C3132" s="17">
        <v>19900101</v>
      </c>
      <c r="D3132" s="17">
        <v>22991231</v>
      </c>
      <c r="E3132" s="25">
        <v>52.54</v>
      </c>
    </row>
    <row r="3133" spans="1:5" ht="26" x14ac:dyDescent="0.3">
      <c r="A3133" s="17" t="str">
        <f>"51725"</f>
        <v>51725</v>
      </c>
      <c r="B3133" s="5" t="s">
        <v>3289</v>
      </c>
      <c r="C3133" s="17">
        <v>19900101</v>
      </c>
      <c r="D3133" s="17">
        <v>22991231</v>
      </c>
      <c r="E3133" s="25">
        <v>122.45</v>
      </c>
    </row>
    <row r="3134" spans="1:5" ht="26" x14ac:dyDescent="0.3">
      <c r="A3134" s="17" t="str">
        <f>"51726"</f>
        <v>51726</v>
      </c>
      <c r="B3134" s="5" t="s">
        <v>3290</v>
      </c>
      <c r="C3134" s="17">
        <v>19900101</v>
      </c>
      <c r="D3134" s="17">
        <v>22991231</v>
      </c>
      <c r="E3134" s="25">
        <v>122.45</v>
      </c>
    </row>
    <row r="3135" spans="1:5" ht="26" x14ac:dyDescent="0.3">
      <c r="A3135" s="17" t="str">
        <f>"51727"</f>
        <v>51727</v>
      </c>
      <c r="B3135" s="5" t="s">
        <v>3291</v>
      </c>
      <c r="C3135" s="17">
        <v>20230101</v>
      </c>
      <c r="D3135" s="17">
        <v>22991231</v>
      </c>
      <c r="E3135" s="25">
        <v>269.60000000000002</v>
      </c>
    </row>
    <row r="3136" spans="1:5" ht="26" x14ac:dyDescent="0.3">
      <c r="A3136" s="17" t="str">
        <f>"51728"</f>
        <v>51728</v>
      </c>
      <c r="B3136" s="5" t="s">
        <v>3292</v>
      </c>
      <c r="C3136" s="17">
        <v>20230101</v>
      </c>
      <c r="D3136" s="17">
        <v>22991231</v>
      </c>
      <c r="E3136" s="25">
        <v>268.66000000000003</v>
      </c>
    </row>
    <row r="3137" spans="1:5" ht="39" x14ac:dyDescent="0.3">
      <c r="A3137" s="17" t="str">
        <f>"51729"</f>
        <v>51729</v>
      </c>
      <c r="B3137" s="5" t="s">
        <v>3293</v>
      </c>
      <c r="C3137" s="17">
        <v>20230101</v>
      </c>
      <c r="D3137" s="17">
        <v>22991231</v>
      </c>
      <c r="E3137" s="25">
        <v>272.41000000000003</v>
      </c>
    </row>
    <row r="3138" spans="1:5" x14ac:dyDescent="0.3">
      <c r="A3138" s="17" t="str">
        <f>"51736"</f>
        <v>51736</v>
      </c>
      <c r="B3138" s="5" t="s">
        <v>3294</v>
      </c>
      <c r="C3138" s="17">
        <v>19900101</v>
      </c>
      <c r="D3138" s="17">
        <v>22991231</v>
      </c>
      <c r="E3138" s="25">
        <v>0</v>
      </c>
    </row>
    <row r="3139" spans="1:5" x14ac:dyDescent="0.3">
      <c r="A3139" s="17" t="str">
        <f>"51741"</f>
        <v>51741</v>
      </c>
      <c r="B3139" s="5" t="s">
        <v>3295</v>
      </c>
      <c r="C3139" s="17">
        <v>19900101</v>
      </c>
      <c r="D3139" s="17">
        <v>22991231</v>
      </c>
      <c r="E3139" s="25">
        <v>0</v>
      </c>
    </row>
    <row r="3140" spans="1:5" ht="39" x14ac:dyDescent="0.3">
      <c r="A3140" s="17" t="str">
        <f>"51784"</f>
        <v>51784</v>
      </c>
      <c r="B3140" s="5" t="s">
        <v>3296</v>
      </c>
      <c r="C3140" s="17">
        <v>20230101</v>
      </c>
      <c r="D3140" s="17">
        <v>22991231</v>
      </c>
      <c r="E3140" s="25">
        <v>34.4</v>
      </c>
    </row>
    <row r="3141" spans="1:5" ht="39" x14ac:dyDescent="0.3">
      <c r="A3141" s="17" t="str">
        <f>"51785"</f>
        <v>51785</v>
      </c>
      <c r="B3141" s="5" t="s">
        <v>3297</v>
      </c>
      <c r="C3141" s="17">
        <v>19900101</v>
      </c>
      <c r="D3141" s="17">
        <v>22991231</v>
      </c>
      <c r="E3141" s="25">
        <v>122.45</v>
      </c>
    </row>
    <row r="3142" spans="1:5" x14ac:dyDescent="0.3">
      <c r="A3142" s="17" t="str">
        <f>"51792"</f>
        <v>51792</v>
      </c>
      <c r="B3142" s="5" t="s">
        <v>3298</v>
      </c>
      <c r="C3142" s="17">
        <v>19900101</v>
      </c>
      <c r="D3142" s="17">
        <v>22991231</v>
      </c>
      <c r="E3142" s="25">
        <v>0</v>
      </c>
    </row>
    <row r="3143" spans="1:5" ht="26" x14ac:dyDescent="0.3">
      <c r="A3143" s="17" t="str">
        <f>"51797"</f>
        <v>51797</v>
      </c>
      <c r="B3143" s="5" t="s">
        <v>3299</v>
      </c>
      <c r="C3143" s="17">
        <v>19900101</v>
      </c>
      <c r="D3143" s="17">
        <v>22991231</v>
      </c>
      <c r="E3143" s="25">
        <v>0</v>
      </c>
    </row>
    <row r="3144" spans="1:5" ht="26" x14ac:dyDescent="0.3">
      <c r="A3144" s="17" t="str">
        <f>"51798"</f>
        <v>51798</v>
      </c>
      <c r="B3144" s="5" t="s">
        <v>3300</v>
      </c>
      <c r="C3144" s="17">
        <v>20230101</v>
      </c>
      <c r="D3144" s="17">
        <v>22991231</v>
      </c>
      <c r="E3144" s="25">
        <v>0</v>
      </c>
    </row>
    <row r="3145" spans="1:5" x14ac:dyDescent="0.3">
      <c r="A3145" s="17" t="str">
        <f>"51845"</f>
        <v>51845</v>
      </c>
      <c r="B3145" s="5" t="s">
        <v>3301</v>
      </c>
      <c r="C3145" s="17">
        <v>19900101</v>
      </c>
      <c r="D3145" s="17">
        <v>22991231</v>
      </c>
      <c r="E3145" s="24" t="s">
        <v>7128</v>
      </c>
    </row>
    <row r="3146" spans="1:5" ht="26" x14ac:dyDescent="0.3">
      <c r="A3146" s="17" t="str">
        <f>"51860"</f>
        <v>51860</v>
      </c>
      <c r="B3146" s="5" t="s">
        <v>3302</v>
      </c>
      <c r="C3146" s="17">
        <v>19900101</v>
      </c>
      <c r="D3146" s="17">
        <v>22991231</v>
      </c>
      <c r="E3146" s="24" t="s">
        <v>7128</v>
      </c>
    </row>
    <row r="3147" spans="1:5" ht="26" x14ac:dyDescent="0.3">
      <c r="A3147" s="17" t="str">
        <f>"51880"</f>
        <v>51880</v>
      </c>
      <c r="B3147" s="5" t="s">
        <v>3303</v>
      </c>
      <c r="C3147" s="17">
        <v>19900101</v>
      </c>
      <c r="D3147" s="17">
        <v>22991231</v>
      </c>
      <c r="E3147" s="25">
        <v>1553.18</v>
      </c>
    </row>
    <row r="3148" spans="1:5" ht="26" x14ac:dyDescent="0.3">
      <c r="A3148" s="17" t="str">
        <f>"51990"</f>
        <v>51990</v>
      </c>
      <c r="B3148" s="5" t="s">
        <v>3304</v>
      </c>
      <c r="C3148" s="17">
        <v>20000101</v>
      </c>
      <c r="D3148" s="17">
        <v>22991231</v>
      </c>
      <c r="E3148" s="24" t="s">
        <v>7128</v>
      </c>
    </row>
    <row r="3149" spans="1:5" ht="26" x14ac:dyDescent="0.3">
      <c r="A3149" s="17" t="str">
        <f>"51992"</f>
        <v>51992</v>
      </c>
      <c r="B3149" s="5" t="s">
        <v>3305</v>
      </c>
      <c r="C3149" s="17">
        <v>20000101</v>
      </c>
      <c r="D3149" s="17">
        <v>22991231</v>
      </c>
      <c r="E3149" s="25">
        <v>3500.51</v>
      </c>
    </row>
    <row r="3150" spans="1:5" ht="26" x14ac:dyDescent="0.3">
      <c r="A3150" s="17" t="str">
        <f>"52000"</f>
        <v>52000</v>
      </c>
      <c r="B3150" s="5" t="s">
        <v>3306</v>
      </c>
      <c r="C3150" s="17">
        <v>19900101</v>
      </c>
      <c r="D3150" s="17">
        <v>22991231</v>
      </c>
      <c r="E3150" s="25">
        <v>299.17</v>
      </c>
    </row>
    <row r="3151" spans="1:5" ht="26" x14ac:dyDescent="0.3">
      <c r="A3151" s="17" t="str">
        <f>"52001"</f>
        <v>52001</v>
      </c>
      <c r="B3151" s="5" t="s">
        <v>3307</v>
      </c>
      <c r="C3151" s="17">
        <v>20230101</v>
      </c>
      <c r="D3151" s="17">
        <v>22991231</v>
      </c>
      <c r="E3151" s="25">
        <v>1553.18</v>
      </c>
    </row>
    <row r="3152" spans="1:5" ht="26" x14ac:dyDescent="0.3">
      <c r="A3152" s="17" t="str">
        <f>"52005"</f>
        <v>52005</v>
      </c>
      <c r="B3152" s="5" t="s">
        <v>3308</v>
      </c>
      <c r="C3152" s="17">
        <v>19900101</v>
      </c>
      <c r="D3152" s="17">
        <v>22991231</v>
      </c>
      <c r="E3152" s="25">
        <v>888.17</v>
      </c>
    </row>
    <row r="3153" spans="1:5" ht="26" x14ac:dyDescent="0.3">
      <c r="A3153" s="17" t="str">
        <f>"52007"</f>
        <v>52007</v>
      </c>
      <c r="B3153" s="5" t="s">
        <v>3309</v>
      </c>
      <c r="C3153" s="17">
        <v>19900101</v>
      </c>
      <c r="D3153" s="17">
        <v>22991231</v>
      </c>
      <c r="E3153" s="25">
        <v>1553.18</v>
      </c>
    </row>
    <row r="3154" spans="1:5" ht="26" x14ac:dyDescent="0.3">
      <c r="A3154" s="17" t="str">
        <f>"52010"</f>
        <v>52010</v>
      </c>
      <c r="B3154" s="5" t="s">
        <v>3310</v>
      </c>
      <c r="C3154" s="17">
        <v>19900101</v>
      </c>
      <c r="D3154" s="17">
        <v>22991231</v>
      </c>
      <c r="E3154" s="25">
        <v>299.17</v>
      </c>
    </row>
    <row r="3155" spans="1:5" x14ac:dyDescent="0.3">
      <c r="A3155" s="17" t="str">
        <f>"52204"</f>
        <v>52204</v>
      </c>
      <c r="B3155" s="5" t="s">
        <v>3311</v>
      </c>
      <c r="C3155" s="17">
        <v>19900101</v>
      </c>
      <c r="D3155" s="17">
        <v>22991231</v>
      </c>
      <c r="E3155" s="25">
        <v>888.17</v>
      </c>
    </row>
    <row r="3156" spans="1:5" ht="26" x14ac:dyDescent="0.3">
      <c r="A3156" s="17" t="str">
        <f>"52214"</f>
        <v>52214</v>
      </c>
      <c r="B3156" s="5" t="s">
        <v>3312</v>
      </c>
      <c r="C3156" s="17">
        <v>19900101</v>
      </c>
      <c r="D3156" s="17">
        <v>22991231</v>
      </c>
      <c r="E3156" s="25">
        <v>1553.18</v>
      </c>
    </row>
    <row r="3157" spans="1:5" ht="26" x14ac:dyDescent="0.3">
      <c r="A3157" s="17" t="str">
        <f>"52224"</f>
        <v>52224</v>
      </c>
      <c r="B3157" s="5" t="s">
        <v>3313</v>
      </c>
      <c r="C3157" s="17">
        <v>19900101</v>
      </c>
      <c r="D3157" s="17">
        <v>22991231</v>
      </c>
      <c r="E3157" s="25">
        <v>1553.18</v>
      </c>
    </row>
    <row r="3158" spans="1:5" ht="26" x14ac:dyDescent="0.3">
      <c r="A3158" s="17" t="str">
        <f>"52234"</f>
        <v>52234</v>
      </c>
      <c r="B3158" s="5" t="s">
        <v>3314</v>
      </c>
      <c r="C3158" s="17">
        <v>19900101</v>
      </c>
      <c r="D3158" s="17">
        <v>22991231</v>
      </c>
      <c r="E3158" s="25">
        <v>1553.18</v>
      </c>
    </row>
    <row r="3159" spans="1:5" ht="26" x14ac:dyDescent="0.3">
      <c r="A3159" s="17" t="str">
        <f>"52235"</f>
        <v>52235</v>
      </c>
      <c r="B3159" s="5" t="s">
        <v>3315</v>
      </c>
      <c r="C3159" s="17">
        <v>19900101</v>
      </c>
      <c r="D3159" s="17">
        <v>22991231</v>
      </c>
      <c r="E3159" s="25">
        <v>1553.18</v>
      </c>
    </row>
    <row r="3160" spans="1:5" ht="26" x14ac:dyDescent="0.3">
      <c r="A3160" s="17" t="str">
        <f>"52240"</f>
        <v>52240</v>
      </c>
      <c r="B3160" s="5" t="s">
        <v>3316</v>
      </c>
      <c r="C3160" s="17">
        <v>19900101</v>
      </c>
      <c r="D3160" s="17">
        <v>22991231</v>
      </c>
      <c r="E3160" s="25">
        <v>2360.33</v>
      </c>
    </row>
    <row r="3161" spans="1:5" ht="26" x14ac:dyDescent="0.3">
      <c r="A3161" s="17" t="str">
        <f>"52250"</f>
        <v>52250</v>
      </c>
      <c r="B3161" s="5" t="s">
        <v>3317</v>
      </c>
      <c r="C3161" s="17">
        <v>19900101</v>
      </c>
      <c r="D3161" s="17">
        <v>22991231</v>
      </c>
      <c r="E3161" s="25">
        <v>1553.18</v>
      </c>
    </row>
    <row r="3162" spans="1:5" ht="26" x14ac:dyDescent="0.3">
      <c r="A3162" s="17" t="str">
        <f>"52260"</f>
        <v>52260</v>
      </c>
      <c r="B3162" s="5" t="s">
        <v>3318</v>
      </c>
      <c r="C3162" s="17">
        <v>19900101</v>
      </c>
      <c r="D3162" s="17">
        <v>22991231</v>
      </c>
      <c r="E3162" s="25">
        <v>888.17</v>
      </c>
    </row>
    <row r="3163" spans="1:5" x14ac:dyDescent="0.3">
      <c r="A3163" s="17" t="str">
        <f>"52265"</f>
        <v>52265</v>
      </c>
      <c r="B3163" s="5" t="s">
        <v>3319</v>
      </c>
      <c r="C3163" s="17">
        <v>19900101</v>
      </c>
      <c r="D3163" s="17">
        <v>22991231</v>
      </c>
      <c r="E3163" s="25">
        <v>244.89</v>
      </c>
    </row>
    <row r="3164" spans="1:5" x14ac:dyDescent="0.3">
      <c r="A3164" s="17" t="str">
        <f>"52270"</f>
        <v>52270</v>
      </c>
      <c r="B3164" s="5" t="s">
        <v>3320</v>
      </c>
      <c r="C3164" s="17">
        <v>19900101</v>
      </c>
      <c r="D3164" s="17">
        <v>22991231</v>
      </c>
      <c r="E3164" s="25">
        <v>888.17</v>
      </c>
    </row>
    <row r="3165" spans="1:5" x14ac:dyDescent="0.3">
      <c r="A3165" s="17" t="str">
        <f>"52275"</f>
        <v>52275</v>
      </c>
      <c r="B3165" s="5" t="s">
        <v>3321</v>
      </c>
      <c r="C3165" s="17">
        <v>19900101</v>
      </c>
      <c r="D3165" s="17">
        <v>22991231</v>
      </c>
      <c r="E3165" s="25">
        <v>888.17</v>
      </c>
    </row>
    <row r="3166" spans="1:5" x14ac:dyDescent="0.3">
      <c r="A3166" s="17" t="str">
        <f>"52276"</f>
        <v>52276</v>
      </c>
      <c r="B3166" s="5" t="s">
        <v>3322</v>
      </c>
      <c r="C3166" s="17">
        <v>19900101</v>
      </c>
      <c r="D3166" s="17">
        <v>22991231</v>
      </c>
      <c r="E3166" s="25">
        <v>888.17</v>
      </c>
    </row>
    <row r="3167" spans="1:5" ht="26" x14ac:dyDescent="0.3">
      <c r="A3167" s="17" t="str">
        <f>"52277"</f>
        <v>52277</v>
      </c>
      <c r="B3167" s="5" t="s">
        <v>3323</v>
      </c>
      <c r="C3167" s="17">
        <v>19900101</v>
      </c>
      <c r="D3167" s="17">
        <v>22991231</v>
      </c>
      <c r="E3167" s="25">
        <v>1553.18</v>
      </c>
    </row>
    <row r="3168" spans="1:5" x14ac:dyDescent="0.3">
      <c r="A3168" s="17" t="str">
        <f>"52281"</f>
        <v>52281</v>
      </c>
      <c r="B3168" s="5" t="s">
        <v>3324</v>
      </c>
      <c r="C3168" s="17">
        <v>19900101</v>
      </c>
      <c r="D3168" s="17">
        <v>22991231</v>
      </c>
      <c r="E3168" s="25">
        <v>888.17</v>
      </c>
    </row>
    <row r="3169" spans="1:5" ht="26" x14ac:dyDescent="0.3">
      <c r="A3169" s="17" t="str">
        <f>"52282"</f>
        <v>52282</v>
      </c>
      <c r="B3169" s="5" t="s">
        <v>3325</v>
      </c>
      <c r="C3169" s="17">
        <v>19980101</v>
      </c>
      <c r="D3169" s="17">
        <v>22991231</v>
      </c>
      <c r="E3169" s="25">
        <v>1553.18</v>
      </c>
    </row>
    <row r="3170" spans="1:5" ht="26" x14ac:dyDescent="0.3">
      <c r="A3170" s="17" t="str">
        <f>"52283"</f>
        <v>52283</v>
      </c>
      <c r="B3170" s="5" t="s">
        <v>3326</v>
      </c>
      <c r="C3170" s="17">
        <v>20230101</v>
      </c>
      <c r="D3170" s="17">
        <v>22991231</v>
      </c>
      <c r="E3170" s="25">
        <v>888.17</v>
      </c>
    </row>
    <row r="3171" spans="1:5" ht="39" x14ac:dyDescent="0.3">
      <c r="A3171" s="17" t="str">
        <f>"52284"</f>
        <v>52284</v>
      </c>
      <c r="B3171" s="5" t="s">
        <v>3327</v>
      </c>
      <c r="C3171" s="17">
        <v>20240101</v>
      </c>
      <c r="D3171" s="17">
        <v>22991231</v>
      </c>
      <c r="E3171" s="25">
        <v>2360.33</v>
      </c>
    </row>
    <row r="3172" spans="1:5" ht="26" x14ac:dyDescent="0.3">
      <c r="A3172" s="17" t="str">
        <f>"52285"</f>
        <v>52285</v>
      </c>
      <c r="B3172" s="5" t="s">
        <v>3328</v>
      </c>
      <c r="C3172" s="17">
        <v>19900101</v>
      </c>
      <c r="D3172" s="17">
        <v>22991231</v>
      </c>
      <c r="E3172" s="25">
        <v>299.17</v>
      </c>
    </row>
    <row r="3173" spans="1:5" ht="26" x14ac:dyDescent="0.3">
      <c r="A3173" s="17" t="str">
        <f>"52287"</f>
        <v>52287</v>
      </c>
      <c r="B3173" s="5" t="s">
        <v>3329</v>
      </c>
      <c r="C3173" s="17">
        <v>20130101</v>
      </c>
      <c r="D3173" s="17">
        <v>22991231</v>
      </c>
      <c r="E3173" s="25">
        <v>888.17</v>
      </c>
    </row>
    <row r="3174" spans="1:5" x14ac:dyDescent="0.3">
      <c r="A3174" s="17" t="str">
        <f>"52290"</f>
        <v>52290</v>
      </c>
      <c r="B3174" s="5" t="s">
        <v>3330</v>
      </c>
      <c r="C3174" s="17">
        <v>19900101</v>
      </c>
      <c r="D3174" s="17">
        <v>22991231</v>
      </c>
      <c r="E3174" s="25">
        <v>888.17</v>
      </c>
    </row>
    <row r="3175" spans="1:5" ht="26" x14ac:dyDescent="0.3">
      <c r="A3175" s="17" t="str">
        <f>"52300"</f>
        <v>52300</v>
      </c>
      <c r="B3175" s="5" t="s">
        <v>3331</v>
      </c>
      <c r="C3175" s="17">
        <v>19900101</v>
      </c>
      <c r="D3175" s="17">
        <v>22991231</v>
      </c>
      <c r="E3175" s="25">
        <v>1553.18</v>
      </c>
    </row>
    <row r="3176" spans="1:5" ht="39" x14ac:dyDescent="0.3">
      <c r="A3176" s="17" t="str">
        <f>"52301"</f>
        <v>52301</v>
      </c>
      <c r="B3176" s="5" t="s">
        <v>3332</v>
      </c>
      <c r="C3176" s="17">
        <v>19970101</v>
      </c>
      <c r="D3176" s="17">
        <v>22991231</v>
      </c>
      <c r="E3176" s="25">
        <v>1553.18</v>
      </c>
    </row>
    <row r="3177" spans="1:5" x14ac:dyDescent="0.3">
      <c r="A3177" s="17" t="str">
        <f>"52305"</f>
        <v>52305</v>
      </c>
      <c r="B3177" s="5" t="s">
        <v>3333</v>
      </c>
      <c r="C3177" s="17">
        <v>19900101</v>
      </c>
      <c r="D3177" s="17">
        <v>22991231</v>
      </c>
      <c r="E3177" s="25">
        <v>2360.33</v>
      </c>
    </row>
    <row r="3178" spans="1:5" ht="26" x14ac:dyDescent="0.3">
      <c r="A3178" s="17" t="str">
        <f>"52310"</f>
        <v>52310</v>
      </c>
      <c r="B3178" s="5" t="s">
        <v>3334</v>
      </c>
      <c r="C3178" s="17">
        <v>19900101</v>
      </c>
      <c r="D3178" s="17">
        <v>22991231</v>
      </c>
      <c r="E3178" s="25">
        <v>888.17</v>
      </c>
    </row>
    <row r="3179" spans="1:5" ht="26" x14ac:dyDescent="0.3">
      <c r="A3179" s="17" t="str">
        <f>"52315"</f>
        <v>52315</v>
      </c>
      <c r="B3179" s="5" t="s">
        <v>3335</v>
      </c>
      <c r="C3179" s="17">
        <v>19900101</v>
      </c>
      <c r="D3179" s="17">
        <v>22991231</v>
      </c>
      <c r="E3179" s="25">
        <v>888.17</v>
      </c>
    </row>
    <row r="3180" spans="1:5" ht="26" x14ac:dyDescent="0.3">
      <c r="A3180" s="17" t="str">
        <f>"52317"</f>
        <v>52317</v>
      </c>
      <c r="B3180" s="5" t="s">
        <v>3336</v>
      </c>
      <c r="C3180" s="17">
        <v>19900101</v>
      </c>
      <c r="D3180" s="17">
        <v>22991231</v>
      </c>
      <c r="E3180" s="25">
        <v>1553.18</v>
      </c>
    </row>
    <row r="3181" spans="1:5" ht="26" x14ac:dyDescent="0.3">
      <c r="A3181" s="17" t="str">
        <f>"52318"</f>
        <v>52318</v>
      </c>
      <c r="B3181" s="5" t="s">
        <v>3337</v>
      </c>
      <c r="C3181" s="17">
        <v>19900101</v>
      </c>
      <c r="D3181" s="17">
        <v>22991231</v>
      </c>
      <c r="E3181" s="25">
        <v>1553.18</v>
      </c>
    </row>
    <row r="3182" spans="1:5" x14ac:dyDescent="0.3">
      <c r="A3182" s="17" t="str">
        <f>"52320"</f>
        <v>52320</v>
      </c>
      <c r="B3182" s="5" t="s">
        <v>3338</v>
      </c>
      <c r="C3182" s="17">
        <v>19900101</v>
      </c>
      <c r="D3182" s="17">
        <v>22991231</v>
      </c>
      <c r="E3182" s="25">
        <v>1553.18</v>
      </c>
    </row>
    <row r="3183" spans="1:5" ht="26" x14ac:dyDescent="0.3">
      <c r="A3183" s="17" t="str">
        <f>"52325"</f>
        <v>52325</v>
      </c>
      <c r="B3183" s="5" t="s">
        <v>3339</v>
      </c>
      <c r="C3183" s="17">
        <v>19900101</v>
      </c>
      <c r="D3183" s="17">
        <v>22991231</v>
      </c>
      <c r="E3183" s="25">
        <v>2360.33</v>
      </c>
    </row>
    <row r="3184" spans="1:5" ht="26" x14ac:dyDescent="0.3">
      <c r="A3184" s="17" t="str">
        <f>"52327"</f>
        <v>52327</v>
      </c>
      <c r="B3184" s="5" t="s">
        <v>3340</v>
      </c>
      <c r="C3184" s="17">
        <v>19950101</v>
      </c>
      <c r="D3184" s="17">
        <v>22991231</v>
      </c>
      <c r="E3184" s="25">
        <v>3309.93</v>
      </c>
    </row>
    <row r="3185" spans="1:5" ht="26" x14ac:dyDescent="0.3">
      <c r="A3185" s="17" t="str">
        <f>"52330"</f>
        <v>52330</v>
      </c>
      <c r="B3185" s="5" t="s">
        <v>3341</v>
      </c>
      <c r="C3185" s="17">
        <v>19900101</v>
      </c>
      <c r="D3185" s="17">
        <v>22991231</v>
      </c>
      <c r="E3185" s="25">
        <v>1553.18</v>
      </c>
    </row>
    <row r="3186" spans="1:5" x14ac:dyDescent="0.3">
      <c r="A3186" s="17" t="str">
        <f>"52332"</f>
        <v>52332</v>
      </c>
      <c r="B3186" s="5" t="s">
        <v>3342</v>
      </c>
      <c r="C3186" s="17">
        <v>19900101</v>
      </c>
      <c r="D3186" s="17">
        <v>22991231</v>
      </c>
      <c r="E3186" s="25">
        <v>1553.18</v>
      </c>
    </row>
    <row r="3187" spans="1:5" ht="26" x14ac:dyDescent="0.3">
      <c r="A3187" s="17" t="str">
        <f>"52334"</f>
        <v>52334</v>
      </c>
      <c r="B3187" s="5" t="s">
        <v>3343</v>
      </c>
      <c r="C3187" s="17">
        <v>19900101</v>
      </c>
      <c r="D3187" s="17">
        <v>22991231</v>
      </c>
      <c r="E3187" s="25">
        <v>1553.18</v>
      </c>
    </row>
    <row r="3188" spans="1:5" ht="26" x14ac:dyDescent="0.3">
      <c r="A3188" s="17" t="str">
        <f>"52341"</f>
        <v>52341</v>
      </c>
      <c r="B3188" s="5" t="s">
        <v>3344</v>
      </c>
      <c r="C3188" s="17">
        <v>20010101</v>
      </c>
      <c r="D3188" s="17">
        <v>22991231</v>
      </c>
      <c r="E3188" s="25">
        <v>1553.18</v>
      </c>
    </row>
    <row r="3189" spans="1:5" ht="26" x14ac:dyDescent="0.3">
      <c r="A3189" s="17" t="str">
        <f>"52342"</f>
        <v>52342</v>
      </c>
      <c r="B3189" s="5" t="s">
        <v>3345</v>
      </c>
      <c r="C3189" s="17">
        <v>20010101</v>
      </c>
      <c r="D3189" s="17">
        <v>22991231</v>
      </c>
      <c r="E3189" s="25">
        <v>1553.18</v>
      </c>
    </row>
    <row r="3190" spans="1:5" x14ac:dyDescent="0.3">
      <c r="A3190" s="17" t="str">
        <f>"52343"</f>
        <v>52343</v>
      </c>
      <c r="B3190" s="5" t="s">
        <v>3346</v>
      </c>
      <c r="C3190" s="17">
        <v>20010101</v>
      </c>
      <c r="D3190" s="17">
        <v>22991231</v>
      </c>
      <c r="E3190" s="25">
        <v>1553.18</v>
      </c>
    </row>
    <row r="3191" spans="1:5" x14ac:dyDescent="0.3">
      <c r="A3191" s="17" t="str">
        <f>"52344"</f>
        <v>52344</v>
      </c>
      <c r="B3191" s="5" t="s">
        <v>3347</v>
      </c>
      <c r="C3191" s="17">
        <v>20010101</v>
      </c>
      <c r="D3191" s="17">
        <v>22991231</v>
      </c>
      <c r="E3191" s="25">
        <v>1553.18</v>
      </c>
    </row>
    <row r="3192" spans="1:5" ht="26" x14ac:dyDescent="0.3">
      <c r="A3192" s="17" t="str">
        <f>"52345"</f>
        <v>52345</v>
      </c>
      <c r="B3192" s="5" t="s">
        <v>3348</v>
      </c>
      <c r="C3192" s="17">
        <v>20010101</v>
      </c>
      <c r="D3192" s="17">
        <v>22991231</v>
      </c>
      <c r="E3192" s="25">
        <v>1553.18</v>
      </c>
    </row>
    <row r="3193" spans="1:5" ht="26" x14ac:dyDescent="0.3">
      <c r="A3193" s="17" t="str">
        <f>"52346"</f>
        <v>52346</v>
      </c>
      <c r="B3193" s="5" t="s">
        <v>3349</v>
      </c>
      <c r="C3193" s="17">
        <v>20010101</v>
      </c>
      <c r="D3193" s="17">
        <v>22991231</v>
      </c>
      <c r="E3193" s="25">
        <v>2360.33</v>
      </c>
    </row>
    <row r="3194" spans="1:5" ht="26" x14ac:dyDescent="0.3">
      <c r="A3194" s="17" t="str">
        <f>"52351"</f>
        <v>52351</v>
      </c>
      <c r="B3194" s="5" t="s">
        <v>3350</v>
      </c>
      <c r="C3194" s="17">
        <v>20010101</v>
      </c>
      <c r="D3194" s="17">
        <v>22991231</v>
      </c>
      <c r="E3194" s="25">
        <v>1553.18</v>
      </c>
    </row>
    <row r="3195" spans="1:5" ht="26" x14ac:dyDescent="0.3">
      <c r="A3195" s="17" t="str">
        <f>"52352"</f>
        <v>52352</v>
      </c>
      <c r="B3195" s="5" t="s">
        <v>3351</v>
      </c>
      <c r="C3195" s="17">
        <v>20010101</v>
      </c>
      <c r="D3195" s="17">
        <v>22991231</v>
      </c>
      <c r="E3195" s="25">
        <v>1553.18</v>
      </c>
    </row>
    <row r="3196" spans="1:5" x14ac:dyDescent="0.3">
      <c r="A3196" s="17" t="str">
        <f>"52353"</f>
        <v>52353</v>
      </c>
      <c r="B3196" s="5" t="s">
        <v>3352</v>
      </c>
      <c r="C3196" s="17">
        <v>20010101</v>
      </c>
      <c r="D3196" s="17">
        <v>22991231</v>
      </c>
      <c r="E3196" s="25">
        <v>2360.33</v>
      </c>
    </row>
    <row r="3197" spans="1:5" ht="26" x14ac:dyDescent="0.3">
      <c r="A3197" s="17" t="str">
        <f>"52354"</f>
        <v>52354</v>
      </c>
      <c r="B3197" s="5" t="s">
        <v>3353</v>
      </c>
      <c r="C3197" s="17">
        <v>20010101</v>
      </c>
      <c r="D3197" s="17">
        <v>22991231</v>
      </c>
      <c r="E3197" s="25">
        <v>2360.33</v>
      </c>
    </row>
    <row r="3198" spans="1:5" ht="26" x14ac:dyDescent="0.3">
      <c r="A3198" s="17" t="str">
        <f>"52355"</f>
        <v>52355</v>
      </c>
      <c r="B3198" s="5" t="s">
        <v>3354</v>
      </c>
      <c r="C3198" s="17">
        <v>20010101</v>
      </c>
      <c r="D3198" s="17">
        <v>22991231</v>
      </c>
      <c r="E3198" s="25">
        <v>2360.33</v>
      </c>
    </row>
    <row r="3199" spans="1:5" ht="26" x14ac:dyDescent="0.3">
      <c r="A3199" s="17" t="str">
        <f>"52356"</f>
        <v>52356</v>
      </c>
      <c r="B3199" s="5" t="s">
        <v>3355</v>
      </c>
      <c r="C3199" s="17">
        <v>20230101</v>
      </c>
      <c r="D3199" s="17">
        <v>22991231</v>
      </c>
      <c r="E3199" s="25">
        <v>2360.33</v>
      </c>
    </row>
    <row r="3200" spans="1:5" ht="39" x14ac:dyDescent="0.3">
      <c r="A3200" s="17" t="str">
        <f>"52400"</f>
        <v>52400</v>
      </c>
      <c r="B3200" s="5" t="s">
        <v>3356</v>
      </c>
      <c r="C3200" s="17">
        <v>20010101</v>
      </c>
      <c r="D3200" s="17">
        <v>22991231</v>
      </c>
      <c r="E3200" s="25">
        <v>1553.18</v>
      </c>
    </row>
    <row r="3201" spans="1:5" ht="26" x14ac:dyDescent="0.3">
      <c r="A3201" s="17" t="str">
        <f>"52402"</f>
        <v>52402</v>
      </c>
      <c r="B3201" s="5" t="s">
        <v>3357</v>
      </c>
      <c r="C3201" s="17">
        <v>20051001</v>
      </c>
      <c r="D3201" s="17">
        <v>22991231</v>
      </c>
      <c r="E3201" s="25">
        <v>1553.18</v>
      </c>
    </row>
    <row r="3202" spans="1:5" x14ac:dyDescent="0.3">
      <c r="A3202" s="17" t="str">
        <f>"52450"</f>
        <v>52450</v>
      </c>
      <c r="B3202" s="5" t="s">
        <v>3358</v>
      </c>
      <c r="C3202" s="17">
        <v>19920115</v>
      </c>
      <c r="D3202" s="17">
        <v>22991231</v>
      </c>
      <c r="E3202" s="25">
        <v>1553.18</v>
      </c>
    </row>
    <row r="3203" spans="1:5" x14ac:dyDescent="0.3">
      <c r="A3203" s="17" t="str">
        <f>"52500"</f>
        <v>52500</v>
      </c>
      <c r="B3203" s="5" t="s">
        <v>3359</v>
      </c>
      <c r="C3203" s="17">
        <v>19900101</v>
      </c>
      <c r="D3203" s="17">
        <v>22991231</v>
      </c>
      <c r="E3203" s="25">
        <v>1553.18</v>
      </c>
    </row>
    <row r="3204" spans="1:5" ht="39" x14ac:dyDescent="0.3">
      <c r="A3204" s="17" t="str">
        <f>"52601"</f>
        <v>52601</v>
      </c>
      <c r="B3204" s="5" t="s">
        <v>3360</v>
      </c>
      <c r="C3204" s="17">
        <v>19900101</v>
      </c>
      <c r="D3204" s="17">
        <v>22991231</v>
      </c>
      <c r="E3204" s="25">
        <v>2360.33</v>
      </c>
    </row>
    <row r="3205" spans="1:5" ht="39" x14ac:dyDescent="0.3">
      <c r="A3205" s="17" t="str">
        <f>"52630"</f>
        <v>52630</v>
      </c>
      <c r="B3205" s="5" t="s">
        <v>3361</v>
      </c>
      <c r="C3205" s="17">
        <v>19900101</v>
      </c>
      <c r="D3205" s="17">
        <v>22991231</v>
      </c>
      <c r="E3205" s="25">
        <v>2360.33</v>
      </c>
    </row>
    <row r="3206" spans="1:5" ht="26" x14ac:dyDescent="0.3">
      <c r="A3206" s="17" t="str">
        <f>"52640"</f>
        <v>52640</v>
      </c>
      <c r="B3206" s="5" t="s">
        <v>3362</v>
      </c>
      <c r="C3206" s="17">
        <v>19900101</v>
      </c>
      <c r="D3206" s="17">
        <v>22991231</v>
      </c>
      <c r="E3206" s="25">
        <v>1553.18</v>
      </c>
    </row>
    <row r="3207" spans="1:5" ht="26" x14ac:dyDescent="0.3">
      <c r="A3207" s="17" t="str">
        <f>"52647"</f>
        <v>52647</v>
      </c>
      <c r="B3207" s="5" t="s">
        <v>3363</v>
      </c>
      <c r="C3207" s="17">
        <v>20230101</v>
      </c>
      <c r="D3207" s="17">
        <v>22991231</v>
      </c>
      <c r="E3207" s="25">
        <v>2360.33</v>
      </c>
    </row>
    <row r="3208" spans="1:5" ht="26" x14ac:dyDescent="0.3">
      <c r="A3208" s="17" t="str">
        <f>"52648"</f>
        <v>52648</v>
      </c>
      <c r="B3208" s="5" t="s">
        <v>3364</v>
      </c>
      <c r="C3208" s="17">
        <v>20230101</v>
      </c>
      <c r="D3208" s="17">
        <v>22991231</v>
      </c>
      <c r="E3208" s="25">
        <v>2360.33</v>
      </c>
    </row>
    <row r="3209" spans="1:5" ht="26" x14ac:dyDescent="0.3">
      <c r="A3209" s="17" t="str">
        <f>"52649"</f>
        <v>52649</v>
      </c>
      <c r="B3209" s="5" t="s">
        <v>3365</v>
      </c>
      <c r="C3209" s="17">
        <v>20080101</v>
      </c>
      <c r="D3209" s="17">
        <v>22991231</v>
      </c>
      <c r="E3209" s="25">
        <v>2360.33</v>
      </c>
    </row>
    <row r="3210" spans="1:5" x14ac:dyDescent="0.3">
      <c r="A3210" s="17" t="str">
        <f>"52700"</f>
        <v>52700</v>
      </c>
      <c r="B3210" s="5" t="s">
        <v>3366</v>
      </c>
      <c r="C3210" s="17">
        <v>19900101</v>
      </c>
      <c r="D3210" s="17">
        <v>22991231</v>
      </c>
      <c r="E3210" s="25">
        <v>1553.18</v>
      </c>
    </row>
    <row r="3211" spans="1:5" x14ac:dyDescent="0.3">
      <c r="A3211" s="17" t="str">
        <f>"53000"</f>
        <v>53000</v>
      </c>
      <c r="B3211" s="5" t="s">
        <v>3367</v>
      </c>
      <c r="C3211" s="17">
        <v>19900101</v>
      </c>
      <c r="D3211" s="17">
        <v>22991231</v>
      </c>
      <c r="E3211" s="25">
        <v>888.17</v>
      </c>
    </row>
    <row r="3212" spans="1:5" x14ac:dyDescent="0.3">
      <c r="A3212" s="17" t="str">
        <f>"53010"</f>
        <v>53010</v>
      </c>
      <c r="B3212" s="5" t="s">
        <v>3368</v>
      </c>
      <c r="C3212" s="17">
        <v>19900101</v>
      </c>
      <c r="D3212" s="17">
        <v>22991231</v>
      </c>
      <c r="E3212" s="25">
        <v>2360.33</v>
      </c>
    </row>
    <row r="3213" spans="1:5" x14ac:dyDescent="0.3">
      <c r="A3213" s="17" t="str">
        <f>"53020"</f>
        <v>53020</v>
      </c>
      <c r="B3213" s="5" t="s">
        <v>3369</v>
      </c>
      <c r="C3213" s="17">
        <v>19900101</v>
      </c>
      <c r="D3213" s="17">
        <v>22991231</v>
      </c>
      <c r="E3213" s="25">
        <v>888.17</v>
      </c>
    </row>
    <row r="3214" spans="1:5" x14ac:dyDescent="0.3">
      <c r="A3214" s="17" t="str">
        <f>"53025"</f>
        <v>53025</v>
      </c>
      <c r="B3214" s="5" t="s">
        <v>3370</v>
      </c>
      <c r="C3214" s="17">
        <v>19900101</v>
      </c>
      <c r="D3214" s="17">
        <v>22991231</v>
      </c>
      <c r="E3214" s="25">
        <v>888.17</v>
      </c>
    </row>
    <row r="3215" spans="1:5" x14ac:dyDescent="0.3">
      <c r="A3215" s="17" t="str">
        <f>"53040"</f>
        <v>53040</v>
      </c>
      <c r="B3215" s="5" t="s">
        <v>3371</v>
      </c>
      <c r="C3215" s="17">
        <v>19900101</v>
      </c>
      <c r="D3215" s="17">
        <v>22991231</v>
      </c>
      <c r="E3215" s="25">
        <v>1553.18</v>
      </c>
    </row>
    <row r="3216" spans="1:5" x14ac:dyDescent="0.3">
      <c r="A3216" s="17" t="str">
        <f>"53060"</f>
        <v>53060</v>
      </c>
      <c r="B3216" s="5" t="s">
        <v>3372</v>
      </c>
      <c r="C3216" s="17">
        <v>19900101</v>
      </c>
      <c r="D3216" s="17">
        <v>22991231</v>
      </c>
      <c r="E3216" s="25">
        <v>81.010000000000005</v>
      </c>
    </row>
    <row r="3217" spans="1:5" ht="26" x14ac:dyDescent="0.3">
      <c r="A3217" s="17" t="str">
        <f>"53080"</f>
        <v>53080</v>
      </c>
      <c r="B3217" s="5" t="s">
        <v>3373</v>
      </c>
      <c r="C3217" s="17">
        <v>19900101</v>
      </c>
      <c r="D3217" s="17">
        <v>22991231</v>
      </c>
      <c r="E3217" s="25">
        <v>299.17</v>
      </c>
    </row>
    <row r="3218" spans="1:5" ht="26" x14ac:dyDescent="0.3">
      <c r="A3218" s="17" t="str">
        <f>"53085"</f>
        <v>53085</v>
      </c>
      <c r="B3218" s="5" t="s">
        <v>3374</v>
      </c>
      <c r="C3218" s="17">
        <v>19900101</v>
      </c>
      <c r="D3218" s="17">
        <v>22991231</v>
      </c>
      <c r="E3218" s="25">
        <v>888.17</v>
      </c>
    </row>
    <row r="3219" spans="1:5" x14ac:dyDescent="0.3">
      <c r="A3219" s="17" t="str">
        <f>"53200"</f>
        <v>53200</v>
      </c>
      <c r="B3219" s="5" t="s">
        <v>3375</v>
      </c>
      <c r="C3219" s="17">
        <v>19900101</v>
      </c>
      <c r="D3219" s="17">
        <v>22991231</v>
      </c>
      <c r="E3219" s="25">
        <v>888.17</v>
      </c>
    </row>
    <row r="3220" spans="1:5" x14ac:dyDescent="0.3">
      <c r="A3220" s="17" t="str">
        <f>"53210"</f>
        <v>53210</v>
      </c>
      <c r="B3220" s="5" t="s">
        <v>3376</v>
      </c>
      <c r="C3220" s="17">
        <v>19900101</v>
      </c>
      <c r="D3220" s="17">
        <v>22991231</v>
      </c>
      <c r="E3220" s="25">
        <v>1553.18</v>
      </c>
    </row>
    <row r="3221" spans="1:5" x14ac:dyDescent="0.3">
      <c r="A3221" s="17" t="str">
        <f>"53215"</f>
        <v>53215</v>
      </c>
      <c r="B3221" s="5" t="s">
        <v>3377</v>
      </c>
      <c r="C3221" s="17">
        <v>19900101</v>
      </c>
      <c r="D3221" s="17">
        <v>22991231</v>
      </c>
      <c r="E3221" s="25">
        <v>2360.33</v>
      </c>
    </row>
    <row r="3222" spans="1:5" x14ac:dyDescent="0.3">
      <c r="A3222" s="17" t="str">
        <f>"53220"</f>
        <v>53220</v>
      </c>
      <c r="B3222" s="5" t="s">
        <v>3378</v>
      </c>
      <c r="C3222" s="17">
        <v>19900101</v>
      </c>
      <c r="D3222" s="17">
        <v>22991231</v>
      </c>
      <c r="E3222" s="25">
        <v>1553.18</v>
      </c>
    </row>
    <row r="3223" spans="1:5" x14ac:dyDescent="0.3">
      <c r="A3223" s="17" t="str">
        <f>"53230"</f>
        <v>53230</v>
      </c>
      <c r="B3223" s="5" t="s">
        <v>3379</v>
      </c>
      <c r="C3223" s="17">
        <v>19900101</v>
      </c>
      <c r="D3223" s="17">
        <v>22991231</v>
      </c>
      <c r="E3223" s="25">
        <v>2360.33</v>
      </c>
    </row>
    <row r="3224" spans="1:5" x14ac:dyDescent="0.3">
      <c r="A3224" s="17" t="str">
        <f>"53235"</f>
        <v>53235</v>
      </c>
      <c r="B3224" s="5" t="s">
        <v>3380</v>
      </c>
      <c r="C3224" s="17">
        <v>19900101</v>
      </c>
      <c r="D3224" s="17">
        <v>22991231</v>
      </c>
      <c r="E3224" s="25">
        <v>2360.33</v>
      </c>
    </row>
    <row r="3225" spans="1:5" x14ac:dyDescent="0.3">
      <c r="A3225" s="17" t="str">
        <f>"53240"</f>
        <v>53240</v>
      </c>
      <c r="B3225" s="5" t="s">
        <v>3381</v>
      </c>
      <c r="C3225" s="17">
        <v>19900101</v>
      </c>
      <c r="D3225" s="17">
        <v>22991231</v>
      </c>
      <c r="E3225" s="25">
        <v>1553.18</v>
      </c>
    </row>
    <row r="3226" spans="1:5" x14ac:dyDescent="0.3">
      <c r="A3226" s="17" t="str">
        <f>"53250"</f>
        <v>53250</v>
      </c>
      <c r="B3226" s="5" t="s">
        <v>3382</v>
      </c>
      <c r="C3226" s="17">
        <v>19900101</v>
      </c>
      <c r="D3226" s="17">
        <v>22991231</v>
      </c>
      <c r="E3226" s="25">
        <v>1553.18</v>
      </c>
    </row>
    <row r="3227" spans="1:5" x14ac:dyDescent="0.3">
      <c r="A3227" s="17" t="str">
        <f>"53260"</f>
        <v>53260</v>
      </c>
      <c r="B3227" s="5" t="s">
        <v>3383</v>
      </c>
      <c r="C3227" s="17">
        <v>19900101</v>
      </c>
      <c r="D3227" s="17">
        <v>22991231</v>
      </c>
      <c r="E3227" s="25">
        <v>1553.18</v>
      </c>
    </row>
    <row r="3228" spans="1:5" x14ac:dyDescent="0.3">
      <c r="A3228" s="17" t="str">
        <f>"53265"</f>
        <v>53265</v>
      </c>
      <c r="B3228" s="5" t="s">
        <v>3384</v>
      </c>
      <c r="C3228" s="17">
        <v>19900101</v>
      </c>
      <c r="D3228" s="17">
        <v>22991231</v>
      </c>
      <c r="E3228" s="25">
        <v>888.17</v>
      </c>
    </row>
    <row r="3229" spans="1:5" ht="26" x14ac:dyDescent="0.3">
      <c r="A3229" s="17" t="str">
        <f>"53270"</f>
        <v>53270</v>
      </c>
      <c r="B3229" s="5" t="s">
        <v>3385</v>
      </c>
      <c r="C3229" s="17">
        <v>19900101</v>
      </c>
      <c r="D3229" s="17">
        <v>22991231</v>
      </c>
      <c r="E3229" s="25">
        <v>1553.18</v>
      </c>
    </row>
    <row r="3230" spans="1:5" x14ac:dyDescent="0.3">
      <c r="A3230" s="17" t="str">
        <f>"53275"</f>
        <v>53275</v>
      </c>
      <c r="B3230" s="5" t="s">
        <v>3386</v>
      </c>
      <c r="C3230" s="17">
        <v>19900101</v>
      </c>
      <c r="D3230" s="17">
        <v>22991231</v>
      </c>
      <c r="E3230" s="25">
        <v>1553.18</v>
      </c>
    </row>
    <row r="3231" spans="1:5" ht="26" x14ac:dyDescent="0.3">
      <c r="A3231" s="17" t="str">
        <f>"53400"</f>
        <v>53400</v>
      </c>
      <c r="B3231" s="5" t="s">
        <v>3387</v>
      </c>
      <c r="C3231" s="17">
        <v>19900101</v>
      </c>
      <c r="D3231" s="17">
        <v>22991231</v>
      </c>
      <c r="E3231" s="25">
        <v>2360.33</v>
      </c>
    </row>
    <row r="3232" spans="1:5" ht="26" x14ac:dyDescent="0.3">
      <c r="A3232" s="17" t="str">
        <f>"53405"</f>
        <v>53405</v>
      </c>
      <c r="B3232" s="5" t="s">
        <v>3388</v>
      </c>
      <c r="C3232" s="17">
        <v>19900101</v>
      </c>
      <c r="D3232" s="17">
        <v>22991231</v>
      </c>
      <c r="E3232" s="25">
        <v>2360.33</v>
      </c>
    </row>
    <row r="3233" spans="1:5" x14ac:dyDescent="0.3">
      <c r="A3233" s="17" t="str">
        <f>"53410"</f>
        <v>53410</v>
      </c>
      <c r="B3233" s="5" t="s">
        <v>3389</v>
      </c>
      <c r="C3233" s="17">
        <v>19900101</v>
      </c>
      <c r="D3233" s="17">
        <v>22991231</v>
      </c>
      <c r="E3233" s="25">
        <v>2360.33</v>
      </c>
    </row>
    <row r="3234" spans="1:5" x14ac:dyDescent="0.3">
      <c r="A3234" s="17" t="str">
        <f>"53420"</f>
        <v>53420</v>
      </c>
      <c r="B3234" s="5" t="s">
        <v>3390</v>
      </c>
      <c r="C3234" s="17">
        <v>19900101</v>
      </c>
      <c r="D3234" s="17">
        <v>22991231</v>
      </c>
      <c r="E3234" s="25">
        <v>2360.33</v>
      </c>
    </row>
    <row r="3235" spans="1:5" x14ac:dyDescent="0.3">
      <c r="A3235" s="17" t="str">
        <f>"53425"</f>
        <v>53425</v>
      </c>
      <c r="B3235" s="5" t="s">
        <v>3391</v>
      </c>
      <c r="C3235" s="17">
        <v>19900101</v>
      </c>
      <c r="D3235" s="17">
        <v>22991231</v>
      </c>
      <c r="E3235" s="25">
        <v>2360.33</v>
      </c>
    </row>
    <row r="3236" spans="1:5" x14ac:dyDescent="0.3">
      <c r="A3236" s="17" t="str">
        <f>"53430"</f>
        <v>53430</v>
      </c>
      <c r="B3236" s="5" t="s">
        <v>3392</v>
      </c>
      <c r="C3236" s="17">
        <v>19900101</v>
      </c>
      <c r="D3236" s="17">
        <v>22991231</v>
      </c>
      <c r="E3236" s="25">
        <v>2360.33</v>
      </c>
    </row>
    <row r="3237" spans="1:5" ht="26" x14ac:dyDescent="0.3">
      <c r="A3237" s="17" t="str">
        <f>"53431"</f>
        <v>53431</v>
      </c>
      <c r="B3237" s="5" t="s">
        <v>3393</v>
      </c>
      <c r="C3237" s="17">
        <v>20030401</v>
      </c>
      <c r="D3237" s="17">
        <v>22991231</v>
      </c>
      <c r="E3237" s="25">
        <v>2360.33</v>
      </c>
    </row>
    <row r="3238" spans="1:5" ht="26" x14ac:dyDescent="0.3">
      <c r="A3238" s="17" t="str">
        <f>"53440"</f>
        <v>53440</v>
      </c>
      <c r="B3238" s="5" t="s">
        <v>3394</v>
      </c>
      <c r="C3238" s="17">
        <v>19900101</v>
      </c>
      <c r="D3238" s="17">
        <v>22991231</v>
      </c>
      <c r="E3238" s="25">
        <v>9629.5400000000009</v>
      </c>
    </row>
    <row r="3239" spans="1:5" ht="26" x14ac:dyDescent="0.3">
      <c r="A3239" s="17" t="str">
        <f>"53442"</f>
        <v>53442</v>
      </c>
      <c r="B3239" s="5" t="s">
        <v>3395</v>
      </c>
      <c r="C3239" s="17">
        <v>19900101</v>
      </c>
      <c r="D3239" s="17">
        <v>22991231</v>
      </c>
      <c r="E3239" s="25">
        <v>2360.33</v>
      </c>
    </row>
    <row r="3240" spans="1:5" x14ac:dyDescent="0.3">
      <c r="A3240" s="17" t="str">
        <f>"53444"</f>
        <v>53444</v>
      </c>
      <c r="B3240" s="5" t="s">
        <v>3396</v>
      </c>
      <c r="C3240" s="17">
        <v>20030401</v>
      </c>
      <c r="D3240" s="17">
        <v>22991231</v>
      </c>
      <c r="E3240" s="25">
        <v>15097.13</v>
      </c>
    </row>
    <row r="3241" spans="1:5" ht="26" x14ac:dyDescent="0.3">
      <c r="A3241" s="17" t="str">
        <f>"53445"</f>
        <v>53445</v>
      </c>
      <c r="B3241" s="5" t="s">
        <v>3397</v>
      </c>
      <c r="C3241" s="17">
        <v>19900101</v>
      </c>
      <c r="D3241" s="17">
        <v>22991231</v>
      </c>
      <c r="E3241" s="25">
        <v>15980.75</v>
      </c>
    </row>
    <row r="3242" spans="1:5" ht="26" x14ac:dyDescent="0.3">
      <c r="A3242" s="17" t="str">
        <f>"53446"</f>
        <v>53446</v>
      </c>
      <c r="B3242" s="5" t="s">
        <v>3398</v>
      </c>
      <c r="C3242" s="17">
        <v>20030401</v>
      </c>
      <c r="D3242" s="17">
        <v>22991231</v>
      </c>
      <c r="E3242" s="25">
        <v>2360.33</v>
      </c>
    </row>
    <row r="3243" spans="1:5" ht="26" x14ac:dyDescent="0.3">
      <c r="A3243" s="17" t="str">
        <f>"53447"</f>
        <v>53447</v>
      </c>
      <c r="B3243" s="5" t="s">
        <v>3399</v>
      </c>
      <c r="C3243" s="17">
        <v>19900101</v>
      </c>
      <c r="D3243" s="17">
        <v>22991231</v>
      </c>
      <c r="E3243" s="25">
        <v>15566.45</v>
      </c>
    </row>
    <row r="3244" spans="1:5" ht="26" x14ac:dyDescent="0.3">
      <c r="A3244" s="17" t="str">
        <f>"53449"</f>
        <v>53449</v>
      </c>
      <c r="B3244" s="5" t="s">
        <v>3400</v>
      </c>
      <c r="C3244" s="17">
        <v>19900101</v>
      </c>
      <c r="D3244" s="17">
        <v>22991231</v>
      </c>
      <c r="E3244" s="25">
        <v>4341.6400000000003</v>
      </c>
    </row>
    <row r="3245" spans="1:5" x14ac:dyDescent="0.3">
      <c r="A3245" s="17" t="str">
        <f>"53450"</f>
        <v>53450</v>
      </c>
      <c r="B3245" s="5" t="s">
        <v>3401</v>
      </c>
      <c r="C3245" s="17">
        <v>19900101</v>
      </c>
      <c r="D3245" s="17">
        <v>22991231</v>
      </c>
      <c r="E3245" s="25">
        <v>1553.18</v>
      </c>
    </row>
    <row r="3246" spans="1:5" ht="39" x14ac:dyDescent="0.3">
      <c r="A3246" s="17" t="str">
        <f>"53451"</f>
        <v>53451</v>
      </c>
      <c r="B3246" s="5" t="s">
        <v>3402</v>
      </c>
      <c r="C3246" s="17">
        <v>20220101</v>
      </c>
      <c r="D3246" s="17">
        <v>22991231</v>
      </c>
      <c r="E3246" s="25">
        <v>9845.25</v>
      </c>
    </row>
    <row r="3247" spans="1:5" ht="39" x14ac:dyDescent="0.3">
      <c r="A3247" s="17" t="str">
        <f>"53452"</f>
        <v>53452</v>
      </c>
      <c r="B3247" s="5" t="s">
        <v>3403</v>
      </c>
      <c r="C3247" s="17">
        <v>20220101</v>
      </c>
      <c r="D3247" s="17">
        <v>22991231</v>
      </c>
      <c r="E3247" s="25">
        <v>6494.87</v>
      </c>
    </row>
    <row r="3248" spans="1:5" ht="26" x14ac:dyDescent="0.3">
      <c r="A3248" s="17" t="str">
        <f>"53453"</f>
        <v>53453</v>
      </c>
      <c r="B3248" s="5" t="s">
        <v>3404</v>
      </c>
      <c r="C3248" s="17">
        <v>20220101</v>
      </c>
      <c r="D3248" s="17">
        <v>22991231</v>
      </c>
      <c r="E3248" s="25">
        <v>1553.18</v>
      </c>
    </row>
    <row r="3249" spans="1:5" ht="26" x14ac:dyDescent="0.3">
      <c r="A3249" s="17" t="str">
        <f>"53454"</f>
        <v>53454</v>
      </c>
      <c r="B3249" s="5" t="s">
        <v>3405</v>
      </c>
      <c r="C3249" s="17">
        <v>20220101</v>
      </c>
      <c r="D3249" s="17">
        <v>22991231</v>
      </c>
      <c r="E3249" s="25">
        <v>122.45</v>
      </c>
    </row>
    <row r="3250" spans="1:5" ht="26" x14ac:dyDescent="0.3">
      <c r="A3250" s="17" t="str">
        <f>"53460"</f>
        <v>53460</v>
      </c>
      <c r="B3250" s="5" t="s">
        <v>3406</v>
      </c>
      <c r="C3250" s="17">
        <v>19900101</v>
      </c>
      <c r="D3250" s="17">
        <v>22991231</v>
      </c>
      <c r="E3250" s="25">
        <v>1553.18</v>
      </c>
    </row>
    <row r="3251" spans="1:5" x14ac:dyDescent="0.3">
      <c r="A3251" s="17" t="str">
        <f>"53502"</f>
        <v>53502</v>
      </c>
      <c r="B3251" s="5" t="s">
        <v>3407</v>
      </c>
      <c r="C3251" s="17">
        <v>19900101</v>
      </c>
      <c r="D3251" s="17">
        <v>22991231</v>
      </c>
      <c r="E3251" s="25">
        <v>1553.18</v>
      </c>
    </row>
    <row r="3252" spans="1:5" x14ac:dyDescent="0.3">
      <c r="A3252" s="17" t="str">
        <f>"53505"</f>
        <v>53505</v>
      </c>
      <c r="B3252" s="5" t="s">
        <v>3408</v>
      </c>
      <c r="C3252" s="17">
        <v>19900101</v>
      </c>
      <c r="D3252" s="17">
        <v>22991231</v>
      </c>
      <c r="E3252" s="25">
        <v>2360.33</v>
      </c>
    </row>
    <row r="3253" spans="1:5" x14ac:dyDescent="0.3">
      <c r="A3253" s="17" t="str">
        <f>"53510"</f>
        <v>53510</v>
      </c>
      <c r="B3253" s="5" t="s">
        <v>3409</v>
      </c>
      <c r="C3253" s="17">
        <v>19900101</v>
      </c>
      <c r="D3253" s="17">
        <v>22991231</v>
      </c>
      <c r="E3253" s="25">
        <v>2360.33</v>
      </c>
    </row>
    <row r="3254" spans="1:5" ht="26" x14ac:dyDescent="0.3">
      <c r="A3254" s="17" t="str">
        <f>"53515"</f>
        <v>53515</v>
      </c>
      <c r="B3254" s="5" t="s">
        <v>3410</v>
      </c>
      <c r="C3254" s="17">
        <v>19900101</v>
      </c>
      <c r="D3254" s="17">
        <v>22991231</v>
      </c>
      <c r="E3254" s="25">
        <v>2360.33</v>
      </c>
    </row>
    <row r="3255" spans="1:5" ht="26" x14ac:dyDescent="0.3">
      <c r="A3255" s="17" t="str">
        <f>"53520"</f>
        <v>53520</v>
      </c>
      <c r="B3255" s="5" t="s">
        <v>3411</v>
      </c>
      <c r="C3255" s="17">
        <v>19900101</v>
      </c>
      <c r="D3255" s="17">
        <v>22991231</v>
      </c>
      <c r="E3255" s="25">
        <v>2360.33</v>
      </c>
    </row>
    <row r="3256" spans="1:5" x14ac:dyDescent="0.3">
      <c r="A3256" s="17" t="str">
        <f>"53600"</f>
        <v>53600</v>
      </c>
      <c r="B3256" s="5" t="s">
        <v>3412</v>
      </c>
      <c r="C3256" s="17">
        <v>19900101</v>
      </c>
      <c r="D3256" s="17">
        <v>22991231</v>
      </c>
      <c r="E3256" s="25">
        <v>40.659999999999997</v>
      </c>
    </row>
    <row r="3257" spans="1:5" ht="26" x14ac:dyDescent="0.3">
      <c r="A3257" s="17" t="str">
        <f>"53601"</f>
        <v>53601</v>
      </c>
      <c r="B3257" s="5" t="s">
        <v>3413</v>
      </c>
      <c r="C3257" s="17">
        <v>19900101</v>
      </c>
      <c r="D3257" s="17">
        <v>22991231</v>
      </c>
      <c r="E3257" s="25">
        <v>0</v>
      </c>
    </row>
    <row r="3258" spans="1:5" ht="26" x14ac:dyDescent="0.3">
      <c r="A3258" s="17" t="str">
        <f>"53605"</f>
        <v>53605</v>
      </c>
      <c r="B3258" s="5" t="s">
        <v>3414</v>
      </c>
      <c r="C3258" s="17">
        <v>19900101</v>
      </c>
      <c r="D3258" s="17">
        <v>22991231</v>
      </c>
      <c r="E3258" s="25">
        <v>1553.18</v>
      </c>
    </row>
    <row r="3259" spans="1:5" ht="26" x14ac:dyDescent="0.3">
      <c r="A3259" s="17" t="str">
        <f>"53620"</f>
        <v>53620</v>
      </c>
      <c r="B3259" s="5" t="s">
        <v>3415</v>
      </c>
      <c r="C3259" s="17">
        <v>19900101</v>
      </c>
      <c r="D3259" s="17">
        <v>22991231</v>
      </c>
      <c r="E3259" s="25">
        <v>102.58</v>
      </c>
    </row>
    <row r="3260" spans="1:5" ht="26" x14ac:dyDescent="0.3">
      <c r="A3260" s="17" t="str">
        <f>"53621"</f>
        <v>53621</v>
      </c>
      <c r="B3260" s="5" t="s">
        <v>3416</v>
      </c>
      <c r="C3260" s="17">
        <v>19900101</v>
      </c>
      <c r="D3260" s="17">
        <v>22991231</v>
      </c>
      <c r="E3260" s="25">
        <v>105.09</v>
      </c>
    </row>
    <row r="3261" spans="1:5" x14ac:dyDescent="0.3">
      <c r="A3261" s="17" t="str">
        <f>"53660"</f>
        <v>53660</v>
      </c>
      <c r="B3261" s="5" t="s">
        <v>3417</v>
      </c>
      <c r="C3261" s="17">
        <v>19900101</v>
      </c>
      <c r="D3261" s="17">
        <v>22991231</v>
      </c>
      <c r="E3261" s="25">
        <v>46.6</v>
      </c>
    </row>
    <row r="3262" spans="1:5" x14ac:dyDescent="0.3">
      <c r="A3262" s="17" t="str">
        <f>"53661"</f>
        <v>53661</v>
      </c>
      <c r="B3262" s="5" t="s">
        <v>3418</v>
      </c>
      <c r="C3262" s="17">
        <v>19900101</v>
      </c>
      <c r="D3262" s="17">
        <v>22991231</v>
      </c>
      <c r="E3262" s="25">
        <v>0</v>
      </c>
    </row>
    <row r="3263" spans="1:5" ht="26" x14ac:dyDescent="0.3">
      <c r="A3263" s="17" t="str">
        <f>"53665"</f>
        <v>53665</v>
      </c>
      <c r="B3263" s="5" t="s">
        <v>3419</v>
      </c>
      <c r="C3263" s="17">
        <v>19900101</v>
      </c>
      <c r="D3263" s="17">
        <v>22991231</v>
      </c>
      <c r="E3263" s="25">
        <v>888.17</v>
      </c>
    </row>
    <row r="3264" spans="1:5" ht="26" x14ac:dyDescent="0.3">
      <c r="A3264" s="17" t="str">
        <f>"53850"</f>
        <v>53850</v>
      </c>
      <c r="B3264" s="5" t="s">
        <v>3420</v>
      </c>
      <c r="C3264" s="17">
        <v>19980101</v>
      </c>
      <c r="D3264" s="17">
        <v>22991231</v>
      </c>
      <c r="E3264" s="25">
        <v>1129.05</v>
      </c>
    </row>
    <row r="3265" spans="1:5" ht="26" x14ac:dyDescent="0.3">
      <c r="A3265" s="17" t="str">
        <f>"53852"</f>
        <v>53852</v>
      </c>
      <c r="B3265" s="5" t="s">
        <v>3421</v>
      </c>
      <c r="C3265" s="17">
        <v>19980101</v>
      </c>
      <c r="D3265" s="17">
        <v>22991231</v>
      </c>
      <c r="E3265" s="25">
        <v>1079.6300000000001</v>
      </c>
    </row>
    <row r="3266" spans="1:5" ht="26" x14ac:dyDescent="0.3">
      <c r="A3266" s="17" t="str">
        <f>"53854"</f>
        <v>53854</v>
      </c>
      <c r="B3266" s="5" t="s">
        <v>3422</v>
      </c>
      <c r="C3266" s="17">
        <v>20190101</v>
      </c>
      <c r="D3266" s="17">
        <v>22991231</v>
      </c>
      <c r="E3266" s="25">
        <v>1345.79</v>
      </c>
    </row>
    <row r="3267" spans="1:5" ht="26" x14ac:dyDescent="0.3">
      <c r="A3267" s="17" t="str">
        <f>"53855"</f>
        <v>53855</v>
      </c>
      <c r="B3267" s="5" t="s">
        <v>3423</v>
      </c>
      <c r="C3267" s="17">
        <v>20100101</v>
      </c>
      <c r="D3267" s="17">
        <v>22991231</v>
      </c>
      <c r="E3267" s="25">
        <v>549.20000000000005</v>
      </c>
    </row>
    <row r="3268" spans="1:5" ht="26" x14ac:dyDescent="0.3">
      <c r="A3268" s="17" t="str">
        <f>"53860"</f>
        <v>53860</v>
      </c>
      <c r="B3268" s="5" t="s">
        <v>3424</v>
      </c>
      <c r="C3268" s="17">
        <v>20110101</v>
      </c>
      <c r="D3268" s="17">
        <v>22991231</v>
      </c>
      <c r="E3268" s="25">
        <v>888.17</v>
      </c>
    </row>
    <row r="3269" spans="1:5" x14ac:dyDescent="0.3">
      <c r="A3269" s="17" t="str">
        <f>"54000"</f>
        <v>54000</v>
      </c>
      <c r="B3269" s="5" t="s">
        <v>3425</v>
      </c>
      <c r="C3269" s="17">
        <v>19900101</v>
      </c>
      <c r="D3269" s="17">
        <v>22991231</v>
      </c>
      <c r="E3269" s="25">
        <v>1553.18</v>
      </c>
    </row>
    <row r="3270" spans="1:5" x14ac:dyDescent="0.3">
      <c r="A3270" s="17" t="str">
        <f>"54001"</f>
        <v>54001</v>
      </c>
      <c r="B3270" s="5" t="s">
        <v>3426</v>
      </c>
      <c r="C3270" s="17">
        <v>19900101</v>
      </c>
      <c r="D3270" s="17">
        <v>22991231</v>
      </c>
      <c r="E3270" s="25">
        <v>888.17</v>
      </c>
    </row>
    <row r="3271" spans="1:5" x14ac:dyDescent="0.3">
      <c r="A3271" s="17" t="str">
        <f>"54015"</f>
        <v>54015</v>
      </c>
      <c r="B3271" s="5" t="s">
        <v>3427</v>
      </c>
      <c r="C3271" s="17">
        <v>19900101</v>
      </c>
      <c r="D3271" s="17">
        <v>22991231</v>
      </c>
      <c r="E3271" s="25">
        <v>652.27</v>
      </c>
    </row>
    <row r="3272" spans="1:5" ht="26" x14ac:dyDescent="0.3">
      <c r="A3272" s="17" t="str">
        <f>"54050"</f>
        <v>54050</v>
      </c>
      <c r="B3272" s="5" t="s">
        <v>3428</v>
      </c>
      <c r="C3272" s="17">
        <v>19950101</v>
      </c>
      <c r="D3272" s="17">
        <v>22991231</v>
      </c>
      <c r="E3272" s="25">
        <v>0</v>
      </c>
    </row>
    <row r="3273" spans="1:5" ht="26" x14ac:dyDescent="0.3">
      <c r="A3273" s="17" t="str">
        <f>"54055"</f>
        <v>54055</v>
      </c>
      <c r="B3273" s="5" t="s">
        <v>3429</v>
      </c>
      <c r="C3273" s="17">
        <v>19900101</v>
      </c>
      <c r="D3273" s="17">
        <v>22991231</v>
      </c>
      <c r="E3273" s="25">
        <v>86.63</v>
      </c>
    </row>
    <row r="3274" spans="1:5" ht="26" x14ac:dyDescent="0.3">
      <c r="A3274" s="17" t="str">
        <f>"54056"</f>
        <v>54056</v>
      </c>
      <c r="B3274" s="5" t="s">
        <v>3430</v>
      </c>
      <c r="C3274" s="17">
        <v>19900101</v>
      </c>
      <c r="D3274" s="17">
        <v>22991231</v>
      </c>
      <c r="E3274" s="25">
        <v>0</v>
      </c>
    </row>
    <row r="3275" spans="1:5" ht="26" x14ac:dyDescent="0.3">
      <c r="A3275" s="17" t="str">
        <f>"54057"</f>
        <v>54057</v>
      </c>
      <c r="B3275" s="5" t="s">
        <v>3431</v>
      </c>
      <c r="C3275" s="17">
        <v>19900101</v>
      </c>
      <c r="D3275" s="17">
        <v>22991231</v>
      </c>
      <c r="E3275" s="25">
        <v>903.54</v>
      </c>
    </row>
    <row r="3276" spans="1:5" x14ac:dyDescent="0.3">
      <c r="A3276" s="17" t="str">
        <f>"54060"</f>
        <v>54060</v>
      </c>
      <c r="B3276" s="5" t="s">
        <v>3432</v>
      </c>
      <c r="C3276" s="17">
        <v>19900101</v>
      </c>
      <c r="D3276" s="17">
        <v>22991231</v>
      </c>
      <c r="E3276" s="25">
        <v>903.54</v>
      </c>
    </row>
    <row r="3277" spans="1:5" x14ac:dyDescent="0.3">
      <c r="A3277" s="17" t="str">
        <f>"54065"</f>
        <v>54065</v>
      </c>
      <c r="B3277" s="5" t="s">
        <v>3433</v>
      </c>
      <c r="C3277" s="17">
        <v>19900101</v>
      </c>
      <c r="D3277" s="17">
        <v>22991231</v>
      </c>
      <c r="E3277" s="25">
        <v>903.54</v>
      </c>
    </row>
    <row r="3278" spans="1:5" x14ac:dyDescent="0.3">
      <c r="A3278" s="17" t="str">
        <f>"54100"</f>
        <v>54100</v>
      </c>
      <c r="B3278" s="5" t="s">
        <v>3434</v>
      </c>
      <c r="C3278" s="17">
        <v>19900101</v>
      </c>
      <c r="D3278" s="17">
        <v>22991231</v>
      </c>
      <c r="E3278" s="25">
        <v>652.27</v>
      </c>
    </row>
    <row r="3279" spans="1:5" x14ac:dyDescent="0.3">
      <c r="A3279" s="17" t="str">
        <f>"54105"</f>
        <v>54105</v>
      </c>
      <c r="B3279" s="5" t="s">
        <v>3435</v>
      </c>
      <c r="C3279" s="17">
        <v>19900101</v>
      </c>
      <c r="D3279" s="17">
        <v>22991231</v>
      </c>
      <c r="E3279" s="25">
        <v>1105.24</v>
      </c>
    </row>
    <row r="3280" spans="1:5" x14ac:dyDescent="0.3">
      <c r="A3280" s="17" t="str">
        <f>"54110"</f>
        <v>54110</v>
      </c>
      <c r="B3280" s="5" t="s">
        <v>3436</v>
      </c>
      <c r="C3280" s="17">
        <v>19900101</v>
      </c>
      <c r="D3280" s="17">
        <v>22991231</v>
      </c>
      <c r="E3280" s="25">
        <v>1553.18</v>
      </c>
    </row>
    <row r="3281" spans="1:5" ht="26" x14ac:dyDescent="0.3">
      <c r="A3281" s="17" t="str">
        <f>"54111"</f>
        <v>54111</v>
      </c>
      <c r="B3281" s="5" t="s">
        <v>3437</v>
      </c>
      <c r="C3281" s="17">
        <v>19900101</v>
      </c>
      <c r="D3281" s="17">
        <v>22991231</v>
      </c>
      <c r="E3281" s="25">
        <v>2360.33</v>
      </c>
    </row>
    <row r="3282" spans="1:5" ht="26" x14ac:dyDescent="0.3">
      <c r="A3282" s="17" t="str">
        <f>"54112"</f>
        <v>54112</v>
      </c>
      <c r="B3282" s="5" t="s">
        <v>3438</v>
      </c>
      <c r="C3282" s="17">
        <v>19900101</v>
      </c>
      <c r="D3282" s="17">
        <v>22991231</v>
      </c>
      <c r="E3282" s="25">
        <v>5533.59</v>
      </c>
    </row>
    <row r="3283" spans="1:5" x14ac:dyDescent="0.3">
      <c r="A3283" s="17" t="str">
        <f>"54115"</f>
        <v>54115</v>
      </c>
      <c r="B3283" s="5" t="s">
        <v>3439</v>
      </c>
      <c r="C3283" s="17">
        <v>19900101</v>
      </c>
      <c r="D3283" s="17">
        <v>22991231</v>
      </c>
      <c r="E3283" s="25">
        <v>1105.24</v>
      </c>
    </row>
    <row r="3284" spans="1:5" x14ac:dyDescent="0.3">
      <c r="A3284" s="17" t="str">
        <f>"54120"</f>
        <v>54120</v>
      </c>
      <c r="B3284" s="5" t="s">
        <v>3440</v>
      </c>
      <c r="C3284" s="17">
        <v>19900101</v>
      </c>
      <c r="D3284" s="17">
        <v>22991231</v>
      </c>
      <c r="E3284" s="25">
        <v>1553.18</v>
      </c>
    </row>
    <row r="3285" spans="1:5" x14ac:dyDescent="0.3">
      <c r="A3285" s="17" t="str">
        <f>"54150"</f>
        <v>54150</v>
      </c>
      <c r="B3285" s="5" t="s">
        <v>3441</v>
      </c>
      <c r="C3285" s="17">
        <v>19900101</v>
      </c>
      <c r="D3285" s="17">
        <v>22991231</v>
      </c>
      <c r="E3285" s="25">
        <v>888.17</v>
      </c>
    </row>
    <row r="3286" spans="1:5" x14ac:dyDescent="0.3">
      <c r="A3286" s="17" t="str">
        <f>"54160"</f>
        <v>54160</v>
      </c>
      <c r="B3286" s="5" t="s">
        <v>3442</v>
      </c>
      <c r="C3286" s="17">
        <v>19900101</v>
      </c>
      <c r="D3286" s="17">
        <v>22991231</v>
      </c>
      <c r="E3286" s="25">
        <v>299.17</v>
      </c>
    </row>
    <row r="3287" spans="1:5" x14ac:dyDescent="0.3">
      <c r="A3287" s="17" t="str">
        <f>"54161"</f>
        <v>54161</v>
      </c>
      <c r="B3287" s="5" t="s">
        <v>3443</v>
      </c>
      <c r="C3287" s="17">
        <v>19900101</v>
      </c>
      <c r="D3287" s="17">
        <v>22991231</v>
      </c>
      <c r="E3287" s="25">
        <v>888.17</v>
      </c>
    </row>
    <row r="3288" spans="1:5" x14ac:dyDescent="0.3">
      <c r="A3288" s="17" t="str">
        <f>"54162"</f>
        <v>54162</v>
      </c>
      <c r="B3288" s="5" t="s">
        <v>3444</v>
      </c>
      <c r="C3288" s="17">
        <v>20030801</v>
      </c>
      <c r="D3288" s="17">
        <v>22991231</v>
      </c>
      <c r="E3288" s="25">
        <v>888.17</v>
      </c>
    </row>
    <row r="3289" spans="1:5" x14ac:dyDescent="0.3">
      <c r="A3289" s="17" t="str">
        <f>"54163"</f>
        <v>54163</v>
      </c>
      <c r="B3289" s="5" t="s">
        <v>3445</v>
      </c>
      <c r="C3289" s="17">
        <v>20030801</v>
      </c>
      <c r="D3289" s="17">
        <v>22991231</v>
      </c>
      <c r="E3289" s="25">
        <v>888.17</v>
      </c>
    </row>
    <row r="3290" spans="1:5" ht="26" x14ac:dyDescent="0.3">
      <c r="A3290" s="17" t="str">
        <f>"54164"</f>
        <v>54164</v>
      </c>
      <c r="B3290" s="5" t="s">
        <v>3446</v>
      </c>
      <c r="C3290" s="17">
        <v>20030801</v>
      </c>
      <c r="D3290" s="17">
        <v>22991231</v>
      </c>
      <c r="E3290" s="25">
        <v>888.17</v>
      </c>
    </row>
    <row r="3291" spans="1:5" ht="26" x14ac:dyDescent="0.3">
      <c r="A3291" s="17" t="str">
        <f>"54200"</f>
        <v>54200</v>
      </c>
      <c r="B3291" s="5" t="s">
        <v>3447</v>
      </c>
      <c r="C3291" s="17">
        <v>19900101</v>
      </c>
      <c r="D3291" s="17">
        <v>22991231</v>
      </c>
      <c r="E3291" s="25">
        <v>71.31</v>
      </c>
    </row>
    <row r="3292" spans="1:5" ht="26" x14ac:dyDescent="0.3">
      <c r="A3292" s="17">
        <v>54205</v>
      </c>
      <c r="B3292" s="5" t="s">
        <v>7129</v>
      </c>
      <c r="C3292" s="26">
        <v>20230101</v>
      </c>
      <c r="D3292" s="26">
        <v>22991231</v>
      </c>
      <c r="E3292" s="25">
        <v>2360.33</v>
      </c>
    </row>
    <row r="3293" spans="1:5" ht="26" x14ac:dyDescent="0.3">
      <c r="A3293" s="17" t="str">
        <f>"54220"</f>
        <v>54220</v>
      </c>
      <c r="B3293" s="5" t="s">
        <v>3448</v>
      </c>
      <c r="C3293" s="17">
        <v>19900101</v>
      </c>
      <c r="D3293" s="17">
        <v>22991231</v>
      </c>
      <c r="E3293" s="25">
        <v>122.45</v>
      </c>
    </row>
    <row r="3294" spans="1:5" ht="26" x14ac:dyDescent="0.3">
      <c r="A3294" s="17" t="str">
        <f>"54230"</f>
        <v>54230</v>
      </c>
      <c r="B3294" s="5" t="s">
        <v>3449</v>
      </c>
      <c r="C3294" s="17">
        <v>19900101</v>
      </c>
      <c r="D3294" s="17">
        <v>22991231</v>
      </c>
      <c r="E3294" s="25">
        <v>0</v>
      </c>
    </row>
    <row r="3295" spans="1:5" ht="26" x14ac:dyDescent="0.3">
      <c r="A3295" s="17" t="str">
        <f>"54231"</f>
        <v>54231</v>
      </c>
      <c r="B3295" s="5" t="s">
        <v>3450</v>
      </c>
      <c r="C3295" s="17">
        <v>19940101</v>
      </c>
      <c r="D3295" s="17">
        <v>22991231</v>
      </c>
      <c r="E3295" s="25">
        <v>63.8</v>
      </c>
    </row>
    <row r="3296" spans="1:5" x14ac:dyDescent="0.3">
      <c r="A3296" s="17" t="str">
        <f>"54235"</f>
        <v>54235</v>
      </c>
      <c r="B3296" s="5" t="s">
        <v>3451</v>
      </c>
      <c r="C3296" s="17">
        <v>20230101</v>
      </c>
      <c r="D3296" s="17">
        <v>22991231</v>
      </c>
      <c r="E3296" s="25">
        <v>43.16</v>
      </c>
    </row>
    <row r="3297" spans="1:5" x14ac:dyDescent="0.3">
      <c r="A3297" s="17" t="str">
        <f>"54240"</f>
        <v>54240</v>
      </c>
      <c r="B3297" s="5" t="s">
        <v>3452</v>
      </c>
      <c r="C3297" s="17">
        <v>19900101</v>
      </c>
      <c r="D3297" s="17">
        <v>22991231</v>
      </c>
      <c r="E3297" s="25">
        <v>55.05</v>
      </c>
    </row>
    <row r="3298" spans="1:5" x14ac:dyDescent="0.3">
      <c r="A3298" s="17" t="str">
        <f>"54250"</f>
        <v>54250</v>
      </c>
      <c r="B3298" s="5" t="s">
        <v>3453</v>
      </c>
      <c r="C3298" s="17">
        <v>19900101</v>
      </c>
      <c r="D3298" s="17">
        <v>22991231</v>
      </c>
      <c r="E3298" s="25">
        <v>37.840000000000003</v>
      </c>
    </row>
    <row r="3299" spans="1:5" x14ac:dyDescent="0.3">
      <c r="A3299" s="17" t="str">
        <f>"54300"</f>
        <v>54300</v>
      </c>
      <c r="B3299" s="5" t="s">
        <v>3454</v>
      </c>
      <c r="C3299" s="17">
        <v>19900101</v>
      </c>
      <c r="D3299" s="17">
        <v>22991231</v>
      </c>
      <c r="E3299" s="25">
        <v>1553.18</v>
      </c>
    </row>
    <row r="3300" spans="1:5" x14ac:dyDescent="0.3">
      <c r="A3300" s="17" t="str">
        <f>"54304"</f>
        <v>54304</v>
      </c>
      <c r="B3300" s="5" t="s">
        <v>3455</v>
      </c>
      <c r="C3300" s="17">
        <v>19900101</v>
      </c>
      <c r="D3300" s="17">
        <v>22991231</v>
      </c>
      <c r="E3300" s="25">
        <v>1553.18</v>
      </c>
    </row>
    <row r="3301" spans="1:5" ht="26" x14ac:dyDescent="0.3">
      <c r="A3301" s="17" t="str">
        <f>"54308"</f>
        <v>54308</v>
      </c>
      <c r="B3301" s="5" t="s">
        <v>3456</v>
      </c>
      <c r="C3301" s="17">
        <v>19900101</v>
      </c>
      <c r="D3301" s="17">
        <v>22991231</v>
      </c>
      <c r="E3301" s="25">
        <v>2360.33</v>
      </c>
    </row>
    <row r="3302" spans="1:5" ht="26" x14ac:dyDescent="0.3">
      <c r="A3302" s="17" t="str">
        <f>"54312"</f>
        <v>54312</v>
      </c>
      <c r="B3302" s="5" t="s">
        <v>3457</v>
      </c>
      <c r="C3302" s="17">
        <v>19900101</v>
      </c>
      <c r="D3302" s="17">
        <v>22991231</v>
      </c>
      <c r="E3302" s="25">
        <v>1553.18</v>
      </c>
    </row>
    <row r="3303" spans="1:5" ht="26" x14ac:dyDescent="0.3">
      <c r="A3303" s="17" t="str">
        <f>"54316"</f>
        <v>54316</v>
      </c>
      <c r="B3303" s="5" t="s">
        <v>3458</v>
      </c>
      <c r="C3303" s="17">
        <v>19900101</v>
      </c>
      <c r="D3303" s="17">
        <v>22991231</v>
      </c>
      <c r="E3303" s="25">
        <v>4341.6400000000003</v>
      </c>
    </row>
    <row r="3304" spans="1:5" ht="26" x14ac:dyDescent="0.3">
      <c r="A3304" s="17" t="str">
        <f>"54318"</f>
        <v>54318</v>
      </c>
      <c r="B3304" s="5" t="s">
        <v>3459</v>
      </c>
      <c r="C3304" s="17">
        <v>19900101</v>
      </c>
      <c r="D3304" s="17">
        <v>22991231</v>
      </c>
      <c r="E3304" s="25">
        <v>1553.18</v>
      </c>
    </row>
    <row r="3305" spans="1:5" ht="26" x14ac:dyDescent="0.3">
      <c r="A3305" s="17" t="str">
        <f>"54322"</f>
        <v>54322</v>
      </c>
      <c r="B3305" s="5" t="s">
        <v>3460</v>
      </c>
      <c r="C3305" s="17">
        <v>19900101</v>
      </c>
      <c r="D3305" s="17">
        <v>22991231</v>
      </c>
      <c r="E3305" s="25">
        <v>1553.18</v>
      </c>
    </row>
    <row r="3306" spans="1:5" x14ac:dyDescent="0.3">
      <c r="A3306" s="17" t="str">
        <f>"54324"</f>
        <v>54324</v>
      </c>
      <c r="B3306" s="5" t="s">
        <v>3461</v>
      </c>
      <c r="C3306" s="17">
        <v>19900101</v>
      </c>
      <c r="D3306" s="17">
        <v>22991231</v>
      </c>
      <c r="E3306" s="25">
        <v>1553.18</v>
      </c>
    </row>
    <row r="3307" spans="1:5" ht="26" x14ac:dyDescent="0.3">
      <c r="A3307" s="17" t="str">
        <f>"54326"</f>
        <v>54326</v>
      </c>
      <c r="B3307" s="5" t="s">
        <v>3462</v>
      </c>
      <c r="C3307" s="17">
        <v>19900101</v>
      </c>
      <c r="D3307" s="17">
        <v>22991231</v>
      </c>
      <c r="E3307" s="25">
        <v>1553.18</v>
      </c>
    </row>
    <row r="3308" spans="1:5" ht="39" x14ac:dyDescent="0.3">
      <c r="A3308" s="17" t="str">
        <f>"54328"</f>
        <v>54328</v>
      </c>
      <c r="B3308" s="5" t="s">
        <v>3463</v>
      </c>
      <c r="C3308" s="17">
        <v>19900101</v>
      </c>
      <c r="D3308" s="17">
        <v>22991231</v>
      </c>
      <c r="E3308" s="25">
        <v>1553.18</v>
      </c>
    </row>
    <row r="3309" spans="1:5" ht="26" x14ac:dyDescent="0.3">
      <c r="A3309" s="17" t="str">
        <f>"54332"</f>
        <v>54332</v>
      </c>
      <c r="B3309" s="5" t="s">
        <v>3464</v>
      </c>
      <c r="C3309" s="17">
        <v>19900101</v>
      </c>
      <c r="D3309" s="17">
        <v>22991231</v>
      </c>
      <c r="E3309" s="24" t="s">
        <v>7128</v>
      </c>
    </row>
    <row r="3310" spans="1:5" ht="26" x14ac:dyDescent="0.3">
      <c r="A3310" s="17" t="str">
        <f>"54336"</f>
        <v>54336</v>
      </c>
      <c r="B3310" s="5" t="s">
        <v>3465</v>
      </c>
      <c r="C3310" s="17">
        <v>19900101</v>
      </c>
      <c r="D3310" s="17">
        <v>22991231</v>
      </c>
      <c r="E3310" s="24" t="s">
        <v>7128</v>
      </c>
    </row>
    <row r="3311" spans="1:5" ht="26" x14ac:dyDescent="0.3">
      <c r="A3311" s="17" t="str">
        <f>"54340"</f>
        <v>54340</v>
      </c>
      <c r="B3311" s="5" t="s">
        <v>3466</v>
      </c>
      <c r="C3311" s="17">
        <v>19900101</v>
      </c>
      <c r="D3311" s="17">
        <v>22991231</v>
      </c>
      <c r="E3311" s="25">
        <v>1553.18</v>
      </c>
    </row>
    <row r="3312" spans="1:5" ht="39" x14ac:dyDescent="0.3">
      <c r="A3312" s="17" t="str">
        <f>"54344"</f>
        <v>54344</v>
      </c>
      <c r="B3312" s="5" t="s">
        <v>3467</v>
      </c>
      <c r="C3312" s="17">
        <v>19900101</v>
      </c>
      <c r="D3312" s="17">
        <v>22991231</v>
      </c>
      <c r="E3312" s="25">
        <v>4341.6400000000003</v>
      </c>
    </row>
    <row r="3313" spans="1:5" ht="26" x14ac:dyDescent="0.3">
      <c r="A3313" s="17" t="str">
        <f>"54348"</f>
        <v>54348</v>
      </c>
      <c r="B3313" s="5" t="s">
        <v>3468</v>
      </c>
      <c r="C3313" s="17">
        <v>19900101</v>
      </c>
      <c r="D3313" s="17">
        <v>22991231</v>
      </c>
      <c r="E3313" s="25">
        <v>2360.33</v>
      </c>
    </row>
    <row r="3314" spans="1:5" ht="39" x14ac:dyDescent="0.3">
      <c r="A3314" s="17" t="str">
        <f>"54352"</f>
        <v>54352</v>
      </c>
      <c r="B3314" s="5" t="s">
        <v>3469</v>
      </c>
      <c r="C3314" s="17">
        <v>19900101</v>
      </c>
      <c r="D3314" s="17">
        <v>22991231</v>
      </c>
      <c r="E3314" s="25">
        <v>2360.33</v>
      </c>
    </row>
    <row r="3315" spans="1:5" x14ac:dyDescent="0.3">
      <c r="A3315" s="17" t="str">
        <f>"54360"</f>
        <v>54360</v>
      </c>
      <c r="B3315" s="5" t="s">
        <v>3470</v>
      </c>
      <c r="C3315" s="17">
        <v>19900101</v>
      </c>
      <c r="D3315" s="17">
        <v>22991231</v>
      </c>
      <c r="E3315" s="25">
        <v>1553.18</v>
      </c>
    </row>
    <row r="3316" spans="1:5" x14ac:dyDescent="0.3">
      <c r="A3316" s="17" t="str">
        <f>"54380"</f>
        <v>54380</v>
      </c>
      <c r="B3316" s="5" t="s">
        <v>3471</v>
      </c>
      <c r="C3316" s="17">
        <v>19900101</v>
      </c>
      <c r="D3316" s="17">
        <v>22991231</v>
      </c>
      <c r="E3316" s="25">
        <v>888.17</v>
      </c>
    </row>
    <row r="3317" spans="1:5" ht="26" x14ac:dyDescent="0.3">
      <c r="A3317" s="17" t="str">
        <f>"54385"</f>
        <v>54385</v>
      </c>
      <c r="B3317" s="5" t="s">
        <v>3472</v>
      </c>
      <c r="C3317" s="17">
        <v>19900101</v>
      </c>
      <c r="D3317" s="17">
        <v>22991231</v>
      </c>
      <c r="E3317" s="25">
        <v>888.17</v>
      </c>
    </row>
    <row r="3318" spans="1:5" x14ac:dyDescent="0.3">
      <c r="A3318" s="17" t="str">
        <f>"54400"</f>
        <v>54400</v>
      </c>
      <c r="B3318" s="5" t="s">
        <v>3473</v>
      </c>
      <c r="C3318" s="17">
        <v>19900701</v>
      </c>
      <c r="D3318" s="17">
        <v>22991231</v>
      </c>
      <c r="E3318" s="25">
        <v>10028.34</v>
      </c>
    </row>
    <row r="3319" spans="1:5" x14ac:dyDescent="0.3">
      <c r="A3319" s="17" t="str">
        <f>"54401"</f>
        <v>54401</v>
      </c>
      <c r="B3319" s="5" t="s">
        <v>3474</v>
      </c>
      <c r="C3319" s="17">
        <v>19900101</v>
      </c>
      <c r="D3319" s="17">
        <v>22991231</v>
      </c>
      <c r="E3319" s="25">
        <v>15886.55</v>
      </c>
    </row>
    <row r="3320" spans="1:5" ht="26" x14ac:dyDescent="0.3">
      <c r="A3320" s="17" t="str">
        <f>"54405"</f>
        <v>54405</v>
      </c>
      <c r="B3320" s="5" t="s">
        <v>3475</v>
      </c>
      <c r="C3320" s="17">
        <v>19900101</v>
      </c>
      <c r="D3320" s="17">
        <v>22991231</v>
      </c>
      <c r="E3320" s="25">
        <v>15850.7</v>
      </c>
    </row>
    <row r="3321" spans="1:5" ht="26" x14ac:dyDescent="0.3">
      <c r="A3321" s="17" t="str">
        <f>"54406"</f>
        <v>54406</v>
      </c>
      <c r="B3321" s="5" t="s">
        <v>3476</v>
      </c>
      <c r="C3321" s="17">
        <v>20030401</v>
      </c>
      <c r="D3321" s="17">
        <v>22991231</v>
      </c>
      <c r="E3321" s="25">
        <v>1553.18</v>
      </c>
    </row>
    <row r="3322" spans="1:5" ht="26" x14ac:dyDescent="0.3">
      <c r="A3322" s="17" t="str">
        <f>"54408"</f>
        <v>54408</v>
      </c>
      <c r="B3322" s="5" t="s">
        <v>3477</v>
      </c>
      <c r="C3322" s="17">
        <v>20030401</v>
      </c>
      <c r="D3322" s="17">
        <v>22991231</v>
      </c>
      <c r="E3322" s="25">
        <v>2360.33</v>
      </c>
    </row>
    <row r="3323" spans="1:5" ht="26" x14ac:dyDescent="0.3">
      <c r="A3323" s="17" t="str">
        <f>"54410"</f>
        <v>54410</v>
      </c>
      <c r="B3323" s="5" t="s">
        <v>3478</v>
      </c>
      <c r="C3323" s="17">
        <v>20030401</v>
      </c>
      <c r="D3323" s="17">
        <v>22991231</v>
      </c>
      <c r="E3323" s="25">
        <v>15549.78</v>
      </c>
    </row>
    <row r="3324" spans="1:5" ht="26" x14ac:dyDescent="0.3">
      <c r="A3324" s="17" t="str">
        <f>"54415"</f>
        <v>54415</v>
      </c>
      <c r="B3324" s="5" t="s">
        <v>3479</v>
      </c>
      <c r="C3324" s="17">
        <v>20030401</v>
      </c>
      <c r="D3324" s="17">
        <v>22991231</v>
      </c>
      <c r="E3324" s="25">
        <v>1553.18</v>
      </c>
    </row>
    <row r="3325" spans="1:5" ht="26" x14ac:dyDescent="0.3">
      <c r="A3325" s="17" t="str">
        <f>"54416"</f>
        <v>54416</v>
      </c>
      <c r="B3325" s="5" t="s">
        <v>3480</v>
      </c>
      <c r="C3325" s="17">
        <v>20030401</v>
      </c>
      <c r="D3325" s="17">
        <v>22991231</v>
      </c>
      <c r="E3325" s="25">
        <v>15588.96</v>
      </c>
    </row>
    <row r="3326" spans="1:5" x14ac:dyDescent="0.3">
      <c r="A3326" s="17" t="str">
        <f>"54420"</f>
        <v>54420</v>
      </c>
      <c r="B3326" s="5" t="s">
        <v>3481</v>
      </c>
      <c r="C3326" s="17">
        <v>19900101</v>
      </c>
      <c r="D3326" s="17">
        <v>22991231</v>
      </c>
      <c r="E3326" s="25">
        <v>1553.18</v>
      </c>
    </row>
    <row r="3327" spans="1:5" ht="26" x14ac:dyDescent="0.3">
      <c r="A3327" s="17" t="str">
        <f>"54435"</f>
        <v>54435</v>
      </c>
      <c r="B3327" s="5" t="s">
        <v>3482</v>
      </c>
      <c r="C3327" s="17">
        <v>19900101</v>
      </c>
      <c r="D3327" s="17">
        <v>22991231</v>
      </c>
      <c r="E3327" s="25">
        <v>1553.18</v>
      </c>
    </row>
    <row r="3328" spans="1:5" x14ac:dyDescent="0.3">
      <c r="A3328" s="17" t="str">
        <f>"54437"</f>
        <v>54437</v>
      </c>
      <c r="B3328" s="5" t="s">
        <v>3483</v>
      </c>
      <c r="C3328" s="17">
        <v>20230101</v>
      </c>
      <c r="D3328" s="17">
        <v>22991231</v>
      </c>
      <c r="E3328" s="25">
        <v>1553.18</v>
      </c>
    </row>
    <row r="3329" spans="1:5" x14ac:dyDescent="0.3">
      <c r="A3329" s="17" t="str">
        <f>"54440"</f>
        <v>54440</v>
      </c>
      <c r="B3329" s="5" t="s">
        <v>3484</v>
      </c>
      <c r="C3329" s="17">
        <v>19900101</v>
      </c>
      <c r="D3329" s="17">
        <v>22991231</v>
      </c>
      <c r="E3329" s="25">
        <v>1553.18</v>
      </c>
    </row>
    <row r="3330" spans="1:5" ht="26" x14ac:dyDescent="0.3">
      <c r="A3330" s="17" t="str">
        <f>"54450"</f>
        <v>54450</v>
      </c>
      <c r="B3330" s="5" t="s">
        <v>3485</v>
      </c>
      <c r="C3330" s="17">
        <v>19900101</v>
      </c>
      <c r="D3330" s="17">
        <v>22991231</v>
      </c>
      <c r="E3330" s="25">
        <v>122.45</v>
      </c>
    </row>
    <row r="3331" spans="1:5" x14ac:dyDescent="0.3">
      <c r="A3331" s="17" t="str">
        <f>"54500"</f>
        <v>54500</v>
      </c>
      <c r="B3331" s="5" t="s">
        <v>3486</v>
      </c>
      <c r="C3331" s="17">
        <v>19900101</v>
      </c>
      <c r="D3331" s="17">
        <v>22991231</v>
      </c>
      <c r="E3331" s="25">
        <v>1105.24</v>
      </c>
    </row>
    <row r="3332" spans="1:5" x14ac:dyDescent="0.3">
      <c r="A3332" s="17" t="str">
        <f>"54505"</f>
        <v>54505</v>
      </c>
      <c r="B3332" s="5" t="s">
        <v>3487</v>
      </c>
      <c r="C3332" s="17">
        <v>19900101</v>
      </c>
      <c r="D3332" s="17">
        <v>22991231</v>
      </c>
      <c r="E3332" s="25">
        <v>1553.18</v>
      </c>
    </row>
    <row r="3333" spans="1:5" x14ac:dyDescent="0.3">
      <c r="A3333" s="17" t="str">
        <f>"54512"</f>
        <v>54512</v>
      </c>
      <c r="B3333" s="5" t="s">
        <v>3488</v>
      </c>
      <c r="C3333" s="17">
        <v>20010101</v>
      </c>
      <c r="D3333" s="17">
        <v>22991231</v>
      </c>
      <c r="E3333" s="25">
        <v>1553.18</v>
      </c>
    </row>
    <row r="3334" spans="1:5" x14ac:dyDescent="0.3">
      <c r="A3334" s="17" t="str">
        <f>"54520"</f>
        <v>54520</v>
      </c>
      <c r="B3334" s="5" t="s">
        <v>3489</v>
      </c>
      <c r="C3334" s="17">
        <v>19900101</v>
      </c>
      <c r="D3334" s="17">
        <v>22991231</v>
      </c>
      <c r="E3334" s="25">
        <v>1553.18</v>
      </c>
    </row>
    <row r="3335" spans="1:5" x14ac:dyDescent="0.3">
      <c r="A3335" s="17" t="str">
        <f>"54522"</f>
        <v>54522</v>
      </c>
      <c r="B3335" s="5" t="s">
        <v>3490</v>
      </c>
      <c r="C3335" s="17">
        <v>20010101</v>
      </c>
      <c r="D3335" s="17">
        <v>22991231</v>
      </c>
      <c r="E3335" s="25">
        <v>1553.18</v>
      </c>
    </row>
    <row r="3336" spans="1:5" x14ac:dyDescent="0.3">
      <c r="A3336" s="17" t="str">
        <f>"54530"</f>
        <v>54530</v>
      </c>
      <c r="B3336" s="5" t="s">
        <v>3491</v>
      </c>
      <c r="C3336" s="17">
        <v>19900101</v>
      </c>
      <c r="D3336" s="17">
        <v>22991231</v>
      </c>
      <c r="E3336" s="25">
        <v>1549.07</v>
      </c>
    </row>
    <row r="3337" spans="1:5" x14ac:dyDescent="0.3">
      <c r="A3337" s="17" t="str">
        <f>"54535"</f>
        <v>54535</v>
      </c>
      <c r="B3337" s="5" t="s">
        <v>3492</v>
      </c>
      <c r="C3337" s="17">
        <v>19900101</v>
      </c>
      <c r="D3337" s="17">
        <v>22991231</v>
      </c>
      <c r="E3337" s="24" t="s">
        <v>7128</v>
      </c>
    </row>
    <row r="3338" spans="1:5" ht="26" x14ac:dyDescent="0.3">
      <c r="A3338" s="17" t="str">
        <f>"54550"</f>
        <v>54550</v>
      </c>
      <c r="B3338" s="5" t="s">
        <v>3493</v>
      </c>
      <c r="C3338" s="17">
        <v>19900101</v>
      </c>
      <c r="D3338" s="17">
        <v>22991231</v>
      </c>
      <c r="E3338" s="25">
        <v>1549.07</v>
      </c>
    </row>
    <row r="3339" spans="1:5" x14ac:dyDescent="0.3">
      <c r="A3339" s="17" t="str">
        <f>"54560"</f>
        <v>54560</v>
      </c>
      <c r="B3339" s="5" t="s">
        <v>3494</v>
      </c>
      <c r="C3339" s="17">
        <v>19900101</v>
      </c>
      <c r="D3339" s="17">
        <v>22991231</v>
      </c>
      <c r="E3339" s="25">
        <v>888.17</v>
      </c>
    </row>
    <row r="3340" spans="1:5" x14ac:dyDescent="0.3">
      <c r="A3340" s="17" t="str">
        <f>"54600"</f>
        <v>54600</v>
      </c>
      <c r="B3340" s="5" t="s">
        <v>3495</v>
      </c>
      <c r="C3340" s="17">
        <v>19900101</v>
      </c>
      <c r="D3340" s="17">
        <v>22991231</v>
      </c>
      <c r="E3340" s="25">
        <v>1553.18</v>
      </c>
    </row>
    <row r="3341" spans="1:5" x14ac:dyDescent="0.3">
      <c r="A3341" s="17" t="str">
        <f>"54620"</f>
        <v>54620</v>
      </c>
      <c r="B3341" s="5" t="s">
        <v>3496</v>
      </c>
      <c r="C3341" s="17">
        <v>19900101</v>
      </c>
      <c r="D3341" s="17">
        <v>22991231</v>
      </c>
      <c r="E3341" s="25">
        <v>1553.18</v>
      </c>
    </row>
    <row r="3342" spans="1:5" x14ac:dyDescent="0.3">
      <c r="A3342" s="17" t="str">
        <f>"54640"</f>
        <v>54640</v>
      </c>
      <c r="B3342" s="5" t="s">
        <v>3497</v>
      </c>
      <c r="C3342" s="17">
        <v>19900101</v>
      </c>
      <c r="D3342" s="17">
        <v>22991231</v>
      </c>
      <c r="E3342" s="25">
        <v>1549.07</v>
      </c>
    </row>
    <row r="3343" spans="1:5" x14ac:dyDescent="0.3">
      <c r="A3343" s="17" t="str">
        <f>"54650"</f>
        <v>54650</v>
      </c>
      <c r="B3343" s="5" t="s">
        <v>3498</v>
      </c>
      <c r="C3343" s="17">
        <v>19940101</v>
      </c>
      <c r="D3343" s="17">
        <v>22991231</v>
      </c>
      <c r="E3343" s="25">
        <v>1549.07</v>
      </c>
    </row>
    <row r="3344" spans="1:5" x14ac:dyDescent="0.3">
      <c r="A3344" s="17" t="str">
        <f>"54660"</f>
        <v>54660</v>
      </c>
      <c r="B3344" s="5" t="s">
        <v>3499</v>
      </c>
      <c r="C3344" s="17">
        <v>19900101</v>
      </c>
      <c r="D3344" s="17">
        <v>22991231</v>
      </c>
      <c r="E3344" s="25">
        <v>3327.7</v>
      </c>
    </row>
    <row r="3345" spans="1:5" x14ac:dyDescent="0.3">
      <c r="A3345" s="17" t="str">
        <f>"54670"</f>
        <v>54670</v>
      </c>
      <c r="B3345" s="5" t="s">
        <v>3500</v>
      </c>
      <c r="C3345" s="17">
        <v>19900101</v>
      </c>
      <c r="D3345" s="17">
        <v>22991231</v>
      </c>
      <c r="E3345" s="25">
        <v>1553.18</v>
      </c>
    </row>
    <row r="3346" spans="1:5" x14ac:dyDescent="0.3">
      <c r="A3346" s="17" t="str">
        <f>"54680"</f>
        <v>54680</v>
      </c>
      <c r="B3346" s="5" t="s">
        <v>3501</v>
      </c>
      <c r="C3346" s="17">
        <v>19900101</v>
      </c>
      <c r="D3346" s="17">
        <v>22991231</v>
      </c>
      <c r="E3346" s="25">
        <v>1553.18</v>
      </c>
    </row>
    <row r="3347" spans="1:5" x14ac:dyDescent="0.3">
      <c r="A3347" s="17" t="str">
        <f>"54690"</f>
        <v>54690</v>
      </c>
      <c r="B3347" s="5" t="s">
        <v>3502</v>
      </c>
      <c r="C3347" s="17">
        <v>20000101</v>
      </c>
      <c r="D3347" s="17">
        <v>22991231</v>
      </c>
      <c r="E3347" s="25">
        <v>2584.12</v>
      </c>
    </row>
    <row r="3348" spans="1:5" ht="26" x14ac:dyDescent="0.3">
      <c r="A3348" s="17" t="str">
        <f>"54692"</f>
        <v>54692</v>
      </c>
      <c r="B3348" s="5" t="s">
        <v>3503</v>
      </c>
      <c r="C3348" s="17">
        <v>20000101</v>
      </c>
      <c r="D3348" s="17">
        <v>22991231</v>
      </c>
      <c r="E3348" s="25">
        <v>2584.12</v>
      </c>
    </row>
    <row r="3349" spans="1:5" x14ac:dyDescent="0.3">
      <c r="A3349" s="17" t="str">
        <f>"54699"</f>
        <v>54699</v>
      </c>
      <c r="B3349" s="5" t="s">
        <v>3504</v>
      </c>
      <c r="C3349" s="17">
        <v>20000101</v>
      </c>
      <c r="D3349" s="17">
        <v>22991231</v>
      </c>
      <c r="E3349" s="24" t="s">
        <v>7128</v>
      </c>
    </row>
    <row r="3350" spans="1:5" ht="26" x14ac:dyDescent="0.3">
      <c r="A3350" s="17" t="str">
        <f>"54700"</f>
        <v>54700</v>
      </c>
      <c r="B3350" s="5" t="s">
        <v>3505</v>
      </c>
      <c r="C3350" s="17">
        <v>19900101</v>
      </c>
      <c r="D3350" s="17">
        <v>22991231</v>
      </c>
      <c r="E3350" s="25">
        <v>888.17</v>
      </c>
    </row>
    <row r="3351" spans="1:5" x14ac:dyDescent="0.3">
      <c r="A3351" s="17" t="str">
        <f>"54800"</f>
        <v>54800</v>
      </c>
      <c r="B3351" s="5" t="s">
        <v>3506</v>
      </c>
      <c r="C3351" s="17">
        <v>19900101</v>
      </c>
      <c r="D3351" s="17">
        <v>22991231</v>
      </c>
      <c r="E3351" s="25">
        <v>652.27</v>
      </c>
    </row>
    <row r="3352" spans="1:5" x14ac:dyDescent="0.3">
      <c r="A3352" s="17" t="str">
        <f>"54830"</f>
        <v>54830</v>
      </c>
      <c r="B3352" s="5" t="s">
        <v>3507</v>
      </c>
      <c r="C3352" s="17">
        <v>19900101</v>
      </c>
      <c r="D3352" s="17">
        <v>22991231</v>
      </c>
      <c r="E3352" s="25">
        <v>1553.18</v>
      </c>
    </row>
    <row r="3353" spans="1:5" ht="26" x14ac:dyDescent="0.3">
      <c r="A3353" s="17" t="str">
        <f>"54840"</f>
        <v>54840</v>
      </c>
      <c r="B3353" s="5" t="s">
        <v>3508</v>
      </c>
      <c r="C3353" s="17">
        <v>19900101</v>
      </c>
      <c r="D3353" s="17">
        <v>22991231</v>
      </c>
      <c r="E3353" s="25">
        <v>888.17</v>
      </c>
    </row>
    <row r="3354" spans="1:5" x14ac:dyDescent="0.3">
      <c r="A3354" s="17" t="str">
        <f>"54860"</f>
        <v>54860</v>
      </c>
      <c r="B3354" s="5" t="s">
        <v>3509</v>
      </c>
      <c r="C3354" s="17">
        <v>19900101</v>
      </c>
      <c r="D3354" s="17">
        <v>22991231</v>
      </c>
      <c r="E3354" s="25">
        <v>1553.18</v>
      </c>
    </row>
    <row r="3355" spans="1:5" x14ac:dyDescent="0.3">
      <c r="A3355" s="17" t="str">
        <f>"54861"</f>
        <v>54861</v>
      </c>
      <c r="B3355" s="5" t="s">
        <v>3510</v>
      </c>
      <c r="C3355" s="17">
        <v>19900101</v>
      </c>
      <c r="D3355" s="17">
        <v>22991231</v>
      </c>
      <c r="E3355" s="25">
        <v>1553.18</v>
      </c>
    </row>
    <row r="3356" spans="1:5" x14ac:dyDescent="0.3">
      <c r="A3356" s="17" t="str">
        <f>"54865"</f>
        <v>54865</v>
      </c>
      <c r="B3356" s="5" t="s">
        <v>3511</v>
      </c>
      <c r="C3356" s="17">
        <v>20070101</v>
      </c>
      <c r="D3356" s="17">
        <v>22991231</v>
      </c>
      <c r="E3356" s="25">
        <v>1553.18</v>
      </c>
    </row>
    <row r="3357" spans="1:5" x14ac:dyDescent="0.3">
      <c r="A3357" s="17" t="str">
        <f>"54900"</f>
        <v>54900</v>
      </c>
      <c r="B3357" s="5" t="s">
        <v>3512</v>
      </c>
      <c r="C3357" s="17">
        <v>20230101</v>
      </c>
      <c r="D3357" s="17">
        <v>22991231</v>
      </c>
      <c r="E3357" s="25">
        <v>888.17</v>
      </c>
    </row>
    <row r="3358" spans="1:5" ht="26" x14ac:dyDescent="0.3">
      <c r="A3358" s="17" t="str">
        <f>"54901"</f>
        <v>54901</v>
      </c>
      <c r="B3358" s="5" t="s">
        <v>3513</v>
      </c>
      <c r="C3358" s="17">
        <v>20230101</v>
      </c>
      <c r="D3358" s="17">
        <v>22991231</v>
      </c>
      <c r="E3358" s="25">
        <v>1553.18</v>
      </c>
    </row>
    <row r="3359" spans="1:5" ht="26" x14ac:dyDescent="0.3">
      <c r="A3359" s="17" t="str">
        <f>"55000"</f>
        <v>55000</v>
      </c>
      <c r="B3359" s="5" t="s">
        <v>3514</v>
      </c>
      <c r="C3359" s="17">
        <v>19900101</v>
      </c>
      <c r="D3359" s="17">
        <v>22991231</v>
      </c>
      <c r="E3359" s="25">
        <v>62.87</v>
      </c>
    </row>
    <row r="3360" spans="1:5" ht="26" x14ac:dyDescent="0.3">
      <c r="A3360" s="17" t="str">
        <f>"55040"</f>
        <v>55040</v>
      </c>
      <c r="B3360" s="5" t="s">
        <v>3515</v>
      </c>
      <c r="C3360" s="17">
        <v>19900101</v>
      </c>
      <c r="D3360" s="17">
        <v>22991231</v>
      </c>
      <c r="E3360" s="25">
        <v>1549.07</v>
      </c>
    </row>
    <row r="3361" spans="1:5" ht="26" x14ac:dyDescent="0.3">
      <c r="A3361" s="17" t="str">
        <f>"55041"</f>
        <v>55041</v>
      </c>
      <c r="B3361" s="5" t="s">
        <v>3516</v>
      </c>
      <c r="C3361" s="17">
        <v>19900101</v>
      </c>
      <c r="D3361" s="17">
        <v>22991231</v>
      </c>
      <c r="E3361" s="25">
        <v>1549.07</v>
      </c>
    </row>
    <row r="3362" spans="1:5" ht="26" x14ac:dyDescent="0.3">
      <c r="A3362" s="17" t="str">
        <f>"55060"</f>
        <v>55060</v>
      </c>
      <c r="B3362" s="5" t="s">
        <v>3517</v>
      </c>
      <c r="C3362" s="17">
        <v>19900101</v>
      </c>
      <c r="D3362" s="17">
        <v>22991231</v>
      </c>
      <c r="E3362" s="25">
        <v>1553.18</v>
      </c>
    </row>
    <row r="3363" spans="1:5" x14ac:dyDescent="0.3">
      <c r="A3363" s="17" t="str">
        <f>"55100"</f>
        <v>55100</v>
      </c>
      <c r="B3363" s="5" t="s">
        <v>3518</v>
      </c>
      <c r="C3363" s="17">
        <v>19900101</v>
      </c>
      <c r="D3363" s="17">
        <v>22991231</v>
      </c>
      <c r="E3363" s="25">
        <v>652.27</v>
      </c>
    </row>
    <row r="3364" spans="1:5" x14ac:dyDescent="0.3">
      <c r="A3364" s="17" t="str">
        <f>"55110"</f>
        <v>55110</v>
      </c>
      <c r="B3364" s="5" t="s">
        <v>3519</v>
      </c>
      <c r="C3364" s="17">
        <v>19900101</v>
      </c>
      <c r="D3364" s="17">
        <v>22991231</v>
      </c>
      <c r="E3364" s="25">
        <v>1553.18</v>
      </c>
    </row>
    <row r="3365" spans="1:5" x14ac:dyDescent="0.3">
      <c r="A3365" s="17" t="str">
        <f>"55120"</f>
        <v>55120</v>
      </c>
      <c r="B3365" s="5" t="s">
        <v>3520</v>
      </c>
      <c r="C3365" s="17">
        <v>19900101</v>
      </c>
      <c r="D3365" s="17">
        <v>22991231</v>
      </c>
      <c r="E3365" s="25">
        <v>888.17</v>
      </c>
    </row>
    <row r="3366" spans="1:5" x14ac:dyDescent="0.3">
      <c r="A3366" s="17" t="str">
        <f>"55150"</f>
        <v>55150</v>
      </c>
      <c r="B3366" s="5" t="s">
        <v>3521</v>
      </c>
      <c r="C3366" s="17">
        <v>20030701</v>
      </c>
      <c r="D3366" s="17">
        <v>22991231</v>
      </c>
      <c r="E3366" s="25">
        <v>1553.18</v>
      </c>
    </row>
    <row r="3367" spans="1:5" x14ac:dyDescent="0.3">
      <c r="A3367" s="17" t="str">
        <f>"55175"</f>
        <v>55175</v>
      </c>
      <c r="B3367" s="5" t="s">
        <v>3522</v>
      </c>
      <c r="C3367" s="17">
        <v>19900101</v>
      </c>
      <c r="D3367" s="17">
        <v>22991231</v>
      </c>
      <c r="E3367" s="25">
        <v>1553.18</v>
      </c>
    </row>
    <row r="3368" spans="1:5" x14ac:dyDescent="0.3">
      <c r="A3368" s="17" t="str">
        <f>"55180"</f>
        <v>55180</v>
      </c>
      <c r="B3368" s="5" t="s">
        <v>3523</v>
      </c>
      <c r="C3368" s="17">
        <v>19900101</v>
      </c>
      <c r="D3368" s="17">
        <v>22991231</v>
      </c>
      <c r="E3368" s="25">
        <v>2360.33</v>
      </c>
    </row>
    <row r="3369" spans="1:5" x14ac:dyDescent="0.3">
      <c r="A3369" s="17" t="str">
        <f>"55200"</f>
        <v>55200</v>
      </c>
      <c r="B3369" s="5" t="s">
        <v>3524</v>
      </c>
      <c r="C3369" s="17">
        <v>20030701</v>
      </c>
      <c r="D3369" s="17">
        <v>22991231</v>
      </c>
      <c r="E3369" s="25">
        <v>1553.18</v>
      </c>
    </row>
    <row r="3370" spans="1:5" x14ac:dyDescent="0.3">
      <c r="A3370" s="17" t="str">
        <f>"55250"</f>
        <v>55250</v>
      </c>
      <c r="B3370" s="5" t="s">
        <v>3525</v>
      </c>
      <c r="C3370" s="17">
        <v>19900101</v>
      </c>
      <c r="D3370" s="17">
        <v>22991231</v>
      </c>
      <c r="E3370" s="25">
        <v>888.17</v>
      </c>
    </row>
    <row r="3371" spans="1:5" x14ac:dyDescent="0.3">
      <c r="A3371" s="17" t="str">
        <f>"55300"</f>
        <v>55300</v>
      </c>
      <c r="B3371" s="5" t="s">
        <v>3526</v>
      </c>
      <c r="C3371" s="17">
        <v>20030701</v>
      </c>
      <c r="D3371" s="17">
        <v>22991231</v>
      </c>
      <c r="E3371" s="25">
        <v>0</v>
      </c>
    </row>
    <row r="3372" spans="1:5" x14ac:dyDescent="0.3">
      <c r="A3372" s="17" t="str">
        <f>"55400"</f>
        <v>55400</v>
      </c>
      <c r="B3372" s="5" t="s">
        <v>3527</v>
      </c>
      <c r="C3372" s="17">
        <v>20030701</v>
      </c>
      <c r="D3372" s="17">
        <v>22991231</v>
      </c>
      <c r="E3372" s="25">
        <v>1553.18</v>
      </c>
    </row>
    <row r="3373" spans="1:5" x14ac:dyDescent="0.3">
      <c r="A3373" s="17" t="str">
        <f>"55500"</f>
        <v>55500</v>
      </c>
      <c r="B3373" s="5" t="s">
        <v>3528</v>
      </c>
      <c r="C3373" s="17">
        <v>19900101</v>
      </c>
      <c r="D3373" s="17">
        <v>22991231</v>
      </c>
      <c r="E3373" s="25">
        <v>1553.18</v>
      </c>
    </row>
    <row r="3374" spans="1:5" x14ac:dyDescent="0.3">
      <c r="A3374" s="17" t="str">
        <f>"55520"</f>
        <v>55520</v>
      </c>
      <c r="B3374" s="5" t="s">
        <v>3529</v>
      </c>
      <c r="C3374" s="17">
        <v>20030701</v>
      </c>
      <c r="D3374" s="17">
        <v>22991231</v>
      </c>
      <c r="E3374" s="25">
        <v>1553.18</v>
      </c>
    </row>
    <row r="3375" spans="1:5" ht="26" x14ac:dyDescent="0.3">
      <c r="A3375" s="17" t="str">
        <f>"55530"</f>
        <v>55530</v>
      </c>
      <c r="B3375" s="5" t="s">
        <v>3530</v>
      </c>
      <c r="C3375" s="17">
        <v>20030701</v>
      </c>
      <c r="D3375" s="17">
        <v>22991231</v>
      </c>
      <c r="E3375" s="25">
        <v>1553.18</v>
      </c>
    </row>
    <row r="3376" spans="1:5" ht="26" x14ac:dyDescent="0.3">
      <c r="A3376" s="17" t="str">
        <f>"55535"</f>
        <v>55535</v>
      </c>
      <c r="B3376" s="5" t="s">
        <v>3531</v>
      </c>
      <c r="C3376" s="17">
        <v>19900101</v>
      </c>
      <c r="D3376" s="17">
        <v>22991231</v>
      </c>
      <c r="E3376" s="25">
        <v>3555.44</v>
      </c>
    </row>
    <row r="3377" spans="1:5" ht="26" x14ac:dyDescent="0.3">
      <c r="A3377" s="17" t="str">
        <f>"55540"</f>
        <v>55540</v>
      </c>
      <c r="B3377" s="5" t="s">
        <v>3532</v>
      </c>
      <c r="C3377" s="17">
        <v>19900101</v>
      </c>
      <c r="D3377" s="17">
        <v>22991231</v>
      </c>
      <c r="E3377" s="25">
        <v>1549.07</v>
      </c>
    </row>
    <row r="3378" spans="1:5" x14ac:dyDescent="0.3">
      <c r="A3378" s="17" t="str">
        <f>"55550"</f>
        <v>55550</v>
      </c>
      <c r="B3378" s="5" t="s">
        <v>3533</v>
      </c>
      <c r="C3378" s="17">
        <v>20000101</v>
      </c>
      <c r="D3378" s="17">
        <v>22991231</v>
      </c>
      <c r="E3378" s="25">
        <v>2584.12</v>
      </c>
    </row>
    <row r="3379" spans="1:5" ht="26" x14ac:dyDescent="0.3">
      <c r="A3379" s="17" t="str">
        <f>"55559"</f>
        <v>55559</v>
      </c>
      <c r="B3379" s="5" t="s">
        <v>3534</v>
      </c>
      <c r="C3379" s="17">
        <v>20000101</v>
      </c>
      <c r="D3379" s="17">
        <v>22991231</v>
      </c>
      <c r="E3379" s="24" t="s">
        <v>7128</v>
      </c>
    </row>
    <row r="3380" spans="1:5" ht="26" x14ac:dyDescent="0.3">
      <c r="A3380" s="17" t="str">
        <f>"55600"</f>
        <v>55600</v>
      </c>
      <c r="B3380" s="5" t="s">
        <v>3535</v>
      </c>
      <c r="C3380" s="17">
        <v>19900101</v>
      </c>
      <c r="D3380" s="17">
        <v>22991231</v>
      </c>
      <c r="E3380" s="25">
        <v>888.17</v>
      </c>
    </row>
    <row r="3381" spans="1:5" ht="26" x14ac:dyDescent="0.3">
      <c r="A3381" s="17" t="str">
        <f>"55680"</f>
        <v>55680</v>
      </c>
      <c r="B3381" s="5" t="s">
        <v>3536</v>
      </c>
      <c r="C3381" s="17">
        <v>19900101</v>
      </c>
      <c r="D3381" s="17">
        <v>22991231</v>
      </c>
      <c r="E3381" s="25">
        <v>1553.18</v>
      </c>
    </row>
    <row r="3382" spans="1:5" x14ac:dyDescent="0.3">
      <c r="A3382" s="17" t="str">
        <f>"55700"</f>
        <v>55700</v>
      </c>
      <c r="B3382" s="5" t="s">
        <v>3537</v>
      </c>
      <c r="C3382" s="17">
        <v>19900101</v>
      </c>
      <c r="D3382" s="17">
        <v>22991231</v>
      </c>
      <c r="E3382" s="25">
        <v>888.17</v>
      </c>
    </row>
    <row r="3383" spans="1:5" x14ac:dyDescent="0.3">
      <c r="A3383" s="17" t="str">
        <f>"55705"</f>
        <v>55705</v>
      </c>
      <c r="B3383" s="5" t="s">
        <v>3538</v>
      </c>
      <c r="C3383" s="17">
        <v>19900101</v>
      </c>
      <c r="D3383" s="17">
        <v>22991231</v>
      </c>
      <c r="E3383" s="25">
        <v>1553.18</v>
      </c>
    </row>
    <row r="3384" spans="1:5" ht="26" x14ac:dyDescent="0.3">
      <c r="A3384" s="17" t="str">
        <f>"55706"</f>
        <v>55706</v>
      </c>
      <c r="B3384" s="5" t="s">
        <v>3539</v>
      </c>
      <c r="C3384" s="17">
        <v>20090101</v>
      </c>
      <c r="D3384" s="17">
        <v>22991231</v>
      </c>
      <c r="E3384" s="25">
        <v>1553.18</v>
      </c>
    </row>
    <row r="3385" spans="1:5" ht="26" x14ac:dyDescent="0.3">
      <c r="A3385" s="17" t="str">
        <f>"55720"</f>
        <v>55720</v>
      </c>
      <c r="B3385" s="5" t="s">
        <v>3540</v>
      </c>
      <c r="C3385" s="17">
        <v>19900101</v>
      </c>
      <c r="D3385" s="17">
        <v>22991231</v>
      </c>
      <c r="E3385" s="25">
        <v>1553.18</v>
      </c>
    </row>
    <row r="3386" spans="1:5" ht="26" x14ac:dyDescent="0.3">
      <c r="A3386" s="17" t="str">
        <f>"55725"</f>
        <v>55725</v>
      </c>
      <c r="B3386" s="5" t="s">
        <v>3541</v>
      </c>
      <c r="C3386" s="17">
        <v>19900101</v>
      </c>
      <c r="D3386" s="17">
        <v>22991231</v>
      </c>
      <c r="E3386" s="25">
        <v>1553.18</v>
      </c>
    </row>
    <row r="3387" spans="1:5" ht="26" x14ac:dyDescent="0.3">
      <c r="A3387" s="17" t="str">
        <f>"55860"</f>
        <v>55860</v>
      </c>
      <c r="B3387" s="5" t="s">
        <v>3542</v>
      </c>
      <c r="C3387" s="17">
        <v>19900101</v>
      </c>
      <c r="D3387" s="17">
        <v>22991231</v>
      </c>
      <c r="E3387" s="25">
        <v>2360.33</v>
      </c>
    </row>
    <row r="3388" spans="1:5" x14ac:dyDescent="0.3">
      <c r="A3388" s="17" t="str">
        <f>"55870"</f>
        <v>55870</v>
      </c>
      <c r="B3388" s="5" t="s">
        <v>3543</v>
      </c>
      <c r="C3388" s="17">
        <v>19920115</v>
      </c>
      <c r="D3388" s="17">
        <v>22991231</v>
      </c>
      <c r="E3388" s="25">
        <v>76.94</v>
      </c>
    </row>
    <row r="3389" spans="1:5" x14ac:dyDescent="0.3">
      <c r="A3389" s="17" t="str">
        <f>"55873"</f>
        <v>55873</v>
      </c>
      <c r="B3389" s="5" t="s">
        <v>3544</v>
      </c>
      <c r="C3389" s="17">
        <v>20010101</v>
      </c>
      <c r="D3389" s="17">
        <v>22991231</v>
      </c>
      <c r="E3389" s="25">
        <v>6236.2</v>
      </c>
    </row>
    <row r="3390" spans="1:5" ht="26" x14ac:dyDescent="0.3">
      <c r="A3390" s="17" t="str">
        <f>"55874"</f>
        <v>55874</v>
      </c>
      <c r="B3390" s="5" t="s">
        <v>3545</v>
      </c>
      <c r="C3390" s="17">
        <v>20180101</v>
      </c>
      <c r="D3390" s="17">
        <v>22991231</v>
      </c>
      <c r="E3390" s="25">
        <v>3576.76</v>
      </c>
    </row>
    <row r="3391" spans="1:5" ht="26" x14ac:dyDescent="0.3">
      <c r="A3391" s="17" t="str">
        <f>"55875"</f>
        <v>55875</v>
      </c>
      <c r="B3391" s="5" t="s">
        <v>3546</v>
      </c>
      <c r="C3391" s="17">
        <v>20230101</v>
      </c>
      <c r="D3391" s="17">
        <v>22991231</v>
      </c>
      <c r="E3391" s="25">
        <v>2360.33</v>
      </c>
    </row>
    <row r="3392" spans="1:5" ht="26" x14ac:dyDescent="0.3">
      <c r="A3392" s="17" t="str">
        <f>"55876"</f>
        <v>55876</v>
      </c>
      <c r="B3392" s="5" t="s">
        <v>3547</v>
      </c>
      <c r="C3392" s="17">
        <v>20230101</v>
      </c>
      <c r="D3392" s="17">
        <v>22991231</v>
      </c>
      <c r="E3392" s="25">
        <v>879.22</v>
      </c>
    </row>
    <row r="3393" spans="1:5" ht="39" x14ac:dyDescent="0.3">
      <c r="A3393" s="17" t="str">
        <f>"55880"</f>
        <v>55880</v>
      </c>
      <c r="B3393" s="5" t="s">
        <v>3548</v>
      </c>
      <c r="C3393" s="17">
        <v>20210101</v>
      </c>
      <c r="D3393" s="17">
        <v>22991231</v>
      </c>
      <c r="E3393" s="25">
        <v>4341.6400000000003</v>
      </c>
    </row>
    <row r="3394" spans="1:5" x14ac:dyDescent="0.3">
      <c r="A3394" s="17" t="str">
        <f>"55899"</f>
        <v>55899</v>
      </c>
      <c r="B3394" s="5" t="s">
        <v>3549</v>
      </c>
      <c r="C3394" s="17">
        <v>19900101</v>
      </c>
      <c r="D3394" s="17">
        <v>22991231</v>
      </c>
      <c r="E3394" s="24" t="s">
        <v>7128</v>
      </c>
    </row>
    <row r="3395" spans="1:5" ht="26" x14ac:dyDescent="0.3">
      <c r="A3395" s="17" t="str">
        <f>"55920"</f>
        <v>55920</v>
      </c>
      <c r="B3395" s="5" t="s">
        <v>3550</v>
      </c>
      <c r="C3395" s="17">
        <v>20080101</v>
      </c>
      <c r="D3395" s="17">
        <v>22991231</v>
      </c>
      <c r="E3395" s="25">
        <v>2039.79</v>
      </c>
    </row>
    <row r="3396" spans="1:5" ht="26" x14ac:dyDescent="0.3">
      <c r="A3396" s="17" t="str">
        <f>"56405"</f>
        <v>56405</v>
      </c>
      <c r="B3396" s="5" t="s">
        <v>3551</v>
      </c>
      <c r="C3396" s="17">
        <v>19930101</v>
      </c>
      <c r="D3396" s="17">
        <v>22991231</v>
      </c>
      <c r="E3396" s="25">
        <v>84.44</v>
      </c>
    </row>
    <row r="3397" spans="1:5" ht="26" x14ac:dyDescent="0.3">
      <c r="A3397" s="17" t="str">
        <f>"56420"</f>
        <v>56420</v>
      </c>
      <c r="B3397" s="5" t="s">
        <v>3552</v>
      </c>
      <c r="C3397" s="17">
        <v>19900101</v>
      </c>
      <c r="D3397" s="17">
        <v>22991231</v>
      </c>
      <c r="E3397" s="25">
        <v>98.73</v>
      </c>
    </row>
    <row r="3398" spans="1:5" ht="26" x14ac:dyDescent="0.3">
      <c r="A3398" s="17" t="str">
        <f>"56440"</f>
        <v>56440</v>
      </c>
      <c r="B3398" s="5" t="s">
        <v>3553</v>
      </c>
      <c r="C3398" s="17">
        <v>19900101</v>
      </c>
      <c r="D3398" s="17">
        <v>22991231</v>
      </c>
      <c r="E3398" s="25">
        <v>1515.11</v>
      </c>
    </row>
    <row r="3399" spans="1:5" x14ac:dyDescent="0.3">
      <c r="A3399" s="17" t="str">
        <f>"56441"</f>
        <v>56441</v>
      </c>
      <c r="B3399" s="5" t="s">
        <v>3554</v>
      </c>
      <c r="C3399" s="17">
        <v>19910401</v>
      </c>
      <c r="D3399" s="17">
        <v>22991231</v>
      </c>
      <c r="E3399" s="25">
        <v>1515.11</v>
      </c>
    </row>
    <row r="3400" spans="1:5" x14ac:dyDescent="0.3">
      <c r="A3400" s="17" t="str">
        <f>"56442"</f>
        <v>56442</v>
      </c>
      <c r="B3400" s="5" t="s">
        <v>3555</v>
      </c>
      <c r="C3400" s="17">
        <v>20070101</v>
      </c>
      <c r="D3400" s="17">
        <v>22991231</v>
      </c>
      <c r="E3400" s="25">
        <v>1515.11</v>
      </c>
    </row>
    <row r="3401" spans="1:5" ht="26" x14ac:dyDescent="0.3">
      <c r="A3401" s="17" t="str">
        <f>"56501"</f>
        <v>56501</v>
      </c>
      <c r="B3401" s="5" t="s">
        <v>3556</v>
      </c>
      <c r="C3401" s="17">
        <v>19900101</v>
      </c>
      <c r="D3401" s="17">
        <v>22991231</v>
      </c>
      <c r="E3401" s="25">
        <v>125.11</v>
      </c>
    </row>
    <row r="3402" spans="1:5" ht="26" x14ac:dyDescent="0.3">
      <c r="A3402" s="17" t="str">
        <f>"56515"</f>
        <v>56515</v>
      </c>
      <c r="B3402" s="5" t="s">
        <v>3557</v>
      </c>
      <c r="C3402" s="17">
        <v>19900101</v>
      </c>
      <c r="D3402" s="17">
        <v>22991231</v>
      </c>
      <c r="E3402" s="25">
        <v>903.54</v>
      </c>
    </row>
    <row r="3403" spans="1:5" ht="26" x14ac:dyDescent="0.3">
      <c r="A3403" s="17" t="str">
        <f>"56605"</f>
        <v>56605</v>
      </c>
      <c r="B3403" s="5" t="s">
        <v>3558</v>
      </c>
      <c r="C3403" s="17">
        <v>19930101</v>
      </c>
      <c r="D3403" s="17">
        <v>22991231</v>
      </c>
      <c r="E3403" s="25">
        <v>50.98</v>
      </c>
    </row>
    <row r="3404" spans="1:5" ht="26" x14ac:dyDescent="0.3">
      <c r="A3404" s="17" t="str">
        <f>"56606"</f>
        <v>56606</v>
      </c>
      <c r="B3404" s="5" t="s">
        <v>3559</v>
      </c>
      <c r="C3404" s="17">
        <v>19930101</v>
      </c>
      <c r="D3404" s="17">
        <v>22991231</v>
      </c>
      <c r="E3404" s="25">
        <v>0</v>
      </c>
    </row>
    <row r="3405" spans="1:5" ht="26" x14ac:dyDescent="0.3">
      <c r="A3405" s="17" t="str">
        <f>"56620"</f>
        <v>56620</v>
      </c>
      <c r="B3405" s="5" t="s">
        <v>3560</v>
      </c>
      <c r="C3405" s="17">
        <v>19900101</v>
      </c>
      <c r="D3405" s="17">
        <v>22991231</v>
      </c>
      <c r="E3405" s="25">
        <v>1515.11</v>
      </c>
    </row>
    <row r="3406" spans="1:5" x14ac:dyDescent="0.3">
      <c r="A3406" s="17" t="str">
        <f>"56625"</f>
        <v>56625</v>
      </c>
      <c r="B3406" s="5" t="s">
        <v>3561</v>
      </c>
      <c r="C3406" s="17">
        <v>19900101</v>
      </c>
      <c r="D3406" s="17">
        <v>22991231</v>
      </c>
      <c r="E3406" s="25">
        <v>1515.11</v>
      </c>
    </row>
    <row r="3407" spans="1:5" x14ac:dyDescent="0.3">
      <c r="A3407" s="17" t="str">
        <f>"56700"</f>
        <v>56700</v>
      </c>
      <c r="B3407" s="5" t="s">
        <v>3562</v>
      </c>
      <c r="C3407" s="17">
        <v>19900101</v>
      </c>
      <c r="D3407" s="17">
        <v>22991231</v>
      </c>
      <c r="E3407" s="25">
        <v>1515.11</v>
      </c>
    </row>
    <row r="3408" spans="1:5" x14ac:dyDescent="0.3">
      <c r="A3408" s="17" t="str">
        <f>"56740"</f>
        <v>56740</v>
      </c>
      <c r="B3408" s="5" t="s">
        <v>3563</v>
      </c>
      <c r="C3408" s="17">
        <v>19900101</v>
      </c>
      <c r="D3408" s="17">
        <v>22991231</v>
      </c>
      <c r="E3408" s="25">
        <v>1515.11</v>
      </c>
    </row>
    <row r="3409" spans="1:5" x14ac:dyDescent="0.3">
      <c r="A3409" s="17" t="str">
        <f>"56800"</f>
        <v>56800</v>
      </c>
      <c r="B3409" s="5" t="s">
        <v>3564</v>
      </c>
      <c r="C3409" s="17">
        <v>19900101</v>
      </c>
      <c r="D3409" s="17">
        <v>22991231</v>
      </c>
      <c r="E3409" s="25">
        <v>1515.11</v>
      </c>
    </row>
    <row r="3410" spans="1:5" ht="26" x14ac:dyDescent="0.3">
      <c r="A3410" s="17" t="str">
        <f>"56805"</f>
        <v>56805</v>
      </c>
      <c r="B3410" s="5" t="s">
        <v>3565</v>
      </c>
      <c r="C3410" s="17">
        <v>19920115</v>
      </c>
      <c r="D3410" s="17">
        <v>22991231</v>
      </c>
      <c r="E3410" s="25">
        <v>1515.11</v>
      </c>
    </row>
    <row r="3411" spans="1:5" x14ac:dyDescent="0.3">
      <c r="A3411" s="17" t="str">
        <f>"56810"</f>
        <v>56810</v>
      </c>
      <c r="B3411" s="5" t="s">
        <v>3566</v>
      </c>
      <c r="C3411" s="17">
        <v>19930101</v>
      </c>
      <c r="D3411" s="17">
        <v>22991231</v>
      </c>
      <c r="E3411" s="25">
        <v>1515.11</v>
      </c>
    </row>
    <row r="3412" spans="1:5" ht="26" x14ac:dyDescent="0.3">
      <c r="A3412" s="17" t="str">
        <f>"56820"</f>
        <v>56820</v>
      </c>
      <c r="B3412" s="5" t="s">
        <v>3567</v>
      </c>
      <c r="C3412" s="17">
        <v>20230101</v>
      </c>
      <c r="D3412" s="17">
        <v>22991231</v>
      </c>
      <c r="E3412" s="25">
        <v>64.12</v>
      </c>
    </row>
    <row r="3413" spans="1:5" ht="26" x14ac:dyDescent="0.3">
      <c r="A3413" s="17" t="str">
        <f>"56821"</f>
        <v>56821</v>
      </c>
      <c r="B3413" s="5" t="s">
        <v>3568</v>
      </c>
      <c r="C3413" s="17">
        <v>20230101</v>
      </c>
      <c r="D3413" s="17">
        <v>22991231</v>
      </c>
      <c r="E3413" s="25">
        <v>83.81</v>
      </c>
    </row>
    <row r="3414" spans="1:5" x14ac:dyDescent="0.3">
      <c r="A3414" s="17" t="str">
        <f>"57000"</f>
        <v>57000</v>
      </c>
      <c r="B3414" s="5" t="s">
        <v>3569</v>
      </c>
      <c r="C3414" s="17">
        <v>19900101</v>
      </c>
      <c r="D3414" s="17">
        <v>22991231</v>
      </c>
      <c r="E3414" s="25">
        <v>1515.11</v>
      </c>
    </row>
    <row r="3415" spans="1:5" x14ac:dyDescent="0.3">
      <c r="A3415" s="17" t="str">
        <f>"57010"</f>
        <v>57010</v>
      </c>
      <c r="B3415" s="5" t="s">
        <v>3570</v>
      </c>
      <c r="C3415" s="17">
        <v>19900101</v>
      </c>
      <c r="D3415" s="17">
        <v>22991231</v>
      </c>
      <c r="E3415" s="25">
        <v>1515.11</v>
      </c>
    </row>
    <row r="3416" spans="1:5" x14ac:dyDescent="0.3">
      <c r="A3416" s="17" t="str">
        <f>"57020"</f>
        <v>57020</v>
      </c>
      <c r="B3416" s="5" t="s">
        <v>3571</v>
      </c>
      <c r="C3416" s="17">
        <v>19900101</v>
      </c>
      <c r="D3416" s="17">
        <v>22991231</v>
      </c>
      <c r="E3416" s="25">
        <v>2039.79</v>
      </c>
    </row>
    <row r="3417" spans="1:5" ht="26" x14ac:dyDescent="0.3">
      <c r="A3417" s="17" t="str">
        <f>"57022"</f>
        <v>57022</v>
      </c>
      <c r="B3417" s="5" t="s">
        <v>3572</v>
      </c>
      <c r="C3417" s="17">
        <v>20010101</v>
      </c>
      <c r="D3417" s="17">
        <v>22991231</v>
      </c>
      <c r="E3417" s="25">
        <v>1105.24</v>
      </c>
    </row>
    <row r="3418" spans="1:5" ht="26" x14ac:dyDescent="0.3">
      <c r="A3418" s="17" t="str">
        <f>"57023"</f>
        <v>57023</v>
      </c>
      <c r="B3418" s="5" t="s">
        <v>3573</v>
      </c>
      <c r="C3418" s="17">
        <v>20010101</v>
      </c>
      <c r="D3418" s="17">
        <v>22991231</v>
      </c>
      <c r="E3418" s="25">
        <v>1105.24</v>
      </c>
    </row>
    <row r="3419" spans="1:5" x14ac:dyDescent="0.3">
      <c r="A3419" s="17" t="str">
        <f>"57061"</f>
        <v>57061</v>
      </c>
      <c r="B3419" s="5" t="s">
        <v>3574</v>
      </c>
      <c r="C3419" s="17">
        <v>19900101</v>
      </c>
      <c r="D3419" s="17">
        <v>22991231</v>
      </c>
      <c r="E3419" s="25">
        <v>111.03</v>
      </c>
    </row>
    <row r="3420" spans="1:5" x14ac:dyDescent="0.3">
      <c r="A3420" s="17" t="str">
        <f>"57065"</f>
        <v>57065</v>
      </c>
      <c r="B3420" s="5" t="s">
        <v>3575</v>
      </c>
      <c r="C3420" s="17">
        <v>19900101</v>
      </c>
      <c r="D3420" s="17">
        <v>22991231</v>
      </c>
      <c r="E3420" s="25">
        <v>1515.11</v>
      </c>
    </row>
    <row r="3421" spans="1:5" x14ac:dyDescent="0.3">
      <c r="A3421" s="17" t="str">
        <f>"57100"</f>
        <v>57100</v>
      </c>
      <c r="B3421" s="5" t="s">
        <v>3576</v>
      </c>
      <c r="C3421" s="17">
        <v>19900101</v>
      </c>
      <c r="D3421" s="17">
        <v>22991231</v>
      </c>
      <c r="E3421" s="25">
        <v>54.11</v>
      </c>
    </row>
    <row r="3422" spans="1:5" ht="26" x14ac:dyDescent="0.3">
      <c r="A3422" s="17" t="str">
        <f>"57105"</f>
        <v>57105</v>
      </c>
      <c r="B3422" s="5" t="s">
        <v>3577</v>
      </c>
      <c r="C3422" s="17">
        <v>19900101</v>
      </c>
      <c r="D3422" s="17">
        <v>22991231</v>
      </c>
      <c r="E3422" s="25">
        <v>1515.11</v>
      </c>
    </row>
    <row r="3423" spans="1:5" x14ac:dyDescent="0.3">
      <c r="A3423" s="17" t="str">
        <f>"57106"</f>
        <v>57106</v>
      </c>
      <c r="B3423" s="5" t="s">
        <v>3578</v>
      </c>
      <c r="C3423" s="17">
        <v>19990101</v>
      </c>
      <c r="D3423" s="17">
        <v>22991231</v>
      </c>
      <c r="E3423" s="24" t="s">
        <v>7128</v>
      </c>
    </row>
    <row r="3424" spans="1:5" x14ac:dyDescent="0.3">
      <c r="A3424" s="17" t="str">
        <f>"57107"</f>
        <v>57107</v>
      </c>
      <c r="B3424" s="5" t="s">
        <v>3579</v>
      </c>
      <c r="C3424" s="17">
        <v>19990101</v>
      </c>
      <c r="D3424" s="17">
        <v>22991231</v>
      </c>
      <c r="E3424" s="24" t="s">
        <v>7128</v>
      </c>
    </row>
    <row r="3425" spans="1:5" ht="39" x14ac:dyDescent="0.3">
      <c r="A3425" s="17" t="str">
        <f>"57109"</f>
        <v>57109</v>
      </c>
      <c r="B3425" s="5" t="s">
        <v>3580</v>
      </c>
      <c r="C3425" s="17">
        <v>19990101</v>
      </c>
      <c r="D3425" s="17">
        <v>22991231</v>
      </c>
      <c r="E3425" s="24" t="s">
        <v>7128</v>
      </c>
    </row>
    <row r="3426" spans="1:5" x14ac:dyDescent="0.3">
      <c r="A3426" s="17" t="str">
        <f>"57120"</f>
        <v>57120</v>
      </c>
      <c r="B3426" s="5" t="s">
        <v>3581</v>
      </c>
      <c r="C3426" s="17">
        <v>19900101</v>
      </c>
      <c r="D3426" s="17">
        <v>22991231</v>
      </c>
      <c r="E3426" s="25">
        <v>2039.79</v>
      </c>
    </row>
    <row r="3427" spans="1:5" x14ac:dyDescent="0.3">
      <c r="A3427" s="17" t="str">
        <f>"57130"</f>
        <v>57130</v>
      </c>
      <c r="B3427" s="5" t="s">
        <v>3582</v>
      </c>
      <c r="C3427" s="17">
        <v>19900101</v>
      </c>
      <c r="D3427" s="17">
        <v>22991231</v>
      </c>
      <c r="E3427" s="25">
        <v>1515.11</v>
      </c>
    </row>
    <row r="3428" spans="1:5" x14ac:dyDescent="0.3">
      <c r="A3428" s="17" t="str">
        <f>"57135"</f>
        <v>57135</v>
      </c>
      <c r="B3428" s="5" t="s">
        <v>3583</v>
      </c>
      <c r="C3428" s="17">
        <v>19900101</v>
      </c>
      <c r="D3428" s="17">
        <v>22991231</v>
      </c>
      <c r="E3428" s="25">
        <v>1515.11</v>
      </c>
    </row>
    <row r="3429" spans="1:5" ht="26" x14ac:dyDescent="0.3">
      <c r="A3429" s="17" t="str">
        <f>"57150"</f>
        <v>57150</v>
      </c>
      <c r="B3429" s="5" t="s">
        <v>3584</v>
      </c>
      <c r="C3429" s="17">
        <v>19900101</v>
      </c>
      <c r="D3429" s="17">
        <v>22991231</v>
      </c>
      <c r="E3429" s="25">
        <v>0</v>
      </c>
    </row>
    <row r="3430" spans="1:5" ht="26" x14ac:dyDescent="0.3">
      <c r="A3430" s="17" t="str">
        <f>"57155"</f>
        <v>57155</v>
      </c>
      <c r="B3430" s="5" t="s">
        <v>3585</v>
      </c>
      <c r="C3430" s="17">
        <v>20031103</v>
      </c>
      <c r="D3430" s="17">
        <v>22991231</v>
      </c>
      <c r="E3430" s="25">
        <v>2039.79</v>
      </c>
    </row>
    <row r="3431" spans="1:5" ht="26" x14ac:dyDescent="0.3">
      <c r="A3431" s="17" t="str">
        <f>"57156"</f>
        <v>57156</v>
      </c>
      <c r="B3431" s="5" t="s">
        <v>3586</v>
      </c>
      <c r="C3431" s="17">
        <v>20110101</v>
      </c>
      <c r="D3431" s="17">
        <v>22991231</v>
      </c>
      <c r="E3431" s="25">
        <v>158.94999999999999</v>
      </c>
    </row>
    <row r="3432" spans="1:5" x14ac:dyDescent="0.3">
      <c r="A3432" s="17" t="str">
        <f>"57160"</f>
        <v>57160</v>
      </c>
      <c r="B3432" s="5" t="s">
        <v>3587</v>
      </c>
      <c r="C3432" s="17">
        <v>19900101</v>
      </c>
      <c r="D3432" s="17">
        <v>22991231</v>
      </c>
      <c r="E3432" s="25">
        <v>37.840000000000003</v>
      </c>
    </row>
    <row r="3433" spans="1:5" ht="26" x14ac:dyDescent="0.3">
      <c r="A3433" s="17" t="str">
        <f>"57170"</f>
        <v>57170</v>
      </c>
      <c r="B3433" s="5" t="s">
        <v>3588</v>
      </c>
      <c r="C3433" s="17">
        <v>19900101</v>
      </c>
      <c r="D3433" s="17">
        <v>22991231</v>
      </c>
      <c r="E3433" s="25">
        <v>40.03</v>
      </c>
    </row>
    <row r="3434" spans="1:5" ht="26" x14ac:dyDescent="0.3">
      <c r="A3434" s="17" t="str">
        <f>"57180"</f>
        <v>57180</v>
      </c>
      <c r="B3434" s="5" t="s">
        <v>3589</v>
      </c>
      <c r="C3434" s="17">
        <v>19900101</v>
      </c>
      <c r="D3434" s="17">
        <v>22991231</v>
      </c>
      <c r="E3434" s="25">
        <v>98.73</v>
      </c>
    </row>
    <row r="3435" spans="1:5" x14ac:dyDescent="0.3">
      <c r="A3435" s="17" t="str">
        <f>"57200"</f>
        <v>57200</v>
      </c>
      <c r="B3435" s="5" t="s">
        <v>3590</v>
      </c>
      <c r="C3435" s="17">
        <v>19900101</v>
      </c>
      <c r="D3435" s="17">
        <v>22991231</v>
      </c>
      <c r="E3435" s="25">
        <v>1515.11</v>
      </c>
    </row>
    <row r="3436" spans="1:5" x14ac:dyDescent="0.3">
      <c r="A3436" s="17" t="str">
        <f>"57210"</f>
        <v>57210</v>
      </c>
      <c r="B3436" s="5" t="s">
        <v>3591</v>
      </c>
      <c r="C3436" s="17">
        <v>19900101</v>
      </c>
      <c r="D3436" s="17">
        <v>22991231</v>
      </c>
      <c r="E3436" s="25">
        <v>1515.11</v>
      </c>
    </row>
    <row r="3437" spans="1:5" ht="26" x14ac:dyDescent="0.3">
      <c r="A3437" s="17" t="str">
        <f>"57220"</f>
        <v>57220</v>
      </c>
      <c r="B3437" s="5" t="s">
        <v>3592</v>
      </c>
      <c r="C3437" s="17">
        <v>19900101</v>
      </c>
      <c r="D3437" s="17">
        <v>22991231</v>
      </c>
      <c r="E3437" s="25">
        <v>2039.79</v>
      </c>
    </row>
    <row r="3438" spans="1:5" x14ac:dyDescent="0.3">
      <c r="A3438" s="17" t="str">
        <f>"57230"</f>
        <v>57230</v>
      </c>
      <c r="B3438" s="5" t="s">
        <v>3593</v>
      </c>
      <c r="C3438" s="17">
        <v>19900101</v>
      </c>
      <c r="D3438" s="17">
        <v>22991231</v>
      </c>
      <c r="E3438" s="25">
        <v>1515.11</v>
      </c>
    </row>
    <row r="3439" spans="1:5" x14ac:dyDescent="0.3">
      <c r="A3439" s="17" t="str">
        <f>"57240"</f>
        <v>57240</v>
      </c>
      <c r="B3439" s="5" t="s">
        <v>3594</v>
      </c>
      <c r="C3439" s="17">
        <v>19900101</v>
      </c>
      <c r="D3439" s="17">
        <v>22991231</v>
      </c>
      <c r="E3439" s="25">
        <v>2039.79</v>
      </c>
    </row>
    <row r="3440" spans="1:5" x14ac:dyDescent="0.3">
      <c r="A3440" s="17" t="str">
        <f>"57250"</f>
        <v>57250</v>
      </c>
      <c r="B3440" s="5" t="s">
        <v>3595</v>
      </c>
      <c r="C3440" s="17">
        <v>19900101</v>
      </c>
      <c r="D3440" s="17">
        <v>22991231</v>
      </c>
      <c r="E3440" s="25">
        <v>2039.79</v>
      </c>
    </row>
    <row r="3441" spans="1:5" ht="26" x14ac:dyDescent="0.3">
      <c r="A3441" s="17" t="str">
        <f>"57260"</f>
        <v>57260</v>
      </c>
      <c r="B3441" s="5" t="s">
        <v>3596</v>
      </c>
      <c r="C3441" s="17">
        <v>19900101</v>
      </c>
      <c r="D3441" s="17">
        <v>22991231</v>
      </c>
      <c r="E3441" s="25">
        <v>2039.79</v>
      </c>
    </row>
    <row r="3442" spans="1:5" ht="26" x14ac:dyDescent="0.3">
      <c r="A3442" s="17" t="str">
        <f>"57265"</f>
        <v>57265</v>
      </c>
      <c r="B3442" s="5" t="s">
        <v>3597</v>
      </c>
      <c r="C3442" s="17">
        <v>19900101</v>
      </c>
      <c r="D3442" s="17">
        <v>22991231</v>
      </c>
      <c r="E3442" s="25">
        <v>2039.79</v>
      </c>
    </row>
    <row r="3443" spans="1:5" ht="26" x14ac:dyDescent="0.3">
      <c r="A3443" s="17" t="str">
        <f>"57267"</f>
        <v>57267</v>
      </c>
      <c r="B3443" s="5" t="s">
        <v>3598</v>
      </c>
      <c r="C3443" s="17">
        <v>20070101</v>
      </c>
      <c r="D3443" s="17">
        <v>22991231</v>
      </c>
      <c r="E3443" s="25">
        <v>0</v>
      </c>
    </row>
    <row r="3444" spans="1:5" ht="26" x14ac:dyDescent="0.3">
      <c r="A3444" s="17" t="str">
        <f>"57268"</f>
        <v>57268</v>
      </c>
      <c r="B3444" s="5" t="s">
        <v>3599</v>
      </c>
      <c r="C3444" s="17">
        <v>19900101</v>
      </c>
      <c r="D3444" s="17">
        <v>22991231</v>
      </c>
      <c r="E3444" s="25">
        <v>2039.79</v>
      </c>
    </row>
    <row r="3445" spans="1:5" x14ac:dyDescent="0.3">
      <c r="A3445" s="17" t="str">
        <f>"57282"</f>
        <v>57282</v>
      </c>
      <c r="B3445" s="5" t="s">
        <v>3600</v>
      </c>
      <c r="C3445" s="17">
        <v>19900101</v>
      </c>
      <c r="D3445" s="17">
        <v>22991231</v>
      </c>
      <c r="E3445" s="25">
        <v>3015.53</v>
      </c>
    </row>
    <row r="3446" spans="1:5" ht="26" x14ac:dyDescent="0.3">
      <c r="A3446" s="17" t="str">
        <f>"57283"</f>
        <v>57283</v>
      </c>
      <c r="B3446" s="5" t="s">
        <v>3601</v>
      </c>
      <c r="C3446" s="17">
        <v>20230101</v>
      </c>
      <c r="D3446" s="17">
        <v>22991231</v>
      </c>
      <c r="E3446" s="25">
        <v>3015.53</v>
      </c>
    </row>
    <row r="3447" spans="1:5" x14ac:dyDescent="0.3">
      <c r="A3447" s="17" t="str">
        <f>"57284"</f>
        <v>57284</v>
      </c>
      <c r="B3447" s="5" t="s">
        <v>3602</v>
      </c>
      <c r="C3447" s="17">
        <v>19960101</v>
      </c>
      <c r="D3447" s="17">
        <v>22991231</v>
      </c>
      <c r="E3447" s="24" t="s">
        <v>7128</v>
      </c>
    </row>
    <row r="3448" spans="1:5" x14ac:dyDescent="0.3">
      <c r="A3448" s="17" t="str">
        <f>"57285"</f>
        <v>57285</v>
      </c>
      <c r="B3448" s="5" t="s">
        <v>3603</v>
      </c>
      <c r="C3448" s="17">
        <v>20080101</v>
      </c>
      <c r="D3448" s="17">
        <v>22991231</v>
      </c>
      <c r="E3448" s="24" t="s">
        <v>7128</v>
      </c>
    </row>
    <row r="3449" spans="1:5" x14ac:dyDescent="0.3">
      <c r="A3449" s="17" t="str">
        <f>"57287"</f>
        <v>57287</v>
      </c>
      <c r="B3449" s="5" t="s">
        <v>3604</v>
      </c>
      <c r="C3449" s="17">
        <v>20010101</v>
      </c>
      <c r="D3449" s="17">
        <v>22991231</v>
      </c>
      <c r="E3449" s="25">
        <v>1515.11</v>
      </c>
    </row>
    <row r="3450" spans="1:5" ht="26" x14ac:dyDescent="0.3">
      <c r="A3450" s="17" t="str">
        <f>"57288"</f>
        <v>57288</v>
      </c>
      <c r="B3450" s="5" t="s">
        <v>3605</v>
      </c>
      <c r="C3450" s="17">
        <v>19900101</v>
      </c>
      <c r="D3450" s="17">
        <v>22991231</v>
      </c>
      <c r="E3450" s="25">
        <v>2627.27</v>
      </c>
    </row>
    <row r="3451" spans="1:5" ht="26" x14ac:dyDescent="0.3">
      <c r="A3451" s="17" t="str">
        <f>"57289"</f>
        <v>57289</v>
      </c>
      <c r="B3451" s="5" t="s">
        <v>3606</v>
      </c>
      <c r="C3451" s="17">
        <v>19900101</v>
      </c>
      <c r="D3451" s="17">
        <v>22991231</v>
      </c>
      <c r="E3451" s="25">
        <v>3015.53</v>
      </c>
    </row>
    <row r="3452" spans="1:5" x14ac:dyDescent="0.3">
      <c r="A3452" s="17" t="str">
        <f>"57291"</f>
        <v>57291</v>
      </c>
      <c r="B3452" s="5" t="s">
        <v>3607</v>
      </c>
      <c r="C3452" s="17">
        <v>19900101</v>
      </c>
      <c r="D3452" s="17">
        <v>22991231</v>
      </c>
      <c r="E3452" s="25">
        <v>2039.79</v>
      </c>
    </row>
    <row r="3453" spans="1:5" ht="26" x14ac:dyDescent="0.3">
      <c r="A3453" s="17" t="str">
        <f>"57292"</f>
        <v>57292</v>
      </c>
      <c r="B3453" s="5" t="s">
        <v>3608</v>
      </c>
      <c r="C3453" s="17">
        <v>19900101</v>
      </c>
      <c r="D3453" s="17">
        <v>22991231</v>
      </c>
      <c r="E3453" s="24" t="s">
        <v>7128</v>
      </c>
    </row>
    <row r="3454" spans="1:5" x14ac:dyDescent="0.3">
      <c r="A3454" s="17" t="str">
        <f>"57295"</f>
        <v>57295</v>
      </c>
      <c r="B3454" s="5" t="s">
        <v>3609</v>
      </c>
      <c r="C3454" s="17">
        <v>20060101</v>
      </c>
      <c r="D3454" s="17">
        <v>22991231</v>
      </c>
      <c r="E3454" s="25">
        <v>1515.11</v>
      </c>
    </row>
    <row r="3455" spans="1:5" ht="26" x14ac:dyDescent="0.3">
      <c r="A3455" s="17" t="str">
        <f>"57300"</f>
        <v>57300</v>
      </c>
      <c r="B3455" s="5" t="s">
        <v>3610</v>
      </c>
      <c r="C3455" s="17">
        <v>19900101</v>
      </c>
      <c r="D3455" s="17">
        <v>22991231</v>
      </c>
      <c r="E3455" s="25">
        <v>1515.11</v>
      </c>
    </row>
    <row r="3456" spans="1:5" ht="26" x14ac:dyDescent="0.3">
      <c r="A3456" s="17" t="str">
        <f>"57310"</f>
        <v>57310</v>
      </c>
      <c r="B3456" s="5" t="s">
        <v>3611</v>
      </c>
      <c r="C3456" s="17">
        <v>19900101</v>
      </c>
      <c r="D3456" s="17">
        <v>22991231</v>
      </c>
      <c r="E3456" s="25">
        <v>3015.53</v>
      </c>
    </row>
    <row r="3457" spans="1:5" ht="26" x14ac:dyDescent="0.3">
      <c r="A3457" s="17" t="str">
        <f>"57320"</f>
        <v>57320</v>
      </c>
      <c r="B3457" s="5" t="s">
        <v>3612</v>
      </c>
      <c r="C3457" s="17">
        <v>19900101</v>
      </c>
      <c r="D3457" s="17">
        <v>22991231</v>
      </c>
      <c r="E3457" s="25">
        <v>2039.79</v>
      </c>
    </row>
    <row r="3458" spans="1:5" ht="26" x14ac:dyDescent="0.3">
      <c r="A3458" s="17" t="str">
        <f>"57330"</f>
        <v>57330</v>
      </c>
      <c r="B3458" s="5" t="s">
        <v>3613</v>
      </c>
      <c r="C3458" s="17">
        <v>19900101</v>
      </c>
      <c r="D3458" s="17">
        <v>22991231</v>
      </c>
      <c r="E3458" s="24" t="s">
        <v>7128</v>
      </c>
    </row>
    <row r="3459" spans="1:5" x14ac:dyDescent="0.3">
      <c r="A3459" s="17" t="str">
        <f>"57335"</f>
        <v>57335</v>
      </c>
      <c r="B3459" s="5" t="s">
        <v>3614</v>
      </c>
      <c r="C3459" s="17">
        <v>19920115</v>
      </c>
      <c r="D3459" s="17">
        <v>22991231</v>
      </c>
      <c r="E3459" s="24" t="s">
        <v>7128</v>
      </c>
    </row>
    <row r="3460" spans="1:5" x14ac:dyDescent="0.3">
      <c r="A3460" s="17" t="str">
        <f>"57400"</f>
        <v>57400</v>
      </c>
      <c r="B3460" s="5" t="s">
        <v>3615</v>
      </c>
      <c r="C3460" s="17">
        <v>19900101</v>
      </c>
      <c r="D3460" s="17">
        <v>22991231</v>
      </c>
      <c r="E3460" s="25">
        <v>1515.11</v>
      </c>
    </row>
    <row r="3461" spans="1:5" x14ac:dyDescent="0.3">
      <c r="A3461" s="17" t="str">
        <f>"57410"</f>
        <v>57410</v>
      </c>
      <c r="B3461" s="5" t="s">
        <v>3616</v>
      </c>
      <c r="C3461" s="17">
        <v>19900101</v>
      </c>
      <c r="D3461" s="17">
        <v>22991231</v>
      </c>
      <c r="E3461" s="25">
        <v>1515.11</v>
      </c>
    </row>
    <row r="3462" spans="1:5" ht="26" x14ac:dyDescent="0.3">
      <c r="A3462" s="17" t="str">
        <f>"57415"</f>
        <v>57415</v>
      </c>
      <c r="B3462" s="5" t="s">
        <v>3617</v>
      </c>
      <c r="C3462" s="17">
        <v>19930101</v>
      </c>
      <c r="D3462" s="17">
        <v>22991231</v>
      </c>
      <c r="E3462" s="25">
        <v>1515.11</v>
      </c>
    </row>
    <row r="3463" spans="1:5" x14ac:dyDescent="0.3">
      <c r="A3463" s="17" t="str">
        <f>"57420"</f>
        <v>57420</v>
      </c>
      <c r="B3463" s="5" t="s">
        <v>3618</v>
      </c>
      <c r="C3463" s="17">
        <v>20230101</v>
      </c>
      <c r="D3463" s="17">
        <v>22991231</v>
      </c>
      <c r="E3463" s="25">
        <v>67.56</v>
      </c>
    </row>
    <row r="3464" spans="1:5" x14ac:dyDescent="0.3">
      <c r="A3464" s="17" t="str">
        <f>"57421"</f>
        <v>57421</v>
      </c>
      <c r="B3464" s="5" t="s">
        <v>3619</v>
      </c>
      <c r="C3464" s="17">
        <v>20230101</v>
      </c>
      <c r="D3464" s="17">
        <v>22991231</v>
      </c>
      <c r="E3464" s="25">
        <v>87.57</v>
      </c>
    </row>
    <row r="3465" spans="1:5" x14ac:dyDescent="0.3">
      <c r="A3465" s="17" t="str">
        <f>"57423"</f>
        <v>57423</v>
      </c>
      <c r="B3465" s="5" t="s">
        <v>3620</v>
      </c>
      <c r="C3465" s="17">
        <v>20080101</v>
      </c>
      <c r="D3465" s="17">
        <v>22991231</v>
      </c>
      <c r="E3465" s="24" t="s">
        <v>7128</v>
      </c>
    </row>
    <row r="3466" spans="1:5" ht="26" x14ac:dyDescent="0.3">
      <c r="A3466" s="17" t="str">
        <f>"57425"</f>
        <v>57425</v>
      </c>
      <c r="B3466" s="5" t="s">
        <v>3621</v>
      </c>
      <c r="C3466" s="17">
        <v>20230101</v>
      </c>
      <c r="D3466" s="17">
        <v>22991231</v>
      </c>
      <c r="E3466" s="25">
        <v>4336.99</v>
      </c>
    </row>
    <row r="3467" spans="1:5" ht="26" x14ac:dyDescent="0.3">
      <c r="A3467" s="17" t="str">
        <f>"57426"</f>
        <v>57426</v>
      </c>
      <c r="B3467" s="5" t="s">
        <v>3622</v>
      </c>
      <c r="C3467" s="17">
        <v>20100101</v>
      </c>
      <c r="D3467" s="17">
        <v>22991231</v>
      </c>
      <c r="E3467" s="25">
        <v>3015.53</v>
      </c>
    </row>
    <row r="3468" spans="1:5" ht="26" x14ac:dyDescent="0.3">
      <c r="A3468" s="17" t="str">
        <f>"57452"</f>
        <v>57452</v>
      </c>
      <c r="B3468" s="5" t="s">
        <v>3623</v>
      </c>
      <c r="C3468" s="17">
        <v>19900101</v>
      </c>
      <c r="D3468" s="17">
        <v>22991231</v>
      </c>
      <c r="E3468" s="25">
        <v>65.37</v>
      </c>
    </row>
    <row r="3469" spans="1:5" ht="26" x14ac:dyDescent="0.3">
      <c r="A3469" s="17" t="str">
        <f>"57454"</f>
        <v>57454</v>
      </c>
      <c r="B3469" s="5" t="s">
        <v>3624</v>
      </c>
      <c r="C3469" s="17">
        <v>19900101</v>
      </c>
      <c r="D3469" s="17">
        <v>22991231</v>
      </c>
      <c r="E3469" s="25">
        <v>74.430000000000007</v>
      </c>
    </row>
    <row r="3470" spans="1:5" x14ac:dyDescent="0.3">
      <c r="A3470" s="17" t="str">
        <f>"57455"</f>
        <v>57455</v>
      </c>
      <c r="B3470" s="5" t="s">
        <v>3625</v>
      </c>
      <c r="C3470" s="17">
        <v>20230101</v>
      </c>
      <c r="D3470" s="17">
        <v>22991231</v>
      </c>
      <c r="E3470" s="25">
        <v>80.38</v>
      </c>
    </row>
    <row r="3471" spans="1:5" x14ac:dyDescent="0.3">
      <c r="A3471" s="17" t="str">
        <f>"57456"</f>
        <v>57456</v>
      </c>
      <c r="B3471" s="5" t="s">
        <v>3626</v>
      </c>
      <c r="C3471" s="17">
        <v>20230101</v>
      </c>
      <c r="D3471" s="17">
        <v>22991231</v>
      </c>
      <c r="E3471" s="25">
        <v>76.62</v>
      </c>
    </row>
    <row r="3472" spans="1:5" ht="26" x14ac:dyDescent="0.3">
      <c r="A3472" s="17" t="str">
        <f>"57460"</f>
        <v>57460</v>
      </c>
      <c r="B3472" s="5" t="s">
        <v>3627</v>
      </c>
      <c r="C3472" s="17">
        <v>19930101</v>
      </c>
      <c r="D3472" s="17">
        <v>22991231</v>
      </c>
      <c r="E3472" s="25">
        <v>192.35</v>
      </c>
    </row>
    <row r="3473" spans="1:5" ht="26" x14ac:dyDescent="0.3">
      <c r="A3473" s="17" t="str">
        <f>"57461"</f>
        <v>57461</v>
      </c>
      <c r="B3473" s="5" t="s">
        <v>3628</v>
      </c>
      <c r="C3473" s="17">
        <v>20230101</v>
      </c>
      <c r="D3473" s="17">
        <v>22991231</v>
      </c>
      <c r="E3473" s="25">
        <v>204.23</v>
      </c>
    </row>
    <row r="3474" spans="1:5" ht="39" x14ac:dyDescent="0.3">
      <c r="A3474" s="17" t="str">
        <f>"57465"</f>
        <v>57465</v>
      </c>
      <c r="B3474" s="5" t="s">
        <v>3629</v>
      </c>
      <c r="C3474" s="17">
        <v>20210101</v>
      </c>
      <c r="D3474" s="17">
        <v>22991231</v>
      </c>
      <c r="E3474" s="24" t="s">
        <v>7128</v>
      </c>
    </row>
    <row r="3475" spans="1:5" x14ac:dyDescent="0.3">
      <c r="A3475" s="17" t="str">
        <f>"57500"</f>
        <v>57500</v>
      </c>
      <c r="B3475" s="5" t="s">
        <v>3630</v>
      </c>
      <c r="C3475" s="17">
        <v>19900101</v>
      </c>
      <c r="D3475" s="17">
        <v>22991231</v>
      </c>
      <c r="E3475" s="25">
        <v>101.02</v>
      </c>
    </row>
    <row r="3476" spans="1:5" x14ac:dyDescent="0.3">
      <c r="A3476" s="17" t="str">
        <f>"57505"</f>
        <v>57505</v>
      </c>
      <c r="B3476" s="5" t="s">
        <v>3631</v>
      </c>
      <c r="C3476" s="17">
        <v>19900101</v>
      </c>
      <c r="D3476" s="17">
        <v>22991231</v>
      </c>
      <c r="E3476" s="25">
        <v>103.21</v>
      </c>
    </row>
    <row r="3477" spans="1:5" x14ac:dyDescent="0.3">
      <c r="A3477" s="17" t="str">
        <f>"57510"</f>
        <v>57510</v>
      </c>
      <c r="B3477" s="5" t="s">
        <v>3632</v>
      </c>
      <c r="C3477" s="17">
        <v>19900101</v>
      </c>
      <c r="D3477" s="17">
        <v>22991231</v>
      </c>
      <c r="E3477" s="25">
        <v>88.82</v>
      </c>
    </row>
    <row r="3478" spans="1:5" x14ac:dyDescent="0.3">
      <c r="A3478" s="17" t="str">
        <f>"57511"</f>
        <v>57511</v>
      </c>
      <c r="B3478" s="5" t="s">
        <v>3633</v>
      </c>
      <c r="C3478" s="17">
        <v>19900101</v>
      </c>
      <c r="D3478" s="17">
        <v>22991231</v>
      </c>
      <c r="E3478" s="25">
        <v>117.6</v>
      </c>
    </row>
    <row r="3479" spans="1:5" x14ac:dyDescent="0.3">
      <c r="A3479" s="17" t="str">
        <f>"57513"</f>
        <v>57513</v>
      </c>
      <c r="B3479" s="5" t="s">
        <v>3634</v>
      </c>
      <c r="C3479" s="17">
        <v>19900101</v>
      </c>
      <c r="D3479" s="17">
        <v>22991231</v>
      </c>
      <c r="E3479" s="25">
        <v>1515.11</v>
      </c>
    </row>
    <row r="3480" spans="1:5" ht="26" x14ac:dyDescent="0.3">
      <c r="A3480" s="17" t="str">
        <f>"57520"</f>
        <v>57520</v>
      </c>
      <c r="B3480" s="5" t="s">
        <v>3635</v>
      </c>
      <c r="C3480" s="17">
        <v>19900101</v>
      </c>
      <c r="D3480" s="17">
        <v>22991231</v>
      </c>
      <c r="E3480" s="25">
        <v>1515.11</v>
      </c>
    </row>
    <row r="3481" spans="1:5" ht="26" x14ac:dyDescent="0.3">
      <c r="A3481" s="17" t="str">
        <f>"57522"</f>
        <v>57522</v>
      </c>
      <c r="B3481" s="5" t="s">
        <v>3636</v>
      </c>
      <c r="C3481" s="17">
        <v>19950101</v>
      </c>
      <c r="D3481" s="17">
        <v>22991231</v>
      </c>
      <c r="E3481" s="25">
        <v>1515.11</v>
      </c>
    </row>
    <row r="3482" spans="1:5" x14ac:dyDescent="0.3">
      <c r="A3482" s="17" t="str">
        <f>"57530"</f>
        <v>57530</v>
      </c>
      <c r="B3482" s="5" t="s">
        <v>3637</v>
      </c>
      <c r="C3482" s="17">
        <v>19900101</v>
      </c>
      <c r="D3482" s="17">
        <v>22991231</v>
      </c>
      <c r="E3482" s="25">
        <v>2039.79</v>
      </c>
    </row>
    <row r="3483" spans="1:5" x14ac:dyDescent="0.3">
      <c r="A3483" s="17" t="str">
        <f>"57550"</f>
        <v>57550</v>
      </c>
      <c r="B3483" s="5" t="s">
        <v>3638</v>
      </c>
      <c r="C3483" s="17">
        <v>19900101</v>
      </c>
      <c r="D3483" s="17">
        <v>22991231</v>
      </c>
      <c r="E3483" s="25">
        <v>2039.79</v>
      </c>
    </row>
    <row r="3484" spans="1:5" ht="26" x14ac:dyDescent="0.3">
      <c r="A3484" s="17" t="str">
        <f>"57555"</f>
        <v>57555</v>
      </c>
      <c r="B3484" s="5" t="s">
        <v>3639</v>
      </c>
      <c r="C3484" s="17">
        <v>19900101</v>
      </c>
      <c r="D3484" s="17">
        <v>22991231</v>
      </c>
      <c r="E3484" s="24" t="s">
        <v>7128</v>
      </c>
    </row>
    <row r="3485" spans="1:5" ht="26" x14ac:dyDescent="0.3">
      <c r="A3485" s="17" t="str">
        <f>"57556"</f>
        <v>57556</v>
      </c>
      <c r="B3485" s="5" t="s">
        <v>3640</v>
      </c>
      <c r="C3485" s="17">
        <v>19900101</v>
      </c>
      <c r="D3485" s="17">
        <v>22991231</v>
      </c>
      <c r="E3485" s="25">
        <v>2039.79</v>
      </c>
    </row>
    <row r="3486" spans="1:5" x14ac:dyDescent="0.3">
      <c r="A3486" s="17" t="str">
        <f>"57558"</f>
        <v>57558</v>
      </c>
      <c r="B3486" s="5" t="s">
        <v>3641</v>
      </c>
      <c r="C3486" s="17">
        <v>20070101</v>
      </c>
      <c r="D3486" s="17">
        <v>22991231</v>
      </c>
      <c r="E3486" s="25">
        <v>1515.11</v>
      </c>
    </row>
    <row r="3487" spans="1:5" x14ac:dyDescent="0.3">
      <c r="A3487" s="17" t="str">
        <f>"57700"</f>
        <v>57700</v>
      </c>
      <c r="B3487" s="5" t="s">
        <v>3642</v>
      </c>
      <c r="C3487" s="17">
        <v>19900101</v>
      </c>
      <c r="D3487" s="17">
        <v>22991231</v>
      </c>
      <c r="E3487" s="25">
        <v>1515.11</v>
      </c>
    </row>
    <row r="3488" spans="1:5" x14ac:dyDescent="0.3">
      <c r="A3488" s="17" t="str">
        <f>"57720"</f>
        <v>57720</v>
      </c>
      <c r="B3488" s="5" t="s">
        <v>3643</v>
      </c>
      <c r="C3488" s="17">
        <v>19900101</v>
      </c>
      <c r="D3488" s="17">
        <v>22991231</v>
      </c>
      <c r="E3488" s="25">
        <v>1515.11</v>
      </c>
    </row>
    <row r="3489" spans="1:5" x14ac:dyDescent="0.3">
      <c r="A3489" s="17" t="str">
        <f>"57800"</f>
        <v>57800</v>
      </c>
      <c r="B3489" s="5" t="s">
        <v>3644</v>
      </c>
      <c r="C3489" s="17">
        <v>19900101</v>
      </c>
      <c r="D3489" s="17">
        <v>22991231</v>
      </c>
      <c r="E3489" s="25">
        <v>45.35</v>
      </c>
    </row>
    <row r="3490" spans="1:5" x14ac:dyDescent="0.3">
      <c r="A3490" s="17" t="str">
        <f>"58100"</f>
        <v>58100</v>
      </c>
      <c r="B3490" s="5" t="s">
        <v>3645</v>
      </c>
      <c r="C3490" s="17">
        <v>19900101</v>
      </c>
      <c r="D3490" s="17">
        <v>22991231</v>
      </c>
      <c r="E3490" s="25">
        <v>51.61</v>
      </c>
    </row>
    <row r="3491" spans="1:5" ht="26" x14ac:dyDescent="0.3">
      <c r="A3491" s="17" t="str">
        <f>"58110"</f>
        <v>58110</v>
      </c>
      <c r="B3491" s="5" t="s">
        <v>3646</v>
      </c>
      <c r="C3491" s="17">
        <v>20060101</v>
      </c>
      <c r="D3491" s="17">
        <v>22991231</v>
      </c>
      <c r="E3491" s="25">
        <v>0</v>
      </c>
    </row>
    <row r="3492" spans="1:5" x14ac:dyDescent="0.3">
      <c r="A3492" s="17" t="str">
        <f>"58120"</f>
        <v>58120</v>
      </c>
      <c r="B3492" s="5" t="s">
        <v>3647</v>
      </c>
      <c r="C3492" s="17">
        <v>19900101</v>
      </c>
      <c r="D3492" s="17">
        <v>22991231</v>
      </c>
      <c r="E3492" s="25">
        <v>1515.11</v>
      </c>
    </row>
    <row r="3493" spans="1:5" ht="26" x14ac:dyDescent="0.3">
      <c r="A3493" s="17" t="str">
        <f>"58145"</f>
        <v>58145</v>
      </c>
      <c r="B3493" s="5" t="s">
        <v>3648</v>
      </c>
      <c r="C3493" s="17">
        <v>19900101</v>
      </c>
      <c r="D3493" s="17">
        <v>22991231</v>
      </c>
      <c r="E3493" s="25">
        <v>1515.11</v>
      </c>
    </row>
    <row r="3494" spans="1:5" ht="26" x14ac:dyDescent="0.3">
      <c r="A3494" s="17" t="str">
        <f>"58260"</f>
        <v>58260</v>
      </c>
      <c r="B3494" s="5" t="s">
        <v>3649</v>
      </c>
      <c r="C3494" s="17">
        <v>20151001</v>
      </c>
      <c r="D3494" s="17">
        <v>22991231</v>
      </c>
      <c r="E3494" s="25">
        <v>2039.79</v>
      </c>
    </row>
    <row r="3495" spans="1:5" ht="26" x14ac:dyDescent="0.3">
      <c r="A3495" s="17" t="str">
        <f>"58262"</f>
        <v>58262</v>
      </c>
      <c r="B3495" s="5" t="s">
        <v>3650</v>
      </c>
      <c r="C3495" s="17">
        <v>20230101</v>
      </c>
      <c r="D3495" s="17">
        <v>22991231</v>
      </c>
      <c r="E3495" s="25">
        <v>2039.79</v>
      </c>
    </row>
    <row r="3496" spans="1:5" ht="26" x14ac:dyDescent="0.3">
      <c r="A3496" s="17" t="str">
        <f>"58270"</f>
        <v>58270</v>
      </c>
      <c r="B3496" s="5" t="s">
        <v>3651</v>
      </c>
      <c r="C3496" s="17">
        <v>20151001</v>
      </c>
      <c r="D3496" s="17">
        <v>22991231</v>
      </c>
      <c r="E3496" s="24" t="s">
        <v>7128</v>
      </c>
    </row>
    <row r="3497" spans="1:5" x14ac:dyDescent="0.3">
      <c r="A3497" s="17" t="str">
        <f>"58300"</f>
        <v>58300</v>
      </c>
      <c r="B3497" s="5" t="s">
        <v>3652</v>
      </c>
      <c r="C3497" s="17">
        <v>19900101</v>
      </c>
      <c r="D3497" s="17">
        <v>22991231</v>
      </c>
      <c r="E3497" s="24" t="s">
        <v>7128</v>
      </c>
    </row>
    <row r="3498" spans="1:5" x14ac:dyDescent="0.3">
      <c r="A3498" s="17" t="str">
        <f>"58301"</f>
        <v>58301</v>
      </c>
      <c r="B3498" s="5" t="s">
        <v>3653</v>
      </c>
      <c r="C3498" s="17">
        <v>19900101</v>
      </c>
      <c r="D3498" s="17">
        <v>22991231</v>
      </c>
      <c r="E3498" s="25">
        <v>57.86</v>
      </c>
    </row>
    <row r="3499" spans="1:5" x14ac:dyDescent="0.3">
      <c r="A3499" s="17" t="str">
        <f>"58321"</f>
        <v>58321</v>
      </c>
      <c r="B3499" s="5" t="s">
        <v>3654</v>
      </c>
      <c r="C3499" s="17">
        <v>20230101</v>
      </c>
      <c r="D3499" s="17">
        <v>22991231</v>
      </c>
      <c r="E3499" s="25">
        <v>43.78</v>
      </c>
    </row>
    <row r="3500" spans="1:5" x14ac:dyDescent="0.3">
      <c r="A3500" s="17" t="str">
        <f>"58322"</f>
        <v>58322</v>
      </c>
      <c r="B3500" s="5" t="s">
        <v>3655</v>
      </c>
      <c r="C3500" s="17">
        <v>20230101</v>
      </c>
      <c r="D3500" s="17">
        <v>22991231</v>
      </c>
      <c r="E3500" s="25">
        <v>45.97</v>
      </c>
    </row>
    <row r="3501" spans="1:5" x14ac:dyDescent="0.3">
      <c r="A3501" s="17" t="str">
        <f>"58323"</f>
        <v>58323</v>
      </c>
      <c r="B3501" s="5" t="s">
        <v>3656</v>
      </c>
      <c r="C3501" s="17">
        <v>20230101</v>
      </c>
      <c r="D3501" s="17">
        <v>22991231</v>
      </c>
      <c r="E3501" s="25">
        <v>5.63</v>
      </c>
    </row>
    <row r="3502" spans="1:5" ht="26" x14ac:dyDescent="0.3">
      <c r="A3502" s="17" t="str">
        <f>"58340"</f>
        <v>58340</v>
      </c>
      <c r="B3502" s="5" t="s">
        <v>3657</v>
      </c>
      <c r="C3502" s="17">
        <v>19900101</v>
      </c>
      <c r="D3502" s="17">
        <v>22991231</v>
      </c>
      <c r="E3502" s="25">
        <v>0</v>
      </c>
    </row>
    <row r="3503" spans="1:5" x14ac:dyDescent="0.3">
      <c r="A3503" s="17" t="str">
        <f>"58345"</f>
        <v>58345</v>
      </c>
      <c r="B3503" s="5" t="s">
        <v>3658</v>
      </c>
      <c r="C3503" s="17">
        <v>20230101</v>
      </c>
      <c r="D3503" s="17">
        <v>22991231</v>
      </c>
      <c r="E3503" s="25">
        <v>1515.11</v>
      </c>
    </row>
    <row r="3504" spans="1:5" ht="26" x14ac:dyDescent="0.3">
      <c r="A3504" s="17" t="str">
        <f>"58346"</f>
        <v>58346</v>
      </c>
      <c r="B3504" s="5" t="s">
        <v>3659</v>
      </c>
      <c r="C3504" s="17">
        <v>20051001</v>
      </c>
      <c r="D3504" s="17">
        <v>22991231</v>
      </c>
      <c r="E3504" s="25">
        <v>2039.79</v>
      </c>
    </row>
    <row r="3505" spans="1:5" x14ac:dyDescent="0.3">
      <c r="A3505" s="17" t="str">
        <f>"58350"</f>
        <v>58350</v>
      </c>
      <c r="B3505" s="5" t="s">
        <v>3660</v>
      </c>
      <c r="C3505" s="17">
        <v>19900101</v>
      </c>
      <c r="D3505" s="17">
        <v>22991231</v>
      </c>
      <c r="E3505" s="25">
        <v>2039.79</v>
      </c>
    </row>
    <row r="3506" spans="1:5" x14ac:dyDescent="0.3">
      <c r="A3506" s="17" t="str">
        <f>"58353"</f>
        <v>58353</v>
      </c>
      <c r="B3506" s="5" t="s">
        <v>3661</v>
      </c>
      <c r="C3506" s="17">
        <v>20010101</v>
      </c>
      <c r="D3506" s="17">
        <v>22991231</v>
      </c>
      <c r="E3506" s="25">
        <v>2039.79</v>
      </c>
    </row>
    <row r="3507" spans="1:5" ht="26" x14ac:dyDescent="0.3">
      <c r="A3507" s="17" t="str">
        <f>"58356"</f>
        <v>58356</v>
      </c>
      <c r="B3507" s="5" t="s">
        <v>3662</v>
      </c>
      <c r="C3507" s="17">
        <v>20230101</v>
      </c>
      <c r="D3507" s="17">
        <v>22991231</v>
      </c>
      <c r="E3507" s="25">
        <v>3191.51</v>
      </c>
    </row>
    <row r="3508" spans="1:5" x14ac:dyDescent="0.3">
      <c r="A3508" s="17" t="str">
        <f>"58400"</f>
        <v>58400</v>
      </c>
      <c r="B3508" s="5" t="s">
        <v>3663</v>
      </c>
      <c r="C3508" s="17">
        <v>19900101</v>
      </c>
      <c r="D3508" s="17">
        <v>22991231</v>
      </c>
      <c r="E3508" s="24" t="s">
        <v>7128</v>
      </c>
    </row>
    <row r="3509" spans="1:5" ht="26" x14ac:dyDescent="0.3">
      <c r="A3509" s="17" t="str">
        <f>"58541"</f>
        <v>58541</v>
      </c>
      <c r="B3509" s="5" t="s">
        <v>3664</v>
      </c>
      <c r="C3509" s="17">
        <v>20230101</v>
      </c>
      <c r="D3509" s="17">
        <v>22991231</v>
      </c>
      <c r="E3509" s="25">
        <v>4336.99</v>
      </c>
    </row>
    <row r="3510" spans="1:5" ht="39" x14ac:dyDescent="0.3">
      <c r="A3510" s="17" t="str">
        <f>"58542"</f>
        <v>58542</v>
      </c>
      <c r="B3510" s="5" t="s">
        <v>3665</v>
      </c>
      <c r="C3510" s="17">
        <v>20230101</v>
      </c>
      <c r="D3510" s="17">
        <v>22991231</v>
      </c>
      <c r="E3510" s="25">
        <v>4336.99</v>
      </c>
    </row>
    <row r="3511" spans="1:5" ht="26" x14ac:dyDescent="0.3">
      <c r="A3511" s="17" t="str">
        <f>"58543"</f>
        <v>58543</v>
      </c>
      <c r="B3511" s="5" t="s">
        <v>3666</v>
      </c>
      <c r="C3511" s="17">
        <v>20230101</v>
      </c>
      <c r="D3511" s="17">
        <v>22991231</v>
      </c>
      <c r="E3511" s="25">
        <v>4336.99</v>
      </c>
    </row>
    <row r="3512" spans="1:5" ht="39" x14ac:dyDescent="0.3">
      <c r="A3512" s="17" t="str">
        <f>"58544"</f>
        <v>58544</v>
      </c>
      <c r="B3512" s="5" t="s">
        <v>3667</v>
      </c>
      <c r="C3512" s="17">
        <v>20230101</v>
      </c>
      <c r="D3512" s="17">
        <v>22991231</v>
      </c>
      <c r="E3512" s="25">
        <v>4336.99</v>
      </c>
    </row>
    <row r="3513" spans="1:5" ht="26" x14ac:dyDescent="0.3">
      <c r="A3513" s="17" t="str">
        <f>"58545"</f>
        <v>58545</v>
      </c>
      <c r="B3513" s="5" t="s">
        <v>3668</v>
      </c>
      <c r="C3513" s="17">
        <v>20050101</v>
      </c>
      <c r="D3513" s="17">
        <v>22991231</v>
      </c>
      <c r="E3513" s="25">
        <v>2584.12</v>
      </c>
    </row>
    <row r="3514" spans="1:5" ht="26" x14ac:dyDescent="0.3">
      <c r="A3514" s="17" t="str">
        <f>"58546"</f>
        <v>58546</v>
      </c>
      <c r="B3514" s="5" t="s">
        <v>3669</v>
      </c>
      <c r="C3514" s="17">
        <v>20230101</v>
      </c>
      <c r="D3514" s="17">
        <v>22991231</v>
      </c>
      <c r="E3514" s="25">
        <v>4336.99</v>
      </c>
    </row>
    <row r="3515" spans="1:5" ht="26" x14ac:dyDescent="0.3">
      <c r="A3515" s="17" t="str">
        <f>"58550"</f>
        <v>58550</v>
      </c>
      <c r="B3515" s="5" t="s">
        <v>3670</v>
      </c>
      <c r="C3515" s="17">
        <v>20000101</v>
      </c>
      <c r="D3515" s="17">
        <v>22991231</v>
      </c>
      <c r="E3515" s="25">
        <v>2584.12</v>
      </c>
    </row>
    <row r="3516" spans="1:5" ht="26" x14ac:dyDescent="0.3">
      <c r="A3516" s="17" t="str">
        <f>"58552"</f>
        <v>58552</v>
      </c>
      <c r="B3516" s="5" t="s">
        <v>3671</v>
      </c>
      <c r="C3516" s="17">
        <v>20230101</v>
      </c>
      <c r="D3516" s="17">
        <v>22991231</v>
      </c>
      <c r="E3516" s="25">
        <v>4336.99</v>
      </c>
    </row>
    <row r="3517" spans="1:5" ht="26" x14ac:dyDescent="0.3">
      <c r="A3517" s="17" t="str">
        <f>"58553"</f>
        <v>58553</v>
      </c>
      <c r="B3517" s="5" t="s">
        <v>3672</v>
      </c>
      <c r="C3517" s="17">
        <v>20230101</v>
      </c>
      <c r="D3517" s="17">
        <v>22991231</v>
      </c>
      <c r="E3517" s="25">
        <v>4336.99</v>
      </c>
    </row>
    <row r="3518" spans="1:5" ht="26" x14ac:dyDescent="0.3">
      <c r="A3518" s="17" t="str">
        <f>"58554"</f>
        <v>58554</v>
      </c>
      <c r="B3518" s="5" t="s">
        <v>3673</v>
      </c>
      <c r="C3518" s="17">
        <v>20230101</v>
      </c>
      <c r="D3518" s="17">
        <v>22991231</v>
      </c>
      <c r="E3518" s="25">
        <v>4336.99</v>
      </c>
    </row>
    <row r="3519" spans="1:5" x14ac:dyDescent="0.3">
      <c r="A3519" s="17" t="str">
        <f>"58555"</f>
        <v>58555</v>
      </c>
      <c r="B3519" s="5" t="s">
        <v>3674</v>
      </c>
      <c r="C3519" s="17">
        <v>20000101</v>
      </c>
      <c r="D3519" s="17">
        <v>22991231</v>
      </c>
      <c r="E3519" s="25">
        <v>1515.11</v>
      </c>
    </row>
    <row r="3520" spans="1:5" ht="26" x14ac:dyDescent="0.3">
      <c r="A3520" s="17" t="str">
        <f>"58558"</f>
        <v>58558</v>
      </c>
      <c r="B3520" s="5" t="s">
        <v>3675</v>
      </c>
      <c r="C3520" s="17">
        <v>20000101</v>
      </c>
      <c r="D3520" s="17">
        <v>22991231</v>
      </c>
      <c r="E3520" s="25">
        <v>1515.11</v>
      </c>
    </row>
    <row r="3521" spans="1:5" ht="26" x14ac:dyDescent="0.3">
      <c r="A3521" s="17" t="str">
        <f>"58559"</f>
        <v>58559</v>
      </c>
      <c r="B3521" s="5" t="s">
        <v>3676</v>
      </c>
      <c r="C3521" s="17">
        <v>20000101</v>
      </c>
      <c r="D3521" s="17">
        <v>22991231</v>
      </c>
      <c r="E3521" s="25">
        <v>2039.79</v>
      </c>
    </row>
    <row r="3522" spans="1:5" ht="26" x14ac:dyDescent="0.3">
      <c r="A3522" s="17" t="str">
        <f>"58560"</f>
        <v>58560</v>
      </c>
      <c r="B3522" s="5" t="s">
        <v>3677</v>
      </c>
      <c r="C3522" s="17">
        <v>20000101</v>
      </c>
      <c r="D3522" s="17">
        <v>22991231</v>
      </c>
      <c r="E3522" s="25">
        <v>2039.79</v>
      </c>
    </row>
    <row r="3523" spans="1:5" ht="26" x14ac:dyDescent="0.3">
      <c r="A3523" s="17" t="str">
        <f>"58561"</f>
        <v>58561</v>
      </c>
      <c r="B3523" s="5" t="s">
        <v>3678</v>
      </c>
      <c r="C3523" s="17">
        <v>20000101</v>
      </c>
      <c r="D3523" s="17">
        <v>22991231</v>
      </c>
      <c r="E3523" s="25">
        <v>2039.79</v>
      </c>
    </row>
    <row r="3524" spans="1:5" ht="26" x14ac:dyDescent="0.3">
      <c r="A3524" s="17" t="str">
        <f>"58562"</f>
        <v>58562</v>
      </c>
      <c r="B3524" s="5" t="s">
        <v>3679</v>
      </c>
      <c r="C3524" s="17">
        <v>20000101</v>
      </c>
      <c r="D3524" s="17">
        <v>22991231</v>
      </c>
      <c r="E3524" s="25">
        <v>1515.11</v>
      </c>
    </row>
    <row r="3525" spans="1:5" ht="26" x14ac:dyDescent="0.3">
      <c r="A3525" s="17" t="str">
        <f>"58563"</f>
        <v>58563</v>
      </c>
      <c r="B3525" s="5" t="s">
        <v>3680</v>
      </c>
      <c r="C3525" s="17">
        <v>20000101</v>
      </c>
      <c r="D3525" s="17">
        <v>22991231</v>
      </c>
      <c r="E3525" s="25">
        <v>2039.79</v>
      </c>
    </row>
    <row r="3526" spans="1:5" ht="26" x14ac:dyDescent="0.3">
      <c r="A3526" s="17" t="str">
        <f>"58565"</f>
        <v>58565</v>
      </c>
      <c r="B3526" s="5" t="s">
        <v>3681</v>
      </c>
      <c r="C3526" s="17">
        <v>20051001</v>
      </c>
      <c r="D3526" s="17">
        <v>22991231</v>
      </c>
      <c r="E3526" s="25">
        <v>2568.9</v>
      </c>
    </row>
    <row r="3527" spans="1:5" ht="26" x14ac:dyDescent="0.3">
      <c r="A3527" s="17" t="str">
        <f>"58570"</f>
        <v>58570</v>
      </c>
      <c r="B3527" s="5" t="s">
        <v>3682</v>
      </c>
      <c r="C3527" s="17">
        <v>20080101</v>
      </c>
      <c r="D3527" s="17">
        <v>22991231</v>
      </c>
      <c r="E3527" s="25">
        <v>4336.99</v>
      </c>
    </row>
    <row r="3528" spans="1:5" ht="26" x14ac:dyDescent="0.3">
      <c r="A3528" s="17" t="str">
        <f>"58571"</f>
        <v>58571</v>
      </c>
      <c r="B3528" s="5" t="s">
        <v>3683</v>
      </c>
      <c r="C3528" s="17">
        <v>20080101</v>
      </c>
      <c r="D3528" s="17">
        <v>22991231</v>
      </c>
      <c r="E3528" s="25">
        <v>4336.99</v>
      </c>
    </row>
    <row r="3529" spans="1:5" ht="26" x14ac:dyDescent="0.3">
      <c r="A3529" s="17" t="str">
        <f>"58572"</f>
        <v>58572</v>
      </c>
      <c r="B3529" s="5" t="s">
        <v>3684</v>
      </c>
      <c r="C3529" s="17">
        <v>20080101</v>
      </c>
      <c r="D3529" s="17">
        <v>22991231</v>
      </c>
      <c r="E3529" s="25">
        <v>4336.99</v>
      </c>
    </row>
    <row r="3530" spans="1:5" ht="26" x14ac:dyDescent="0.3">
      <c r="A3530" s="17" t="str">
        <f>"58573"</f>
        <v>58573</v>
      </c>
      <c r="B3530" s="5" t="s">
        <v>3685</v>
      </c>
      <c r="C3530" s="17">
        <v>20080101</v>
      </c>
      <c r="D3530" s="17">
        <v>22991231</v>
      </c>
      <c r="E3530" s="25">
        <v>4336.99</v>
      </c>
    </row>
    <row r="3531" spans="1:5" ht="26" x14ac:dyDescent="0.3">
      <c r="A3531" s="17" t="str">
        <f>"58580"</f>
        <v>58580</v>
      </c>
      <c r="B3531" s="5" t="s">
        <v>3686</v>
      </c>
      <c r="C3531" s="17">
        <v>20240101</v>
      </c>
      <c r="D3531" s="17">
        <v>22991231</v>
      </c>
      <c r="E3531" s="25">
        <v>3797.75</v>
      </c>
    </row>
    <row r="3532" spans="1:5" x14ac:dyDescent="0.3">
      <c r="A3532" s="17" t="str">
        <f>"58600"</f>
        <v>58600</v>
      </c>
      <c r="B3532" s="5" t="s">
        <v>3687</v>
      </c>
      <c r="C3532" s="17">
        <v>20030701</v>
      </c>
      <c r="D3532" s="17">
        <v>22991231</v>
      </c>
      <c r="E3532" s="25">
        <v>1515.11</v>
      </c>
    </row>
    <row r="3533" spans="1:5" ht="26" x14ac:dyDescent="0.3">
      <c r="A3533" s="17" t="str">
        <f>"58615"</f>
        <v>58615</v>
      </c>
      <c r="B3533" s="5" t="s">
        <v>3688</v>
      </c>
      <c r="C3533" s="17">
        <v>20030701</v>
      </c>
      <c r="D3533" s="17">
        <v>22991231</v>
      </c>
      <c r="E3533" s="25">
        <v>1515.11</v>
      </c>
    </row>
    <row r="3534" spans="1:5" ht="26" x14ac:dyDescent="0.3">
      <c r="A3534" s="17" t="str">
        <f>"58660"</f>
        <v>58660</v>
      </c>
      <c r="B3534" s="5" t="s">
        <v>3689</v>
      </c>
      <c r="C3534" s="17">
        <v>19900101</v>
      </c>
      <c r="D3534" s="17">
        <v>22991231</v>
      </c>
      <c r="E3534" s="25">
        <v>2584.12</v>
      </c>
    </row>
    <row r="3535" spans="1:5" ht="26" x14ac:dyDescent="0.3">
      <c r="A3535" s="17" t="str">
        <f>"58661"</f>
        <v>58661</v>
      </c>
      <c r="B3535" s="5" t="s">
        <v>3690</v>
      </c>
      <c r="C3535" s="17">
        <v>19900101</v>
      </c>
      <c r="D3535" s="17">
        <v>22991231</v>
      </c>
      <c r="E3535" s="25">
        <v>2584.12</v>
      </c>
    </row>
    <row r="3536" spans="1:5" ht="26" x14ac:dyDescent="0.3">
      <c r="A3536" s="17" t="str">
        <f>"58662"</f>
        <v>58662</v>
      </c>
      <c r="B3536" s="5" t="s">
        <v>3691</v>
      </c>
      <c r="C3536" s="17">
        <v>19900101</v>
      </c>
      <c r="D3536" s="17">
        <v>22991231</v>
      </c>
      <c r="E3536" s="25">
        <v>2584.12</v>
      </c>
    </row>
    <row r="3537" spans="1:5" ht="26" x14ac:dyDescent="0.3">
      <c r="A3537" s="17" t="str">
        <f>"58670"</f>
        <v>58670</v>
      </c>
      <c r="B3537" s="5" t="s">
        <v>3692</v>
      </c>
      <c r="C3537" s="17">
        <v>19900101</v>
      </c>
      <c r="D3537" s="17">
        <v>22991231</v>
      </c>
      <c r="E3537" s="25">
        <v>2584.12</v>
      </c>
    </row>
    <row r="3538" spans="1:5" ht="26" x14ac:dyDescent="0.3">
      <c r="A3538" s="17" t="str">
        <f>"58671"</f>
        <v>58671</v>
      </c>
      <c r="B3538" s="5" t="s">
        <v>3693</v>
      </c>
      <c r="C3538" s="17">
        <v>19900101</v>
      </c>
      <c r="D3538" s="17">
        <v>22991231</v>
      </c>
      <c r="E3538" s="25">
        <v>2584.12</v>
      </c>
    </row>
    <row r="3539" spans="1:5" ht="26" x14ac:dyDescent="0.3">
      <c r="A3539" s="17" t="str">
        <f>"58672"</f>
        <v>58672</v>
      </c>
      <c r="B3539" s="5" t="s">
        <v>3694</v>
      </c>
      <c r="C3539" s="17">
        <v>20230101</v>
      </c>
      <c r="D3539" s="17">
        <v>22991231</v>
      </c>
      <c r="E3539" s="25">
        <v>2584.12</v>
      </c>
    </row>
    <row r="3540" spans="1:5" x14ac:dyDescent="0.3">
      <c r="A3540" s="17" t="str">
        <f>"58673"</f>
        <v>58673</v>
      </c>
      <c r="B3540" s="5" t="s">
        <v>3695</v>
      </c>
      <c r="C3540" s="17">
        <v>19900101</v>
      </c>
      <c r="D3540" s="17">
        <v>22991231</v>
      </c>
      <c r="E3540" s="25">
        <v>4336.99</v>
      </c>
    </row>
    <row r="3541" spans="1:5" ht="39" x14ac:dyDescent="0.3">
      <c r="A3541" s="17" t="str">
        <f>"58674"</f>
        <v>58674</v>
      </c>
      <c r="B3541" s="5" t="s">
        <v>3696</v>
      </c>
      <c r="C3541" s="17">
        <v>20170101</v>
      </c>
      <c r="D3541" s="17">
        <v>22991231</v>
      </c>
      <c r="E3541" s="25">
        <v>4336.99</v>
      </c>
    </row>
    <row r="3542" spans="1:5" x14ac:dyDescent="0.3">
      <c r="A3542" s="17" t="str">
        <f>"58700"</f>
        <v>58700</v>
      </c>
      <c r="B3542" s="5" t="s">
        <v>3697</v>
      </c>
      <c r="C3542" s="17">
        <v>20030701</v>
      </c>
      <c r="D3542" s="17">
        <v>22991231</v>
      </c>
      <c r="E3542" s="24" t="s">
        <v>7128</v>
      </c>
    </row>
    <row r="3543" spans="1:5" x14ac:dyDescent="0.3">
      <c r="A3543" s="17" t="str">
        <f>"58770"</f>
        <v>58770</v>
      </c>
      <c r="B3543" s="5" t="s">
        <v>3698</v>
      </c>
      <c r="C3543" s="17">
        <v>20030701</v>
      </c>
      <c r="D3543" s="17">
        <v>22991231</v>
      </c>
      <c r="E3543" s="24" t="s">
        <v>7128</v>
      </c>
    </row>
    <row r="3544" spans="1:5" x14ac:dyDescent="0.3">
      <c r="A3544" s="17" t="str">
        <f>"58800"</f>
        <v>58800</v>
      </c>
      <c r="B3544" s="5" t="s">
        <v>3699</v>
      </c>
      <c r="C3544" s="17">
        <v>19900101</v>
      </c>
      <c r="D3544" s="17">
        <v>22991231</v>
      </c>
      <c r="E3544" s="25">
        <v>1515.11</v>
      </c>
    </row>
    <row r="3545" spans="1:5" x14ac:dyDescent="0.3">
      <c r="A3545" s="17" t="str">
        <f>"58805"</f>
        <v>58805</v>
      </c>
      <c r="B3545" s="5" t="s">
        <v>3700</v>
      </c>
      <c r="C3545" s="17">
        <v>19900101</v>
      </c>
      <c r="D3545" s="17">
        <v>22991231</v>
      </c>
      <c r="E3545" s="25">
        <v>1515.11</v>
      </c>
    </row>
    <row r="3546" spans="1:5" x14ac:dyDescent="0.3">
      <c r="A3546" s="17" t="str">
        <f>"58820"</f>
        <v>58820</v>
      </c>
      <c r="B3546" s="5" t="s">
        <v>3701</v>
      </c>
      <c r="C3546" s="17">
        <v>19900101</v>
      </c>
      <c r="D3546" s="17">
        <v>22991231</v>
      </c>
      <c r="E3546" s="25">
        <v>1515.11</v>
      </c>
    </row>
    <row r="3547" spans="1:5" x14ac:dyDescent="0.3">
      <c r="A3547" s="17" t="str">
        <f>"58900"</f>
        <v>58900</v>
      </c>
      <c r="B3547" s="5" t="s">
        <v>3702</v>
      </c>
      <c r="C3547" s="17">
        <v>19900101</v>
      </c>
      <c r="D3547" s="17">
        <v>22991231</v>
      </c>
      <c r="E3547" s="25">
        <v>1515.11</v>
      </c>
    </row>
    <row r="3548" spans="1:5" x14ac:dyDescent="0.3">
      <c r="A3548" s="17" t="str">
        <f>"58920"</f>
        <v>58920</v>
      </c>
      <c r="B3548" s="5" t="s">
        <v>3703</v>
      </c>
      <c r="C3548" s="17">
        <v>19900101</v>
      </c>
      <c r="D3548" s="17">
        <v>22991231</v>
      </c>
      <c r="E3548" s="24" t="s">
        <v>7128</v>
      </c>
    </row>
    <row r="3549" spans="1:5" x14ac:dyDescent="0.3">
      <c r="A3549" s="17" t="str">
        <f>"58925"</f>
        <v>58925</v>
      </c>
      <c r="B3549" s="5" t="s">
        <v>3704</v>
      </c>
      <c r="C3549" s="17">
        <v>19900101</v>
      </c>
      <c r="D3549" s="17">
        <v>22991231</v>
      </c>
      <c r="E3549" s="24" t="s">
        <v>7128</v>
      </c>
    </row>
    <row r="3550" spans="1:5" x14ac:dyDescent="0.3">
      <c r="A3550" s="17" t="str">
        <f>"58970"</f>
        <v>58970</v>
      </c>
      <c r="B3550" s="5" t="s">
        <v>3705</v>
      </c>
      <c r="C3550" s="17">
        <v>20230101</v>
      </c>
      <c r="D3550" s="17">
        <v>22991231</v>
      </c>
      <c r="E3550" s="25">
        <v>398.32</v>
      </c>
    </row>
    <row r="3551" spans="1:5" x14ac:dyDescent="0.3">
      <c r="A3551" s="17" t="str">
        <f>"58974"</f>
        <v>58974</v>
      </c>
      <c r="B3551" s="5" t="s">
        <v>3706</v>
      </c>
      <c r="C3551" s="17">
        <v>20230101</v>
      </c>
      <c r="D3551" s="17">
        <v>22991231</v>
      </c>
      <c r="E3551" s="25">
        <v>398.32</v>
      </c>
    </row>
    <row r="3552" spans="1:5" x14ac:dyDescent="0.3">
      <c r="A3552" s="17" t="str">
        <f>"58976"</f>
        <v>58976</v>
      </c>
      <c r="B3552" s="5" t="s">
        <v>3707</v>
      </c>
      <c r="C3552" s="17">
        <v>20230101</v>
      </c>
      <c r="D3552" s="17">
        <v>22991231</v>
      </c>
      <c r="E3552" s="25">
        <v>158.94999999999999</v>
      </c>
    </row>
    <row r="3553" spans="1:5" ht="26" x14ac:dyDescent="0.3">
      <c r="A3553" s="17" t="str">
        <f>"58999"</f>
        <v>58999</v>
      </c>
      <c r="B3553" s="5" t="s">
        <v>3708</v>
      </c>
      <c r="C3553" s="17">
        <v>19900101</v>
      </c>
      <c r="D3553" s="17">
        <v>22991231</v>
      </c>
      <c r="E3553" s="24" t="s">
        <v>7128</v>
      </c>
    </row>
    <row r="3554" spans="1:5" ht="26" x14ac:dyDescent="0.3">
      <c r="A3554" s="17" t="str">
        <f>"59000"</f>
        <v>59000</v>
      </c>
      <c r="B3554" s="5" t="s">
        <v>3709</v>
      </c>
      <c r="C3554" s="17">
        <v>20230101</v>
      </c>
      <c r="D3554" s="17">
        <v>22991231</v>
      </c>
      <c r="E3554" s="25">
        <v>58.48</v>
      </c>
    </row>
    <row r="3555" spans="1:5" ht="26" x14ac:dyDescent="0.3">
      <c r="A3555" s="17" t="str">
        <f>"59001"</f>
        <v>59001</v>
      </c>
      <c r="B3555" s="5" t="s">
        <v>3710</v>
      </c>
      <c r="C3555" s="17">
        <v>20230101</v>
      </c>
      <c r="D3555" s="17">
        <v>22991231</v>
      </c>
      <c r="E3555" s="25">
        <v>158.94999999999999</v>
      </c>
    </row>
    <row r="3556" spans="1:5" x14ac:dyDescent="0.3">
      <c r="A3556" s="17" t="str">
        <f>"59012"</f>
        <v>59012</v>
      </c>
      <c r="B3556" s="5" t="s">
        <v>3711</v>
      </c>
      <c r="C3556" s="17">
        <v>20230101</v>
      </c>
      <c r="D3556" s="17">
        <v>22991231</v>
      </c>
      <c r="E3556" s="25">
        <v>158.94999999999999</v>
      </c>
    </row>
    <row r="3557" spans="1:5" x14ac:dyDescent="0.3">
      <c r="A3557" s="17" t="str">
        <f>"59015"</f>
        <v>59015</v>
      </c>
      <c r="B3557" s="5" t="s">
        <v>3712</v>
      </c>
      <c r="C3557" s="17">
        <v>19900101</v>
      </c>
      <c r="D3557" s="17">
        <v>22991231</v>
      </c>
      <c r="E3557" s="25">
        <v>59.42</v>
      </c>
    </row>
    <row r="3558" spans="1:5" x14ac:dyDescent="0.3">
      <c r="A3558" s="17" t="str">
        <f>"59020"</f>
        <v>59020</v>
      </c>
      <c r="B3558" s="5" t="s">
        <v>3713</v>
      </c>
      <c r="C3558" s="17">
        <v>20230101</v>
      </c>
      <c r="D3558" s="17">
        <v>22991231</v>
      </c>
      <c r="E3558" s="25">
        <v>40.659999999999997</v>
      </c>
    </row>
    <row r="3559" spans="1:5" x14ac:dyDescent="0.3">
      <c r="A3559" s="17" t="str">
        <f>"59025"</f>
        <v>59025</v>
      </c>
      <c r="B3559" s="5" t="s">
        <v>3714</v>
      </c>
      <c r="C3559" s="17">
        <v>20230101</v>
      </c>
      <c r="D3559" s="17">
        <v>22991231</v>
      </c>
      <c r="E3559" s="25">
        <v>25.33</v>
      </c>
    </row>
    <row r="3560" spans="1:5" ht="26" x14ac:dyDescent="0.3">
      <c r="A3560" s="17" t="str">
        <f>"59051"</f>
        <v>59051</v>
      </c>
      <c r="B3560" s="5" t="s">
        <v>3715</v>
      </c>
      <c r="C3560" s="17">
        <v>19950101</v>
      </c>
      <c r="D3560" s="17">
        <v>22991231</v>
      </c>
      <c r="E3560" s="24" t="s">
        <v>7128</v>
      </c>
    </row>
    <row r="3561" spans="1:5" ht="26" x14ac:dyDescent="0.3">
      <c r="A3561" s="17" t="str">
        <f>"59070"</f>
        <v>59070</v>
      </c>
      <c r="B3561" s="5" t="s">
        <v>3716</v>
      </c>
      <c r="C3561" s="17">
        <v>20230101</v>
      </c>
      <c r="D3561" s="17">
        <v>22991231</v>
      </c>
      <c r="E3561" s="25">
        <v>158.94999999999999</v>
      </c>
    </row>
    <row r="3562" spans="1:5" ht="26" x14ac:dyDescent="0.3">
      <c r="A3562" s="17" t="str">
        <f>"59072"</f>
        <v>59072</v>
      </c>
      <c r="B3562" s="5" t="s">
        <v>3717</v>
      </c>
      <c r="C3562" s="17">
        <v>20230101</v>
      </c>
      <c r="D3562" s="17">
        <v>22991231</v>
      </c>
      <c r="E3562" s="25">
        <v>213</v>
      </c>
    </row>
    <row r="3563" spans="1:5" x14ac:dyDescent="0.3">
      <c r="A3563" s="17" t="str">
        <f>"59074"</f>
        <v>59074</v>
      </c>
      <c r="B3563" s="5" t="s">
        <v>3718</v>
      </c>
      <c r="C3563" s="17">
        <v>20230101</v>
      </c>
      <c r="D3563" s="17">
        <v>22991231</v>
      </c>
      <c r="E3563" s="25">
        <v>158.94999999999999</v>
      </c>
    </row>
    <row r="3564" spans="1:5" ht="26" x14ac:dyDescent="0.3">
      <c r="A3564" s="17" t="str">
        <f>"59076"</f>
        <v>59076</v>
      </c>
      <c r="B3564" s="5" t="s">
        <v>3719</v>
      </c>
      <c r="C3564" s="17">
        <v>20230101</v>
      </c>
      <c r="D3564" s="17">
        <v>22991231</v>
      </c>
      <c r="E3564" s="25">
        <v>158.94999999999999</v>
      </c>
    </row>
    <row r="3565" spans="1:5" x14ac:dyDescent="0.3">
      <c r="A3565" s="17" t="str">
        <f>"59100"</f>
        <v>59100</v>
      </c>
      <c r="B3565" s="5" t="s">
        <v>3720</v>
      </c>
      <c r="C3565" s="17">
        <v>20230101</v>
      </c>
      <c r="D3565" s="17">
        <v>22991231</v>
      </c>
      <c r="E3565" s="25">
        <v>2039.79</v>
      </c>
    </row>
    <row r="3566" spans="1:5" ht="26" x14ac:dyDescent="0.3">
      <c r="A3566" s="17" t="str">
        <f>"59150"</f>
        <v>59150</v>
      </c>
      <c r="B3566" s="5" t="s">
        <v>3721</v>
      </c>
      <c r="C3566" s="17">
        <v>19900401</v>
      </c>
      <c r="D3566" s="17">
        <v>22991231</v>
      </c>
      <c r="E3566" s="25">
        <v>2584.12</v>
      </c>
    </row>
    <row r="3567" spans="1:5" ht="26" x14ac:dyDescent="0.3">
      <c r="A3567" s="17" t="str">
        <f>"59151"</f>
        <v>59151</v>
      </c>
      <c r="B3567" s="5" t="s">
        <v>3722</v>
      </c>
      <c r="C3567" s="17">
        <v>20230101</v>
      </c>
      <c r="D3567" s="17">
        <v>22991231</v>
      </c>
      <c r="E3567" s="25">
        <v>2584.12</v>
      </c>
    </row>
    <row r="3568" spans="1:5" x14ac:dyDescent="0.3">
      <c r="A3568" s="17" t="str">
        <f>"59160"</f>
        <v>59160</v>
      </c>
      <c r="B3568" s="5" t="s">
        <v>3723</v>
      </c>
      <c r="C3568" s="17">
        <v>20030701</v>
      </c>
      <c r="D3568" s="17">
        <v>22991231</v>
      </c>
      <c r="E3568" s="25">
        <v>1515.11</v>
      </c>
    </row>
    <row r="3569" spans="1:5" x14ac:dyDescent="0.3">
      <c r="A3569" s="17" t="str">
        <f>"59200"</f>
        <v>59200</v>
      </c>
      <c r="B3569" s="5" t="s">
        <v>3724</v>
      </c>
      <c r="C3569" s="17">
        <v>20030701</v>
      </c>
      <c r="D3569" s="17">
        <v>22991231</v>
      </c>
      <c r="E3569" s="25">
        <v>66.930000000000007</v>
      </c>
    </row>
    <row r="3570" spans="1:5" x14ac:dyDescent="0.3">
      <c r="A3570" s="17" t="str">
        <f>"59300"</f>
        <v>59300</v>
      </c>
      <c r="B3570" s="5" t="s">
        <v>3725</v>
      </c>
      <c r="C3570" s="17">
        <v>19900101</v>
      </c>
      <c r="D3570" s="17">
        <v>22991231</v>
      </c>
      <c r="E3570" s="25">
        <v>119.16</v>
      </c>
    </row>
    <row r="3571" spans="1:5" x14ac:dyDescent="0.3">
      <c r="A3571" s="17" t="str">
        <f>"59320"</f>
        <v>59320</v>
      </c>
      <c r="B3571" s="5" t="s">
        <v>3726</v>
      </c>
      <c r="C3571" s="17">
        <v>20030401</v>
      </c>
      <c r="D3571" s="17">
        <v>22991231</v>
      </c>
      <c r="E3571" s="25">
        <v>1515.11</v>
      </c>
    </row>
    <row r="3572" spans="1:5" x14ac:dyDescent="0.3">
      <c r="A3572" s="17" t="str">
        <f>"59412"</f>
        <v>59412</v>
      </c>
      <c r="B3572" s="5" t="s">
        <v>3727</v>
      </c>
      <c r="C3572" s="17">
        <v>20230101</v>
      </c>
      <c r="D3572" s="17">
        <v>22991231</v>
      </c>
      <c r="E3572" s="25">
        <v>1515.11</v>
      </c>
    </row>
    <row r="3573" spans="1:5" x14ac:dyDescent="0.3">
      <c r="A3573" s="17" t="str">
        <f>"59414"</f>
        <v>59414</v>
      </c>
      <c r="B3573" s="5" t="s">
        <v>3728</v>
      </c>
      <c r="C3573" s="17">
        <v>20230101</v>
      </c>
      <c r="D3573" s="17">
        <v>22991231</v>
      </c>
      <c r="E3573" s="25">
        <v>1515.11</v>
      </c>
    </row>
    <row r="3574" spans="1:5" x14ac:dyDescent="0.3">
      <c r="A3574" s="17" t="str">
        <f>"59415"</f>
        <v>59415</v>
      </c>
      <c r="B3574" s="5" t="s">
        <v>3729</v>
      </c>
      <c r="C3574" s="17">
        <v>20050701</v>
      </c>
      <c r="D3574" s="17">
        <v>22991231</v>
      </c>
      <c r="E3574" s="24" t="s">
        <v>7128</v>
      </c>
    </row>
    <row r="3575" spans="1:5" ht="26" x14ac:dyDescent="0.3">
      <c r="A3575" s="17" t="str">
        <f>"59612"</f>
        <v>59612</v>
      </c>
      <c r="B3575" s="5" t="s">
        <v>3730</v>
      </c>
      <c r="C3575" s="17">
        <v>19960101</v>
      </c>
      <c r="D3575" s="17">
        <v>22991231</v>
      </c>
      <c r="E3575" s="24" t="s">
        <v>7128</v>
      </c>
    </row>
    <row r="3576" spans="1:5" ht="26" x14ac:dyDescent="0.3">
      <c r="A3576" s="17" t="str">
        <f>"59614"</f>
        <v>59614</v>
      </c>
      <c r="B3576" s="5" t="s">
        <v>3731</v>
      </c>
      <c r="C3576" s="17">
        <v>19960101</v>
      </c>
      <c r="D3576" s="17">
        <v>22991231</v>
      </c>
      <c r="E3576" s="24" t="s">
        <v>7128</v>
      </c>
    </row>
    <row r="3577" spans="1:5" ht="39" x14ac:dyDescent="0.3">
      <c r="A3577" s="17" t="str">
        <f>"59622"</f>
        <v>59622</v>
      </c>
      <c r="B3577" s="5" t="s">
        <v>3732</v>
      </c>
      <c r="C3577" s="17">
        <v>19960101</v>
      </c>
      <c r="D3577" s="17">
        <v>22991231</v>
      </c>
      <c r="E3577" s="24" t="s">
        <v>7128</v>
      </c>
    </row>
    <row r="3578" spans="1:5" x14ac:dyDescent="0.3">
      <c r="A3578" s="17" t="str">
        <f>"59812"</f>
        <v>59812</v>
      </c>
      <c r="B3578" s="5" t="s">
        <v>3733</v>
      </c>
      <c r="C3578" s="17">
        <v>19900401</v>
      </c>
      <c r="D3578" s="17">
        <v>22991231</v>
      </c>
      <c r="E3578" s="25">
        <v>1515.11</v>
      </c>
    </row>
    <row r="3579" spans="1:5" x14ac:dyDescent="0.3">
      <c r="A3579" s="17" t="str">
        <f>"59820"</f>
        <v>59820</v>
      </c>
      <c r="B3579" s="5" t="s">
        <v>3734</v>
      </c>
      <c r="C3579" s="17">
        <v>19900101</v>
      </c>
      <c r="D3579" s="17">
        <v>22991231</v>
      </c>
      <c r="E3579" s="25">
        <v>1515.11</v>
      </c>
    </row>
    <row r="3580" spans="1:5" ht="26" x14ac:dyDescent="0.3">
      <c r="A3580" s="17" t="str">
        <f>"59821"</f>
        <v>59821</v>
      </c>
      <c r="B3580" s="5" t="s">
        <v>3735</v>
      </c>
      <c r="C3580" s="17">
        <v>19900401</v>
      </c>
      <c r="D3580" s="17">
        <v>22991231</v>
      </c>
      <c r="E3580" s="25">
        <v>1515.11</v>
      </c>
    </row>
    <row r="3581" spans="1:5" ht="26" x14ac:dyDescent="0.3">
      <c r="A3581" s="17" t="str">
        <f>"59840"</f>
        <v>59840</v>
      </c>
      <c r="B3581" s="5" t="s">
        <v>3736</v>
      </c>
      <c r="C3581" s="17">
        <v>20030701</v>
      </c>
      <c r="D3581" s="17">
        <v>22991231</v>
      </c>
      <c r="E3581" s="25">
        <v>1515.11</v>
      </c>
    </row>
    <row r="3582" spans="1:5" x14ac:dyDescent="0.3">
      <c r="A3582" s="17" t="str">
        <f>"59841"</f>
        <v>59841</v>
      </c>
      <c r="B3582" s="5" t="s">
        <v>3737</v>
      </c>
      <c r="C3582" s="17">
        <v>20030701</v>
      </c>
      <c r="D3582" s="17">
        <v>22991231</v>
      </c>
      <c r="E3582" s="25">
        <v>1515.11</v>
      </c>
    </row>
    <row r="3583" spans="1:5" x14ac:dyDescent="0.3">
      <c r="A3583" s="17" t="str">
        <f>"59866"</f>
        <v>59866</v>
      </c>
      <c r="B3583" s="5" t="s">
        <v>3738</v>
      </c>
      <c r="C3583" s="17">
        <v>20030701</v>
      </c>
      <c r="D3583" s="17">
        <v>22991231</v>
      </c>
      <c r="E3583" s="25">
        <v>158.94999999999999</v>
      </c>
    </row>
    <row r="3584" spans="1:5" ht="26" x14ac:dyDescent="0.3">
      <c r="A3584" s="17" t="str">
        <f>"59870"</f>
        <v>59870</v>
      </c>
      <c r="B3584" s="5" t="s">
        <v>3739</v>
      </c>
      <c r="C3584" s="17">
        <v>20030701</v>
      </c>
      <c r="D3584" s="17">
        <v>22991231</v>
      </c>
      <c r="E3584" s="25">
        <v>1515.11</v>
      </c>
    </row>
    <row r="3585" spans="1:5" x14ac:dyDescent="0.3">
      <c r="A3585" s="17" t="str">
        <f>"59871"</f>
        <v>59871</v>
      </c>
      <c r="B3585" s="5" t="s">
        <v>3740</v>
      </c>
      <c r="C3585" s="17">
        <v>19980101</v>
      </c>
      <c r="D3585" s="17">
        <v>22991231</v>
      </c>
      <c r="E3585" s="25">
        <v>1515.11</v>
      </c>
    </row>
    <row r="3586" spans="1:5" x14ac:dyDescent="0.3">
      <c r="A3586" s="17" t="str">
        <f>"60000"</f>
        <v>60000</v>
      </c>
      <c r="B3586" s="5" t="s">
        <v>3741</v>
      </c>
      <c r="C3586" s="17">
        <v>19900101</v>
      </c>
      <c r="D3586" s="17">
        <v>22991231</v>
      </c>
      <c r="E3586" s="25">
        <v>636.91999999999996</v>
      </c>
    </row>
    <row r="3587" spans="1:5" x14ac:dyDescent="0.3">
      <c r="A3587" s="17" t="str">
        <f>"60100"</f>
        <v>60100</v>
      </c>
      <c r="B3587" s="5" t="s">
        <v>3742</v>
      </c>
      <c r="C3587" s="17">
        <v>19900101</v>
      </c>
      <c r="D3587" s="17">
        <v>22991231</v>
      </c>
      <c r="E3587" s="25">
        <v>48.79</v>
      </c>
    </row>
    <row r="3588" spans="1:5" x14ac:dyDescent="0.3">
      <c r="A3588" s="17" t="str">
        <f>"60200"</f>
        <v>60200</v>
      </c>
      <c r="B3588" s="5" t="s">
        <v>3743</v>
      </c>
      <c r="C3588" s="17">
        <v>19900101</v>
      </c>
      <c r="D3588" s="17">
        <v>22991231</v>
      </c>
      <c r="E3588" s="25">
        <v>2584.12</v>
      </c>
    </row>
    <row r="3589" spans="1:5" x14ac:dyDescent="0.3">
      <c r="A3589" s="17" t="str">
        <f>"60210"</f>
        <v>60210</v>
      </c>
      <c r="B3589" s="5" t="s">
        <v>3744</v>
      </c>
      <c r="C3589" s="17">
        <v>20230101</v>
      </c>
      <c r="D3589" s="17">
        <v>22991231</v>
      </c>
      <c r="E3589" s="25">
        <v>2584.12</v>
      </c>
    </row>
    <row r="3590" spans="1:5" ht="26" x14ac:dyDescent="0.3">
      <c r="A3590" s="17" t="str">
        <f>"60212"</f>
        <v>60212</v>
      </c>
      <c r="B3590" s="5" t="s">
        <v>3745</v>
      </c>
      <c r="C3590" s="17">
        <v>20230101</v>
      </c>
      <c r="D3590" s="17">
        <v>22991231</v>
      </c>
      <c r="E3590" s="25">
        <v>2584.12</v>
      </c>
    </row>
    <row r="3591" spans="1:5" x14ac:dyDescent="0.3">
      <c r="A3591" s="17" t="str">
        <f>"60220"</f>
        <v>60220</v>
      </c>
      <c r="B3591" s="5" t="s">
        <v>3746</v>
      </c>
      <c r="C3591" s="17">
        <v>19900101</v>
      </c>
      <c r="D3591" s="17">
        <v>22991231</v>
      </c>
      <c r="E3591" s="25">
        <v>2584.12</v>
      </c>
    </row>
    <row r="3592" spans="1:5" ht="39" x14ac:dyDescent="0.3">
      <c r="A3592" s="17" t="str">
        <f>"60225"</f>
        <v>60225</v>
      </c>
      <c r="B3592" s="5" t="s">
        <v>3747</v>
      </c>
      <c r="C3592" s="17">
        <v>19900101</v>
      </c>
      <c r="D3592" s="17">
        <v>22991231</v>
      </c>
      <c r="E3592" s="25">
        <v>2584.12</v>
      </c>
    </row>
    <row r="3593" spans="1:5" x14ac:dyDescent="0.3">
      <c r="A3593" s="17" t="str">
        <f>"60240"</f>
        <v>60240</v>
      </c>
      <c r="B3593" s="5" t="s">
        <v>3748</v>
      </c>
      <c r="C3593" s="17">
        <v>19900101</v>
      </c>
      <c r="D3593" s="17">
        <v>22991231</v>
      </c>
      <c r="E3593" s="25">
        <v>2584.12</v>
      </c>
    </row>
    <row r="3594" spans="1:5" ht="26" x14ac:dyDescent="0.3">
      <c r="A3594" s="17" t="str">
        <f>"60252"</f>
        <v>60252</v>
      </c>
      <c r="B3594" s="5" t="s">
        <v>3749</v>
      </c>
      <c r="C3594" s="17">
        <v>19900101</v>
      </c>
      <c r="D3594" s="17">
        <v>22991231</v>
      </c>
      <c r="E3594" s="24" t="s">
        <v>7128</v>
      </c>
    </row>
    <row r="3595" spans="1:5" ht="26" x14ac:dyDescent="0.3">
      <c r="A3595" s="17" t="str">
        <f>"60260"</f>
        <v>60260</v>
      </c>
      <c r="B3595" s="5" t="s">
        <v>3750</v>
      </c>
      <c r="C3595" s="17">
        <v>19900101</v>
      </c>
      <c r="D3595" s="17">
        <v>22991231</v>
      </c>
      <c r="E3595" s="25">
        <v>2637</v>
      </c>
    </row>
    <row r="3596" spans="1:5" ht="26" x14ac:dyDescent="0.3">
      <c r="A3596" s="17" t="str">
        <f>"60280"</f>
        <v>60280</v>
      </c>
      <c r="B3596" s="5" t="s">
        <v>3751</v>
      </c>
      <c r="C3596" s="17">
        <v>19900101</v>
      </c>
      <c r="D3596" s="17">
        <v>22991231</v>
      </c>
      <c r="E3596" s="25">
        <v>2584.12</v>
      </c>
    </row>
    <row r="3597" spans="1:5" ht="26" x14ac:dyDescent="0.3">
      <c r="A3597" s="17" t="str">
        <f>"60281"</f>
        <v>60281</v>
      </c>
      <c r="B3597" s="5" t="s">
        <v>3752</v>
      </c>
      <c r="C3597" s="17">
        <v>19900101</v>
      </c>
      <c r="D3597" s="17">
        <v>22991231</v>
      </c>
      <c r="E3597" s="25">
        <v>2584.12</v>
      </c>
    </row>
    <row r="3598" spans="1:5" x14ac:dyDescent="0.3">
      <c r="A3598" s="17" t="str">
        <f>"60300"</f>
        <v>60300</v>
      </c>
      <c r="B3598" s="5" t="s">
        <v>3753</v>
      </c>
      <c r="C3598" s="17">
        <v>20080101</v>
      </c>
      <c r="D3598" s="17">
        <v>22991231</v>
      </c>
      <c r="E3598" s="25">
        <v>66.930000000000007</v>
      </c>
    </row>
    <row r="3599" spans="1:5" x14ac:dyDescent="0.3">
      <c r="A3599" s="17" t="str">
        <f>"60500"</f>
        <v>60500</v>
      </c>
      <c r="B3599" s="5" t="s">
        <v>3754</v>
      </c>
      <c r="C3599" s="17">
        <v>19900101</v>
      </c>
      <c r="D3599" s="17">
        <v>22991231</v>
      </c>
      <c r="E3599" s="25">
        <v>2637</v>
      </c>
    </row>
    <row r="3600" spans="1:5" ht="26" x14ac:dyDescent="0.3">
      <c r="A3600" s="17" t="str">
        <f>"60512"</f>
        <v>60512</v>
      </c>
      <c r="B3600" s="5" t="s">
        <v>3755</v>
      </c>
      <c r="C3600" s="17">
        <v>20230101</v>
      </c>
      <c r="D3600" s="17">
        <v>22991231</v>
      </c>
      <c r="E3600" s="25">
        <v>0</v>
      </c>
    </row>
    <row r="3601" spans="1:5" x14ac:dyDescent="0.3">
      <c r="A3601" s="17" t="str">
        <f>"60520"</f>
        <v>60520</v>
      </c>
      <c r="B3601" s="5" t="s">
        <v>3756</v>
      </c>
      <c r="C3601" s="17">
        <v>19900101</v>
      </c>
      <c r="D3601" s="17">
        <v>22991231</v>
      </c>
      <c r="E3601" s="24" t="s">
        <v>7128</v>
      </c>
    </row>
    <row r="3602" spans="1:5" ht="26" x14ac:dyDescent="0.3">
      <c r="A3602" s="17" t="str">
        <f>"60659"</f>
        <v>60659</v>
      </c>
      <c r="B3602" s="5" t="s">
        <v>3757</v>
      </c>
      <c r="C3602" s="17">
        <v>20000101</v>
      </c>
      <c r="D3602" s="17">
        <v>22991231</v>
      </c>
      <c r="E3602" s="24" t="s">
        <v>7128</v>
      </c>
    </row>
    <row r="3603" spans="1:5" x14ac:dyDescent="0.3">
      <c r="A3603" s="17" t="str">
        <f>"60699"</f>
        <v>60699</v>
      </c>
      <c r="B3603" s="5" t="s">
        <v>3758</v>
      </c>
      <c r="C3603" s="17">
        <v>19900101</v>
      </c>
      <c r="D3603" s="17">
        <v>22991231</v>
      </c>
      <c r="E3603" s="24" t="s">
        <v>7128</v>
      </c>
    </row>
    <row r="3604" spans="1:5" ht="26" x14ac:dyDescent="0.3">
      <c r="A3604" s="17" t="str">
        <f>"61000"</f>
        <v>61000</v>
      </c>
      <c r="B3604" s="5" t="s">
        <v>3759</v>
      </c>
      <c r="C3604" s="17">
        <v>19900101</v>
      </c>
      <c r="D3604" s="17">
        <v>22991231</v>
      </c>
      <c r="E3604" s="25">
        <v>342.64</v>
      </c>
    </row>
    <row r="3605" spans="1:5" ht="26" x14ac:dyDescent="0.3">
      <c r="A3605" s="17" t="str">
        <f>"61001"</f>
        <v>61001</v>
      </c>
      <c r="B3605" s="5" t="s">
        <v>3760</v>
      </c>
      <c r="C3605" s="17">
        <v>19900101</v>
      </c>
      <c r="D3605" s="17">
        <v>22991231</v>
      </c>
      <c r="E3605" s="25">
        <v>342.64</v>
      </c>
    </row>
    <row r="3606" spans="1:5" ht="26" x14ac:dyDescent="0.3">
      <c r="A3606" s="17" t="str">
        <f>"61020"</f>
        <v>61020</v>
      </c>
      <c r="B3606" s="5" t="s">
        <v>3761</v>
      </c>
      <c r="C3606" s="17">
        <v>19900101</v>
      </c>
      <c r="D3606" s="17">
        <v>22991231</v>
      </c>
      <c r="E3606" s="25">
        <v>451.6</v>
      </c>
    </row>
    <row r="3607" spans="1:5" ht="26" x14ac:dyDescent="0.3">
      <c r="A3607" s="17" t="str">
        <f>"61026"</f>
        <v>61026</v>
      </c>
      <c r="B3607" s="5" t="s">
        <v>3762</v>
      </c>
      <c r="C3607" s="17">
        <v>19900101</v>
      </c>
      <c r="D3607" s="17">
        <v>22991231</v>
      </c>
      <c r="E3607" s="25">
        <v>342.64</v>
      </c>
    </row>
    <row r="3608" spans="1:5" ht="26" x14ac:dyDescent="0.3">
      <c r="A3608" s="17" t="str">
        <f>"61050"</f>
        <v>61050</v>
      </c>
      <c r="B3608" s="5" t="s">
        <v>3763</v>
      </c>
      <c r="C3608" s="17">
        <v>19900101</v>
      </c>
      <c r="D3608" s="17">
        <v>22991231</v>
      </c>
      <c r="E3608" s="25">
        <v>146.75</v>
      </c>
    </row>
    <row r="3609" spans="1:5" ht="26" x14ac:dyDescent="0.3">
      <c r="A3609" s="17" t="str">
        <f>"61055"</f>
        <v>61055</v>
      </c>
      <c r="B3609" s="5" t="s">
        <v>3764</v>
      </c>
      <c r="C3609" s="17">
        <v>19900101</v>
      </c>
      <c r="D3609" s="17">
        <v>22991231</v>
      </c>
      <c r="E3609" s="25">
        <v>146.75</v>
      </c>
    </row>
    <row r="3610" spans="1:5" ht="26" x14ac:dyDescent="0.3">
      <c r="A3610" s="17" t="str">
        <f>"61070"</f>
        <v>61070</v>
      </c>
      <c r="B3610" s="5" t="s">
        <v>3765</v>
      </c>
      <c r="C3610" s="17">
        <v>19900101</v>
      </c>
      <c r="D3610" s="17">
        <v>22991231</v>
      </c>
      <c r="E3610" s="25">
        <v>342.64</v>
      </c>
    </row>
    <row r="3611" spans="1:5" ht="26" x14ac:dyDescent="0.3">
      <c r="A3611" s="17" t="str">
        <f>"61215"</f>
        <v>61215</v>
      </c>
      <c r="B3611" s="5" t="s">
        <v>3766</v>
      </c>
      <c r="C3611" s="17">
        <v>19900101</v>
      </c>
      <c r="D3611" s="17">
        <v>22991231</v>
      </c>
      <c r="E3611" s="25">
        <v>2877.66</v>
      </c>
    </row>
    <row r="3612" spans="1:5" x14ac:dyDescent="0.3">
      <c r="A3612" s="17" t="str">
        <f>"61330"</f>
        <v>61330</v>
      </c>
      <c r="B3612" s="5" t="s">
        <v>3767</v>
      </c>
      <c r="C3612" s="17">
        <v>19900101</v>
      </c>
      <c r="D3612" s="17">
        <v>22991231</v>
      </c>
      <c r="E3612" s="25">
        <v>1259.74</v>
      </c>
    </row>
    <row r="3613" spans="1:5" ht="26" x14ac:dyDescent="0.3">
      <c r="A3613" s="17" t="str">
        <f>"61500"</f>
        <v>61500</v>
      </c>
      <c r="B3613" s="5" t="s">
        <v>3768</v>
      </c>
      <c r="C3613" s="17">
        <v>19900101</v>
      </c>
      <c r="D3613" s="17">
        <v>22991231</v>
      </c>
      <c r="E3613" s="24" t="s">
        <v>7128</v>
      </c>
    </row>
    <row r="3614" spans="1:5" ht="26" x14ac:dyDescent="0.3">
      <c r="A3614" s="17" t="str">
        <f>"61516"</f>
        <v>61516</v>
      </c>
      <c r="B3614" s="5" t="s">
        <v>3769</v>
      </c>
      <c r="C3614" s="17">
        <v>19900101</v>
      </c>
      <c r="D3614" s="17">
        <v>22991231</v>
      </c>
      <c r="E3614" s="24" t="s">
        <v>7128</v>
      </c>
    </row>
    <row r="3615" spans="1:5" ht="26" x14ac:dyDescent="0.3">
      <c r="A3615" s="17" t="str">
        <f>"61518"</f>
        <v>61518</v>
      </c>
      <c r="B3615" s="5" t="s">
        <v>3770</v>
      </c>
      <c r="C3615" s="17">
        <v>19900101</v>
      </c>
      <c r="D3615" s="17">
        <v>22991231</v>
      </c>
      <c r="E3615" s="24" t="s">
        <v>7128</v>
      </c>
    </row>
    <row r="3616" spans="1:5" x14ac:dyDescent="0.3">
      <c r="A3616" s="17" t="str">
        <f>"61626"</f>
        <v>61626</v>
      </c>
      <c r="B3616" s="5" t="s">
        <v>3771</v>
      </c>
      <c r="C3616" s="17">
        <v>19920115</v>
      </c>
      <c r="D3616" s="17">
        <v>22991231</v>
      </c>
      <c r="E3616" s="24" t="s">
        <v>7128</v>
      </c>
    </row>
    <row r="3617" spans="1:5" ht="26" x14ac:dyDescent="0.3">
      <c r="A3617" s="17" t="str">
        <f>"61720"</f>
        <v>61720</v>
      </c>
      <c r="B3617" s="5" t="s">
        <v>3772</v>
      </c>
      <c r="C3617" s="17">
        <v>19900101</v>
      </c>
      <c r="D3617" s="17">
        <v>22991231</v>
      </c>
      <c r="E3617" s="24" t="s">
        <v>7128</v>
      </c>
    </row>
    <row r="3618" spans="1:5" ht="26" x14ac:dyDescent="0.3">
      <c r="A3618" s="17" t="str">
        <f>"61770"</f>
        <v>61770</v>
      </c>
      <c r="B3618" s="5" t="s">
        <v>3773</v>
      </c>
      <c r="C3618" s="17">
        <v>20230101</v>
      </c>
      <c r="D3618" s="17">
        <v>22991231</v>
      </c>
      <c r="E3618" s="25">
        <v>2877.66</v>
      </c>
    </row>
    <row r="3619" spans="1:5" x14ac:dyDescent="0.3">
      <c r="A3619" s="17" t="str">
        <f>"61781"</f>
        <v>61781</v>
      </c>
      <c r="B3619" s="5" t="s">
        <v>3774</v>
      </c>
      <c r="C3619" s="17">
        <v>20110101</v>
      </c>
      <c r="D3619" s="17">
        <v>22991231</v>
      </c>
      <c r="E3619" s="25">
        <v>0</v>
      </c>
    </row>
    <row r="3620" spans="1:5" ht="26" x14ac:dyDescent="0.3">
      <c r="A3620" s="17" t="str">
        <f>"61782"</f>
        <v>61782</v>
      </c>
      <c r="B3620" s="5" t="s">
        <v>3775</v>
      </c>
      <c r="C3620" s="17">
        <v>20110101</v>
      </c>
      <c r="D3620" s="17">
        <v>22991231</v>
      </c>
      <c r="E3620" s="25">
        <v>0</v>
      </c>
    </row>
    <row r="3621" spans="1:5" x14ac:dyDescent="0.3">
      <c r="A3621" s="17" t="str">
        <f>"61783"</f>
        <v>61783</v>
      </c>
      <c r="B3621" s="5" t="s">
        <v>3776</v>
      </c>
      <c r="C3621" s="17">
        <v>20110101</v>
      </c>
      <c r="D3621" s="17">
        <v>22991231</v>
      </c>
      <c r="E3621" s="25">
        <v>0</v>
      </c>
    </row>
    <row r="3622" spans="1:5" ht="26" x14ac:dyDescent="0.3">
      <c r="A3622" s="17" t="str">
        <f>"61790"</f>
        <v>61790</v>
      </c>
      <c r="B3622" s="5" t="s">
        <v>3777</v>
      </c>
      <c r="C3622" s="17">
        <v>19900101</v>
      </c>
      <c r="D3622" s="17">
        <v>22991231</v>
      </c>
      <c r="E3622" s="25">
        <v>857.51</v>
      </c>
    </row>
    <row r="3623" spans="1:5" ht="26" x14ac:dyDescent="0.3">
      <c r="A3623" s="17" t="str">
        <f>"61791"</f>
        <v>61791</v>
      </c>
      <c r="B3623" s="5" t="s">
        <v>3778</v>
      </c>
      <c r="C3623" s="17">
        <v>19900101</v>
      </c>
      <c r="D3623" s="17">
        <v>22991231</v>
      </c>
      <c r="E3623" s="25">
        <v>857.51</v>
      </c>
    </row>
    <row r="3624" spans="1:5" ht="26" x14ac:dyDescent="0.3">
      <c r="A3624" s="17" t="str">
        <f>"61796"</f>
        <v>61796</v>
      </c>
      <c r="B3624" s="5" t="s">
        <v>3779</v>
      </c>
      <c r="C3624" s="17">
        <v>20090101</v>
      </c>
      <c r="D3624" s="17">
        <v>22991231</v>
      </c>
      <c r="E3624" s="24" t="s">
        <v>7128</v>
      </c>
    </row>
    <row r="3625" spans="1:5" ht="26" x14ac:dyDescent="0.3">
      <c r="A3625" s="17" t="str">
        <f>"61797"</f>
        <v>61797</v>
      </c>
      <c r="B3625" s="5" t="s">
        <v>3780</v>
      </c>
      <c r="C3625" s="17">
        <v>20090101</v>
      </c>
      <c r="D3625" s="17">
        <v>22991231</v>
      </c>
      <c r="E3625" s="24" t="s">
        <v>7128</v>
      </c>
    </row>
    <row r="3626" spans="1:5" ht="26" x14ac:dyDescent="0.3">
      <c r="A3626" s="17" t="str">
        <f>"61798"</f>
        <v>61798</v>
      </c>
      <c r="B3626" s="5" t="s">
        <v>3781</v>
      </c>
      <c r="C3626" s="17">
        <v>20090101</v>
      </c>
      <c r="D3626" s="17">
        <v>22991231</v>
      </c>
      <c r="E3626" s="24" t="s">
        <v>7128</v>
      </c>
    </row>
    <row r="3627" spans="1:5" ht="26" x14ac:dyDescent="0.3">
      <c r="A3627" s="17" t="str">
        <f>"61799"</f>
        <v>61799</v>
      </c>
      <c r="B3627" s="5" t="s">
        <v>3782</v>
      </c>
      <c r="C3627" s="17">
        <v>20090101</v>
      </c>
      <c r="D3627" s="17">
        <v>22991231</v>
      </c>
      <c r="E3627" s="24" t="s">
        <v>7128</v>
      </c>
    </row>
    <row r="3628" spans="1:5" ht="26" x14ac:dyDescent="0.3">
      <c r="A3628" s="17" t="str">
        <f>"61800"</f>
        <v>61800</v>
      </c>
      <c r="B3628" s="5" t="s">
        <v>3783</v>
      </c>
      <c r="C3628" s="17">
        <v>20090101</v>
      </c>
      <c r="D3628" s="17">
        <v>22991231</v>
      </c>
      <c r="E3628" s="24" t="s">
        <v>7128</v>
      </c>
    </row>
    <row r="3629" spans="1:5" ht="26" x14ac:dyDescent="0.3">
      <c r="A3629" s="17" t="str">
        <f>"61880"</f>
        <v>61880</v>
      </c>
      <c r="B3629" s="5" t="s">
        <v>3784</v>
      </c>
      <c r="C3629" s="17">
        <v>19900101</v>
      </c>
      <c r="D3629" s="17">
        <v>22991231</v>
      </c>
      <c r="E3629" s="25">
        <v>1813.03</v>
      </c>
    </row>
    <row r="3630" spans="1:5" ht="26" x14ac:dyDescent="0.3">
      <c r="A3630" s="17" t="str">
        <f>"61885"</f>
        <v>61885</v>
      </c>
      <c r="B3630" s="5" t="s">
        <v>3785</v>
      </c>
      <c r="C3630" s="17">
        <v>19900101</v>
      </c>
      <c r="D3630" s="17">
        <v>22991231</v>
      </c>
      <c r="E3630" s="25">
        <v>18492.72</v>
      </c>
    </row>
    <row r="3631" spans="1:5" ht="26" x14ac:dyDescent="0.3">
      <c r="A3631" s="17" t="str">
        <f>"61886"</f>
        <v>61886</v>
      </c>
      <c r="B3631" s="5" t="s">
        <v>3786</v>
      </c>
      <c r="C3631" s="17">
        <v>20000101</v>
      </c>
      <c r="D3631" s="17">
        <v>22991231</v>
      </c>
      <c r="E3631" s="25">
        <v>24180.75</v>
      </c>
    </row>
    <row r="3632" spans="1:5" x14ac:dyDescent="0.3">
      <c r="A3632" s="17" t="str">
        <f>"61888"</f>
        <v>61888</v>
      </c>
      <c r="B3632" s="5" t="s">
        <v>3787</v>
      </c>
      <c r="C3632" s="17">
        <v>19900101</v>
      </c>
      <c r="D3632" s="17">
        <v>22991231</v>
      </c>
      <c r="E3632" s="25">
        <v>10291.209999999999</v>
      </c>
    </row>
    <row r="3633" spans="1:5" x14ac:dyDescent="0.3">
      <c r="A3633" s="17" t="str">
        <f>"62000"</f>
        <v>62000</v>
      </c>
      <c r="B3633" s="5" t="s">
        <v>3788</v>
      </c>
      <c r="C3633" s="17">
        <v>19900101</v>
      </c>
      <c r="D3633" s="17">
        <v>22991231</v>
      </c>
      <c r="E3633" s="24" t="s">
        <v>7128</v>
      </c>
    </row>
    <row r="3634" spans="1:5" x14ac:dyDescent="0.3">
      <c r="A3634" s="17" t="str">
        <f>"62160"</f>
        <v>62160</v>
      </c>
      <c r="B3634" s="5" t="s">
        <v>3789</v>
      </c>
      <c r="C3634" s="17">
        <v>20230101</v>
      </c>
      <c r="D3634" s="17">
        <v>22991231</v>
      </c>
      <c r="E3634" s="25">
        <v>0</v>
      </c>
    </row>
    <row r="3635" spans="1:5" ht="26" x14ac:dyDescent="0.3">
      <c r="A3635" s="17" t="str">
        <f>"62194"</f>
        <v>62194</v>
      </c>
      <c r="B3635" s="5" t="s">
        <v>3790</v>
      </c>
      <c r="C3635" s="17">
        <v>19900101</v>
      </c>
      <c r="D3635" s="17">
        <v>22991231</v>
      </c>
      <c r="E3635" s="25">
        <v>857.51</v>
      </c>
    </row>
    <row r="3636" spans="1:5" x14ac:dyDescent="0.3">
      <c r="A3636" s="17" t="str">
        <f>"62225"</f>
        <v>62225</v>
      </c>
      <c r="B3636" s="5" t="s">
        <v>3791</v>
      </c>
      <c r="C3636" s="17">
        <v>19900101</v>
      </c>
      <c r="D3636" s="17">
        <v>22991231</v>
      </c>
      <c r="E3636" s="25">
        <v>2877.66</v>
      </c>
    </row>
    <row r="3637" spans="1:5" ht="26" x14ac:dyDescent="0.3">
      <c r="A3637" s="17" t="str">
        <f>"62230"</f>
        <v>62230</v>
      </c>
      <c r="B3637" s="5" t="s">
        <v>3792</v>
      </c>
      <c r="C3637" s="17">
        <v>19900101</v>
      </c>
      <c r="D3637" s="17">
        <v>22991231</v>
      </c>
      <c r="E3637" s="25">
        <v>2877.66</v>
      </c>
    </row>
    <row r="3638" spans="1:5" x14ac:dyDescent="0.3">
      <c r="A3638" s="17" t="str">
        <f>"62252"</f>
        <v>62252</v>
      </c>
      <c r="B3638" s="5" t="s">
        <v>3793</v>
      </c>
      <c r="C3638" s="17">
        <v>20010101</v>
      </c>
      <c r="D3638" s="17">
        <v>22991231</v>
      </c>
      <c r="E3638" s="25">
        <v>49.1</v>
      </c>
    </row>
    <row r="3639" spans="1:5" ht="26" x14ac:dyDescent="0.3">
      <c r="A3639" s="17" t="str">
        <f>"62263"</f>
        <v>62263</v>
      </c>
      <c r="B3639" s="5" t="s">
        <v>3794</v>
      </c>
      <c r="C3639" s="17">
        <v>20000101</v>
      </c>
      <c r="D3639" s="17">
        <v>22991231</v>
      </c>
      <c r="E3639" s="25">
        <v>451.6</v>
      </c>
    </row>
    <row r="3640" spans="1:5" ht="26" x14ac:dyDescent="0.3">
      <c r="A3640" s="17" t="str">
        <f>"62264"</f>
        <v>62264</v>
      </c>
      <c r="B3640" s="5" t="s">
        <v>3795</v>
      </c>
      <c r="C3640" s="17">
        <v>20030801</v>
      </c>
      <c r="D3640" s="17">
        <v>22991231</v>
      </c>
      <c r="E3640" s="25">
        <v>451.6</v>
      </c>
    </row>
    <row r="3641" spans="1:5" ht="26" x14ac:dyDescent="0.3">
      <c r="A3641" s="17" t="str">
        <f>"62267"</f>
        <v>62267</v>
      </c>
      <c r="B3641" s="5" t="s">
        <v>3796</v>
      </c>
      <c r="C3641" s="17">
        <v>20090101</v>
      </c>
      <c r="D3641" s="17">
        <v>22991231</v>
      </c>
      <c r="E3641" s="25">
        <v>348.6</v>
      </c>
    </row>
    <row r="3642" spans="1:5" ht="26" x14ac:dyDescent="0.3">
      <c r="A3642" s="17" t="str">
        <f>"62268"</f>
        <v>62268</v>
      </c>
      <c r="B3642" s="5" t="s">
        <v>3797</v>
      </c>
      <c r="C3642" s="17">
        <v>19900701</v>
      </c>
      <c r="D3642" s="17">
        <v>22991231</v>
      </c>
      <c r="E3642" s="25">
        <v>451.6</v>
      </c>
    </row>
    <row r="3643" spans="1:5" x14ac:dyDescent="0.3">
      <c r="A3643" s="17" t="str">
        <f>"62269"</f>
        <v>62269</v>
      </c>
      <c r="B3643" s="5" t="s">
        <v>3798</v>
      </c>
      <c r="C3643" s="17">
        <v>19900701</v>
      </c>
      <c r="D3643" s="17">
        <v>22991231</v>
      </c>
      <c r="E3643" s="25">
        <v>652.27</v>
      </c>
    </row>
    <row r="3644" spans="1:5" ht="26" x14ac:dyDescent="0.3">
      <c r="A3644" s="17" t="str">
        <f>"62270"</f>
        <v>62270</v>
      </c>
      <c r="B3644" s="5" t="s">
        <v>3799</v>
      </c>
      <c r="C3644" s="17">
        <v>19900101</v>
      </c>
      <c r="D3644" s="17">
        <v>22991231</v>
      </c>
      <c r="E3644" s="25">
        <v>342.64</v>
      </c>
    </row>
    <row r="3645" spans="1:5" ht="26" x14ac:dyDescent="0.3">
      <c r="A3645" s="17" t="str">
        <f>"62272"</f>
        <v>62272</v>
      </c>
      <c r="B3645" s="5" t="s">
        <v>3800</v>
      </c>
      <c r="C3645" s="17">
        <v>19900101</v>
      </c>
      <c r="D3645" s="17">
        <v>22991231</v>
      </c>
      <c r="E3645" s="25">
        <v>342.64</v>
      </c>
    </row>
    <row r="3646" spans="1:5" x14ac:dyDescent="0.3">
      <c r="A3646" s="17" t="str">
        <f>"62273"</f>
        <v>62273</v>
      </c>
      <c r="B3646" s="5" t="s">
        <v>3801</v>
      </c>
      <c r="C3646" s="17">
        <v>19900101</v>
      </c>
      <c r="D3646" s="17">
        <v>22991231</v>
      </c>
      <c r="E3646" s="25">
        <v>342.64</v>
      </c>
    </row>
    <row r="3647" spans="1:5" ht="26" x14ac:dyDescent="0.3">
      <c r="A3647" s="17" t="str">
        <f>"62280"</f>
        <v>62280</v>
      </c>
      <c r="B3647" s="5" t="s">
        <v>3802</v>
      </c>
      <c r="C3647" s="17">
        <v>19900101</v>
      </c>
      <c r="D3647" s="17">
        <v>22991231</v>
      </c>
      <c r="E3647" s="25">
        <v>451.6</v>
      </c>
    </row>
    <row r="3648" spans="1:5" ht="26" x14ac:dyDescent="0.3">
      <c r="A3648" s="17" t="str">
        <f>"62281"</f>
        <v>62281</v>
      </c>
      <c r="B3648" s="5" t="s">
        <v>3803</v>
      </c>
      <c r="C3648" s="17">
        <v>19920115</v>
      </c>
      <c r="D3648" s="17">
        <v>22991231</v>
      </c>
      <c r="E3648" s="25">
        <v>451.6</v>
      </c>
    </row>
    <row r="3649" spans="1:5" ht="26" x14ac:dyDescent="0.3">
      <c r="A3649" s="17" t="str">
        <f>"62282"</f>
        <v>62282</v>
      </c>
      <c r="B3649" s="5" t="s">
        <v>3804</v>
      </c>
      <c r="C3649" s="17">
        <v>19900101</v>
      </c>
      <c r="D3649" s="17">
        <v>22991231</v>
      </c>
      <c r="E3649" s="25">
        <v>451.6</v>
      </c>
    </row>
    <row r="3650" spans="1:5" ht="26" x14ac:dyDescent="0.3">
      <c r="A3650" s="17" t="str">
        <f>"62284"</f>
        <v>62284</v>
      </c>
      <c r="B3650" s="5" t="s">
        <v>3805</v>
      </c>
      <c r="C3650" s="17">
        <v>19900101</v>
      </c>
      <c r="D3650" s="17">
        <v>22991231</v>
      </c>
      <c r="E3650" s="25">
        <v>0</v>
      </c>
    </row>
    <row r="3651" spans="1:5" ht="26" x14ac:dyDescent="0.3">
      <c r="A3651" s="17" t="str">
        <f>"62287"</f>
        <v>62287</v>
      </c>
      <c r="B3651" s="5" t="s">
        <v>3806</v>
      </c>
      <c r="C3651" s="17">
        <v>19910401</v>
      </c>
      <c r="D3651" s="17">
        <v>22991231</v>
      </c>
      <c r="E3651" s="25">
        <v>857.51</v>
      </c>
    </row>
    <row r="3652" spans="1:5" ht="26" x14ac:dyDescent="0.3">
      <c r="A3652" s="17" t="str">
        <f>"62290"</f>
        <v>62290</v>
      </c>
      <c r="B3652" s="5" t="s">
        <v>3807</v>
      </c>
      <c r="C3652" s="17">
        <v>19900101</v>
      </c>
      <c r="D3652" s="17">
        <v>22991231</v>
      </c>
      <c r="E3652" s="25">
        <v>0</v>
      </c>
    </row>
    <row r="3653" spans="1:5" ht="26" x14ac:dyDescent="0.3">
      <c r="A3653" s="17" t="str">
        <f>"62291"</f>
        <v>62291</v>
      </c>
      <c r="B3653" s="5" t="s">
        <v>3808</v>
      </c>
      <c r="C3653" s="17">
        <v>19900101</v>
      </c>
      <c r="D3653" s="17">
        <v>22991231</v>
      </c>
      <c r="E3653" s="25">
        <v>0</v>
      </c>
    </row>
    <row r="3654" spans="1:5" x14ac:dyDescent="0.3">
      <c r="A3654" s="17" t="str">
        <f>"62292"</f>
        <v>62292</v>
      </c>
      <c r="B3654" s="5" t="s">
        <v>3809</v>
      </c>
      <c r="C3654" s="17">
        <v>19900101</v>
      </c>
      <c r="D3654" s="17">
        <v>22991231</v>
      </c>
      <c r="E3654" s="25">
        <v>857.51</v>
      </c>
    </row>
    <row r="3655" spans="1:5" ht="26" x14ac:dyDescent="0.3">
      <c r="A3655" s="17" t="str">
        <f>"62294"</f>
        <v>62294</v>
      </c>
      <c r="B3655" s="5" t="s">
        <v>3810</v>
      </c>
      <c r="C3655" s="17">
        <v>19900101</v>
      </c>
      <c r="D3655" s="17">
        <v>22991231</v>
      </c>
      <c r="E3655" s="25">
        <v>451.6</v>
      </c>
    </row>
    <row r="3656" spans="1:5" ht="26" x14ac:dyDescent="0.3">
      <c r="A3656" s="17" t="str">
        <f>"62302"</f>
        <v>62302</v>
      </c>
      <c r="B3656" s="5" t="s">
        <v>3811</v>
      </c>
      <c r="C3656" s="17">
        <v>20230101</v>
      </c>
      <c r="D3656" s="17">
        <v>22991231</v>
      </c>
      <c r="E3656" s="25">
        <v>0</v>
      </c>
    </row>
    <row r="3657" spans="1:5" ht="26" x14ac:dyDescent="0.3">
      <c r="A3657" s="17" t="str">
        <f>"62303"</f>
        <v>62303</v>
      </c>
      <c r="B3657" s="5" t="s">
        <v>3812</v>
      </c>
      <c r="C3657" s="17">
        <v>20230101</v>
      </c>
      <c r="D3657" s="17">
        <v>22991231</v>
      </c>
      <c r="E3657" s="25">
        <v>0</v>
      </c>
    </row>
    <row r="3658" spans="1:5" ht="26" x14ac:dyDescent="0.3">
      <c r="A3658" s="17" t="str">
        <f>"62304"</f>
        <v>62304</v>
      </c>
      <c r="B3658" s="5" t="s">
        <v>3813</v>
      </c>
      <c r="C3658" s="17">
        <v>20230101</v>
      </c>
      <c r="D3658" s="17">
        <v>22991231</v>
      </c>
      <c r="E3658" s="25">
        <v>0</v>
      </c>
    </row>
    <row r="3659" spans="1:5" ht="26" x14ac:dyDescent="0.3">
      <c r="A3659" s="17" t="str">
        <f>"62305"</f>
        <v>62305</v>
      </c>
      <c r="B3659" s="5" t="s">
        <v>3814</v>
      </c>
      <c r="C3659" s="17">
        <v>20230101</v>
      </c>
      <c r="D3659" s="17">
        <v>22991231</v>
      </c>
      <c r="E3659" s="25">
        <v>0</v>
      </c>
    </row>
    <row r="3660" spans="1:5" ht="26" x14ac:dyDescent="0.3">
      <c r="A3660" s="17" t="str">
        <f>"62320"</f>
        <v>62320</v>
      </c>
      <c r="B3660" s="5" t="s">
        <v>3815</v>
      </c>
      <c r="C3660" s="17">
        <v>20170101</v>
      </c>
      <c r="D3660" s="17">
        <v>22991231</v>
      </c>
      <c r="E3660" s="25">
        <v>342.64</v>
      </c>
    </row>
    <row r="3661" spans="1:5" ht="26" x14ac:dyDescent="0.3">
      <c r="A3661" s="17" t="str">
        <f>"62321"</f>
        <v>62321</v>
      </c>
      <c r="B3661" s="5" t="s">
        <v>3816</v>
      </c>
      <c r="C3661" s="17">
        <v>20170101</v>
      </c>
      <c r="D3661" s="17">
        <v>22991231</v>
      </c>
      <c r="E3661" s="25">
        <v>342.64</v>
      </c>
    </row>
    <row r="3662" spans="1:5" x14ac:dyDescent="0.3">
      <c r="A3662" s="17" t="str">
        <f>"62322"</f>
        <v>62322</v>
      </c>
      <c r="B3662" s="5" t="s">
        <v>3817</v>
      </c>
      <c r="C3662" s="17">
        <v>20170101</v>
      </c>
      <c r="D3662" s="17">
        <v>22991231</v>
      </c>
      <c r="E3662" s="25">
        <v>451.6</v>
      </c>
    </row>
    <row r="3663" spans="1:5" ht="26" x14ac:dyDescent="0.3">
      <c r="A3663" s="17" t="str">
        <f>"62323"</f>
        <v>62323</v>
      </c>
      <c r="B3663" s="5" t="s">
        <v>3818</v>
      </c>
      <c r="C3663" s="17">
        <v>20170101</v>
      </c>
      <c r="D3663" s="17">
        <v>22991231</v>
      </c>
      <c r="E3663" s="25">
        <v>342.64</v>
      </c>
    </row>
    <row r="3664" spans="1:5" ht="26" x14ac:dyDescent="0.3">
      <c r="A3664" s="17" t="str">
        <f>"62324"</f>
        <v>62324</v>
      </c>
      <c r="B3664" s="5" t="s">
        <v>3819</v>
      </c>
      <c r="C3664" s="17">
        <v>20170101</v>
      </c>
      <c r="D3664" s="17">
        <v>22991231</v>
      </c>
      <c r="E3664" s="25">
        <v>451.6</v>
      </c>
    </row>
    <row r="3665" spans="1:5" ht="39" x14ac:dyDescent="0.3">
      <c r="A3665" s="17" t="str">
        <f>"62325"</f>
        <v>62325</v>
      </c>
      <c r="B3665" s="5" t="s">
        <v>3820</v>
      </c>
      <c r="C3665" s="17">
        <v>20170101</v>
      </c>
      <c r="D3665" s="17">
        <v>22991231</v>
      </c>
      <c r="E3665" s="25">
        <v>451.6</v>
      </c>
    </row>
    <row r="3666" spans="1:5" ht="26" x14ac:dyDescent="0.3">
      <c r="A3666" s="17" t="str">
        <f>"62326"</f>
        <v>62326</v>
      </c>
      <c r="B3666" s="5" t="s">
        <v>3821</v>
      </c>
      <c r="C3666" s="17">
        <v>20170101</v>
      </c>
      <c r="D3666" s="17">
        <v>22991231</v>
      </c>
      <c r="E3666" s="25">
        <v>451.6</v>
      </c>
    </row>
    <row r="3667" spans="1:5" ht="26" x14ac:dyDescent="0.3">
      <c r="A3667" s="17" t="str">
        <f>"62327"</f>
        <v>62327</v>
      </c>
      <c r="B3667" s="5" t="s">
        <v>3822</v>
      </c>
      <c r="C3667" s="17">
        <v>20170101</v>
      </c>
      <c r="D3667" s="17">
        <v>22991231</v>
      </c>
      <c r="E3667" s="25">
        <v>451.6</v>
      </c>
    </row>
    <row r="3668" spans="1:5" ht="26" x14ac:dyDescent="0.3">
      <c r="A3668" s="17" t="str">
        <f>"62328"</f>
        <v>62328</v>
      </c>
      <c r="B3668" s="5" t="s">
        <v>3823</v>
      </c>
      <c r="C3668" s="17">
        <v>20200101</v>
      </c>
      <c r="D3668" s="17">
        <v>22991231</v>
      </c>
      <c r="E3668" s="25">
        <v>342.64</v>
      </c>
    </row>
    <row r="3669" spans="1:5" ht="26" x14ac:dyDescent="0.3">
      <c r="A3669" s="17" t="str">
        <f>"62329"</f>
        <v>62329</v>
      </c>
      <c r="B3669" s="5" t="s">
        <v>3824</v>
      </c>
      <c r="C3669" s="17">
        <v>20200101</v>
      </c>
      <c r="D3669" s="17">
        <v>22991231</v>
      </c>
      <c r="E3669" s="25">
        <v>342.64</v>
      </c>
    </row>
    <row r="3670" spans="1:5" ht="26" x14ac:dyDescent="0.3">
      <c r="A3670" s="17" t="str">
        <f>"62350"</f>
        <v>62350</v>
      </c>
      <c r="B3670" s="5" t="s">
        <v>3825</v>
      </c>
      <c r="C3670" s="17">
        <v>19960101</v>
      </c>
      <c r="D3670" s="17">
        <v>22991231</v>
      </c>
      <c r="E3670" s="25">
        <v>4071.49</v>
      </c>
    </row>
    <row r="3671" spans="1:5" ht="39" x14ac:dyDescent="0.3">
      <c r="A3671" s="17" t="str">
        <f>"62351"</f>
        <v>62351</v>
      </c>
      <c r="B3671" s="5" t="s">
        <v>3826</v>
      </c>
      <c r="C3671" s="17">
        <v>19960101</v>
      </c>
      <c r="D3671" s="17">
        <v>22991231</v>
      </c>
      <c r="E3671" s="24" t="s">
        <v>7128</v>
      </c>
    </row>
    <row r="3672" spans="1:5" x14ac:dyDescent="0.3">
      <c r="A3672" s="17" t="str">
        <f>"62355"</f>
        <v>62355</v>
      </c>
      <c r="B3672" s="5" t="s">
        <v>3827</v>
      </c>
      <c r="C3672" s="17">
        <v>19960101</v>
      </c>
      <c r="D3672" s="17">
        <v>22991231</v>
      </c>
      <c r="E3672" s="25">
        <v>857.51</v>
      </c>
    </row>
    <row r="3673" spans="1:5" ht="26" x14ac:dyDescent="0.3">
      <c r="A3673" s="17" t="str">
        <f>"62360"</f>
        <v>62360</v>
      </c>
      <c r="B3673" s="5" t="s">
        <v>3828</v>
      </c>
      <c r="C3673" s="17">
        <v>19960101</v>
      </c>
      <c r="D3673" s="17">
        <v>22991231</v>
      </c>
      <c r="E3673" s="25">
        <v>13270.41</v>
      </c>
    </row>
    <row r="3674" spans="1:5" x14ac:dyDescent="0.3">
      <c r="A3674" s="17" t="str">
        <f>"62361"</f>
        <v>62361</v>
      </c>
      <c r="B3674" s="5" t="s">
        <v>3829</v>
      </c>
      <c r="C3674" s="17">
        <v>19960101</v>
      </c>
      <c r="D3674" s="17">
        <v>22991231</v>
      </c>
      <c r="E3674" s="25">
        <v>13379.63</v>
      </c>
    </row>
    <row r="3675" spans="1:5" ht="26" x14ac:dyDescent="0.3">
      <c r="A3675" s="17" t="str">
        <f>"62362"</f>
        <v>62362</v>
      </c>
      <c r="B3675" s="5" t="s">
        <v>3830</v>
      </c>
      <c r="C3675" s="17">
        <v>19960101</v>
      </c>
      <c r="D3675" s="17">
        <v>22991231</v>
      </c>
      <c r="E3675" s="25">
        <v>13405.04</v>
      </c>
    </row>
    <row r="3676" spans="1:5" ht="26" x14ac:dyDescent="0.3">
      <c r="A3676" s="17" t="str">
        <f>"62365"</f>
        <v>62365</v>
      </c>
      <c r="B3676" s="5" t="s">
        <v>3831</v>
      </c>
      <c r="C3676" s="17">
        <v>19960101</v>
      </c>
      <c r="D3676" s="17">
        <v>22991231</v>
      </c>
      <c r="E3676" s="25">
        <v>2877.66</v>
      </c>
    </row>
    <row r="3677" spans="1:5" ht="26" x14ac:dyDescent="0.3">
      <c r="A3677" s="17" t="str">
        <f>"62367"</f>
        <v>62367</v>
      </c>
      <c r="B3677" s="5" t="s">
        <v>3832</v>
      </c>
      <c r="C3677" s="17">
        <v>20230101</v>
      </c>
      <c r="D3677" s="17">
        <v>22991231</v>
      </c>
      <c r="E3677" s="25">
        <v>13.13</v>
      </c>
    </row>
    <row r="3678" spans="1:5" ht="26" x14ac:dyDescent="0.3">
      <c r="A3678" s="17" t="str">
        <f>"62368"</f>
        <v>62368</v>
      </c>
      <c r="B3678" s="5" t="s">
        <v>3833</v>
      </c>
      <c r="C3678" s="17">
        <v>20230101</v>
      </c>
      <c r="D3678" s="17">
        <v>22991231</v>
      </c>
      <c r="E3678" s="25">
        <v>18.14</v>
      </c>
    </row>
    <row r="3679" spans="1:5" ht="26" x14ac:dyDescent="0.3">
      <c r="A3679" s="17" t="str">
        <f>"62369"</f>
        <v>62369</v>
      </c>
      <c r="B3679" s="5" t="s">
        <v>3834</v>
      </c>
      <c r="C3679" s="17">
        <v>20120101</v>
      </c>
      <c r="D3679" s="17">
        <v>22991231</v>
      </c>
      <c r="E3679" s="25">
        <v>63.17</v>
      </c>
    </row>
    <row r="3680" spans="1:5" ht="26" x14ac:dyDescent="0.3">
      <c r="A3680" s="17" t="str">
        <f>"62370"</f>
        <v>62370</v>
      </c>
      <c r="B3680" s="5" t="s">
        <v>3835</v>
      </c>
      <c r="C3680" s="17">
        <v>20120101</v>
      </c>
      <c r="D3680" s="17">
        <v>22991231</v>
      </c>
      <c r="E3680" s="25">
        <v>55.36</v>
      </c>
    </row>
    <row r="3681" spans="1:5" ht="26" x14ac:dyDescent="0.3">
      <c r="A3681" s="17" t="str">
        <f>"62380"</f>
        <v>62380</v>
      </c>
      <c r="B3681" s="5" t="s">
        <v>3836</v>
      </c>
      <c r="C3681" s="17">
        <v>20170101</v>
      </c>
      <c r="D3681" s="17">
        <v>22991231</v>
      </c>
      <c r="E3681" s="25">
        <v>3240.75</v>
      </c>
    </row>
    <row r="3682" spans="1:5" ht="39" x14ac:dyDescent="0.3">
      <c r="A3682" s="17" t="str">
        <f>"63001"</f>
        <v>63001</v>
      </c>
      <c r="B3682" s="5" t="s">
        <v>3837</v>
      </c>
      <c r="C3682" s="17">
        <v>19900101</v>
      </c>
      <c r="D3682" s="17">
        <v>22991231</v>
      </c>
      <c r="E3682" s="25">
        <v>3240.75</v>
      </c>
    </row>
    <row r="3683" spans="1:5" ht="39" x14ac:dyDescent="0.3">
      <c r="A3683" s="17" t="str">
        <f>"63003"</f>
        <v>63003</v>
      </c>
      <c r="B3683" s="5" t="s">
        <v>3838</v>
      </c>
      <c r="C3683" s="17">
        <v>19900101</v>
      </c>
      <c r="D3683" s="17">
        <v>22991231</v>
      </c>
      <c r="E3683" s="25">
        <v>3240.75</v>
      </c>
    </row>
    <row r="3684" spans="1:5" ht="39" x14ac:dyDescent="0.3">
      <c r="A3684" s="17" t="str">
        <f>"63005"</f>
        <v>63005</v>
      </c>
      <c r="B3684" s="5" t="s">
        <v>3839</v>
      </c>
      <c r="C3684" s="17">
        <v>19900101</v>
      </c>
      <c r="D3684" s="17">
        <v>22991231</v>
      </c>
      <c r="E3684" s="25">
        <v>3240.75</v>
      </c>
    </row>
    <row r="3685" spans="1:5" ht="39" x14ac:dyDescent="0.3">
      <c r="A3685" s="17" t="str">
        <f>"63011"</f>
        <v>63011</v>
      </c>
      <c r="B3685" s="5" t="s">
        <v>3840</v>
      </c>
      <c r="C3685" s="17">
        <v>19900101</v>
      </c>
      <c r="D3685" s="17">
        <v>22991231</v>
      </c>
      <c r="E3685" s="24" t="s">
        <v>7128</v>
      </c>
    </row>
    <row r="3686" spans="1:5" ht="26" x14ac:dyDescent="0.3">
      <c r="A3686" s="17" t="str">
        <f>"63012"</f>
        <v>63012</v>
      </c>
      <c r="B3686" s="5" t="s">
        <v>3841</v>
      </c>
      <c r="C3686" s="17">
        <v>19910401</v>
      </c>
      <c r="D3686" s="17">
        <v>22991231</v>
      </c>
      <c r="E3686" s="24" t="s">
        <v>7128</v>
      </c>
    </row>
    <row r="3687" spans="1:5" ht="39" x14ac:dyDescent="0.3">
      <c r="A3687" s="17" t="str">
        <f>"63015"</f>
        <v>63015</v>
      </c>
      <c r="B3687" s="5" t="s">
        <v>3842</v>
      </c>
      <c r="C3687" s="17">
        <v>19900101</v>
      </c>
      <c r="D3687" s="17">
        <v>22991231</v>
      </c>
      <c r="E3687" s="24" t="s">
        <v>7128</v>
      </c>
    </row>
    <row r="3688" spans="1:5" ht="39" x14ac:dyDescent="0.3">
      <c r="A3688" s="17" t="str">
        <f>"63016"</f>
        <v>63016</v>
      </c>
      <c r="B3688" s="5" t="s">
        <v>3843</v>
      </c>
      <c r="C3688" s="17">
        <v>19900101</v>
      </c>
      <c r="D3688" s="17">
        <v>22991231</v>
      </c>
      <c r="E3688" s="24" t="s">
        <v>7128</v>
      </c>
    </row>
    <row r="3689" spans="1:5" ht="39" x14ac:dyDescent="0.3">
      <c r="A3689" s="17" t="str">
        <f>"63017"</f>
        <v>63017</v>
      </c>
      <c r="B3689" s="5" t="s">
        <v>3844</v>
      </c>
      <c r="C3689" s="17">
        <v>19900101</v>
      </c>
      <c r="D3689" s="17">
        <v>22991231</v>
      </c>
      <c r="E3689" s="24" t="s">
        <v>7128</v>
      </c>
    </row>
    <row r="3690" spans="1:5" ht="39" x14ac:dyDescent="0.3">
      <c r="A3690" s="17" t="str">
        <f>"63020"</f>
        <v>63020</v>
      </c>
      <c r="B3690" s="5" t="s">
        <v>3845</v>
      </c>
      <c r="C3690" s="17">
        <v>19900101</v>
      </c>
      <c r="D3690" s="17">
        <v>22991231</v>
      </c>
      <c r="E3690" s="25">
        <v>3240.75</v>
      </c>
    </row>
    <row r="3691" spans="1:5" ht="39" x14ac:dyDescent="0.3">
      <c r="A3691" s="17" t="str">
        <f>"63030"</f>
        <v>63030</v>
      </c>
      <c r="B3691" s="5" t="s">
        <v>3846</v>
      </c>
      <c r="C3691" s="17">
        <v>19900101</v>
      </c>
      <c r="D3691" s="17">
        <v>22991231</v>
      </c>
      <c r="E3691" s="25">
        <v>3240.75</v>
      </c>
    </row>
    <row r="3692" spans="1:5" ht="39" x14ac:dyDescent="0.3">
      <c r="A3692" s="17" t="str">
        <f>"63035"</f>
        <v>63035</v>
      </c>
      <c r="B3692" s="5" t="s">
        <v>3847</v>
      </c>
      <c r="C3692" s="17">
        <v>19900101</v>
      </c>
      <c r="D3692" s="17">
        <v>22991231</v>
      </c>
      <c r="E3692" s="24" t="s">
        <v>7128</v>
      </c>
    </row>
    <row r="3693" spans="1:5" ht="39" x14ac:dyDescent="0.3">
      <c r="A3693" s="17" t="str">
        <f>"63040"</f>
        <v>63040</v>
      </c>
      <c r="B3693" s="5" t="s">
        <v>3848</v>
      </c>
      <c r="C3693" s="17">
        <v>19900101</v>
      </c>
      <c r="D3693" s="17">
        <v>22991231</v>
      </c>
      <c r="E3693" s="24" t="s">
        <v>7128</v>
      </c>
    </row>
    <row r="3694" spans="1:5" ht="39" x14ac:dyDescent="0.3">
      <c r="A3694" s="17" t="str">
        <f>"63042"</f>
        <v>63042</v>
      </c>
      <c r="B3694" s="5" t="s">
        <v>3849</v>
      </c>
      <c r="C3694" s="17">
        <v>19900101</v>
      </c>
      <c r="D3694" s="17">
        <v>22991231</v>
      </c>
      <c r="E3694" s="25">
        <v>3240.75</v>
      </c>
    </row>
    <row r="3695" spans="1:5" ht="52" x14ac:dyDescent="0.3">
      <c r="A3695" s="17" t="str">
        <f>"63043"</f>
        <v>63043</v>
      </c>
      <c r="B3695" s="5" t="s">
        <v>3850</v>
      </c>
      <c r="C3695" s="17">
        <v>20010101</v>
      </c>
      <c r="D3695" s="17">
        <v>22991231</v>
      </c>
      <c r="E3695" s="24" t="s">
        <v>7128</v>
      </c>
    </row>
    <row r="3696" spans="1:5" ht="52" x14ac:dyDescent="0.3">
      <c r="A3696" s="17" t="str">
        <f>"63044"</f>
        <v>63044</v>
      </c>
      <c r="B3696" s="5" t="s">
        <v>3851</v>
      </c>
      <c r="C3696" s="17">
        <v>20010101</v>
      </c>
      <c r="D3696" s="17">
        <v>22991231</v>
      </c>
      <c r="E3696" s="25">
        <v>0</v>
      </c>
    </row>
    <row r="3697" spans="1:5" ht="26" x14ac:dyDescent="0.3">
      <c r="A3697" s="17" t="str">
        <f>"63045"</f>
        <v>63045</v>
      </c>
      <c r="B3697" s="5" t="s">
        <v>3852</v>
      </c>
      <c r="C3697" s="17">
        <v>20230101</v>
      </c>
      <c r="D3697" s="17">
        <v>22991231</v>
      </c>
      <c r="E3697" s="25">
        <v>3240.75</v>
      </c>
    </row>
    <row r="3698" spans="1:5" ht="26" x14ac:dyDescent="0.3">
      <c r="A3698" s="17" t="str">
        <f>"63046"</f>
        <v>63046</v>
      </c>
      <c r="B3698" s="5" t="s">
        <v>3853</v>
      </c>
      <c r="C3698" s="17">
        <v>20230101</v>
      </c>
      <c r="D3698" s="17">
        <v>22991231</v>
      </c>
      <c r="E3698" s="25">
        <v>3240.75</v>
      </c>
    </row>
    <row r="3699" spans="1:5" ht="26" x14ac:dyDescent="0.3">
      <c r="A3699" s="17" t="str">
        <f>"63047"</f>
        <v>63047</v>
      </c>
      <c r="B3699" s="5" t="s">
        <v>3854</v>
      </c>
      <c r="C3699" s="17">
        <v>20230101</v>
      </c>
      <c r="D3699" s="17">
        <v>22991231</v>
      </c>
      <c r="E3699" s="25">
        <v>3240.75</v>
      </c>
    </row>
    <row r="3700" spans="1:5" ht="26" x14ac:dyDescent="0.3">
      <c r="A3700" s="17" t="str">
        <f>"63055"</f>
        <v>63055</v>
      </c>
      <c r="B3700" s="5" t="s">
        <v>3855</v>
      </c>
      <c r="C3700" s="17">
        <v>20230101</v>
      </c>
      <c r="D3700" s="17">
        <v>22991231</v>
      </c>
      <c r="E3700" s="25">
        <v>3240.75</v>
      </c>
    </row>
    <row r="3701" spans="1:5" ht="26" x14ac:dyDescent="0.3">
      <c r="A3701" s="17" t="str">
        <f>"63056"</f>
        <v>63056</v>
      </c>
      <c r="B3701" s="5" t="s">
        <v>3856</v>
      </c>
      <c r="C3701" s="17">
        <v>20230101</v>
      </c>
      <c r="D3701" s="17">
        <v>22991231</v>
      </c>
      <c r="E3701" s="25">
        <v>3240.75</v>
      </c>
    </row>
    <row r="3702" spans="1:5" ht="26" x14ac:dyDescent="0.3">
      <c r="A3702" s="17" t="str">
        <f>"63064"</f>
        <v>63064</v>
      </c>
      <c r="B3702" s="5" t="s">
        <v>3857</v>
      </c>
      <c r="C3702" s="17">
        <v>19900101</v>
      </c>
      <c r="D3702" s="17">
        <v>22991231</v>
      </c>
      <c r="E3702" s="24" t="s">
        <v>7128</v>
      </c>
    </row>
    <row r="3703" spans="1:5" ht="26" x14ac:dyDescent="0.3">
      <c r="A3703" s="17" t="str">
        <f>"63075"</f>
        <v>63075</v>
      </c>
      <c r="B3703" s="5" t="s">
        <v>3858</v>
      </c>
      <c r="C3703" s="17">
        <v>19900101</v>
      </c>
      <c r="D3703" s="17">
        <v>22991231</v>
      </c>
      <c r="E3703" s="24" t="s">
        <v>7128</v>
      </c>
    </row>
    <row r="3704" spans="1:5" ht="39" x14ac:dyDescent="0.3">
      <c r="A3704" s="17" t="str">
        <f>"63076"</f>
        <v>63076</v>
      </c>
      <c r="B3704" s="5" t="s">
        <v>3859</v>
      </c>
      <c r="C3704" s="17">
        <v>19900101</v>
      </c>
      <c r="D3704" s="17">
        <v>22991231</v>
      </c>
      <c r="E3704" s="24" t="s">
        <v>7128</v>
      </c>
    </row>
    <row r="3705" spans="1:5" ht="26" x14ac:dyDescent="0.3">
      <c r="A3705" s="17" t="str">
        <f>"63600"</f>
        <v>63600</v>
      </c>
      <c r="B3705" s="5" t="s">
        <v>3860</v>
      </c>
      <c r="C3705" s="17">
        <v>19900101</v>
      </c>
      <c r="D3705" s="17">
        <v>22991231</v>
      </c>
      <c r="E3705" s="25">
        <v>857.51</v>
      </c>
    </row>
    <row r="3706" spans="1:5" x14ac:dyDescent="0.3">
      <c r="A3706" s="17" t="str">
        <f>"63610"</f>
        <v>63610</v>
      </c>
      <c r="B3706" s="5" t="s">
        <v>3861</v>
      </c>
      <c r="C3706" s="17">
        <v>19900101</v>
      </c>
      <c r="D3706" s="17">
        <v>22991231</v>
      </c>
      <c r="E3706" s="25">
        <v>1201.3499999999999</v>
      </c>
    </row>
    <row r="3707" spans="1:5" ht="26" x14ac:dyDescent="0.3">
      <c r="A3707" s="17" t="str">
        <f>"63620"</f>
        <v>63620</v>
      </c>
      <c r="B3707" s="5" t="s">
        <v>3862</v>
      </c>
      <c r="C3707" s="17">
        <v>20090101</v>
      </c>
      <c r="D3707" s="17">
        <v>22991231</v>
      </c>
      <c r="E3707" s="24" t="s">
        <v>7128</v>
      </c>
    </row>
    <row r="3708" spans="1:5" ht="26" x14ac:dyDescent="0.3">
      <c r="A3708" s="17" t="str">
        <f>"63621"</f>
        <v>63621</v>
      </c>
      <c r="B3708" s="5" t="s">
        <v>3863</v>
      </c>
      <c r="C3708" s="17">
        <v>20090101</v>
      </c>
      <c r="D3708" s="17">
        <v>22991231</v>
      </c>
      <c r="E3708" s="24" t="s">
        <v>7128</v>
      </c>
    </row>
    <row r="3709" spans="1:5" ht="26" x14ac:dyDescent="0.3">
      <c r="A3709" s="17" t="str">
        <f>"63650"</f>
        <v>63650</v>
      </c>
      <c r="B3709" s="5" t="s">
        <v>3864</v>
      </c>
      <c r="C3709" s="17">
        <v>19900101</v>
      </c>
      <c r="D3709" s="17">
        <v>22991231</v>
      </c>
      <c r="E3709" s="25">
        <v>4726.66</v>
      </c>
    </row>
    <row r="3710" spans="1:5" ht="26" x14ac:dyDescent="0.3">
      <c r="A3710" s="17" t="str">
        <f>"63655"</f>
        <v>63655</v>
      </c>
      <c r="B3710" s="5" t="s">
        <v>3865</v>
      </c>
      <c r="C3710" s="17">
        <v>19900101</v>
      </c>
      <c r="D3710" s="17">
        <v>22991231</v>
      </c>
      <c r="E3710" s="25">
        <v>17171.599999999999</v>
      </c>
    </row>
    <row r="3711" spans="1:5" ht="26" x14ac:dyDescent="0.3">
      <c r="A3711" s="17" t="str">
        <f>"63661"</f>
        <v>63661</v>
      </c>
      <c r="B3711" s="5" t="s">
        <v>3866</v>
      </c>
      <c r="C3711" s="17">
        <v>20100101</v>
      </c>
      <c r="D3711" s="17">
        <v>22991231</v>
      </c>
      <c r="E3711" s="25">
        <v>857.51</v>
      </c>
    </row>
    <row r="3712" spans="1:5" ht="26" x14ac:dyDescent="0.3">
      <c r="A3712" s="17" t="str">
        <f>"63662"</f>
        <v>63662</v>
      </c>
      <c r="B3712" s="5" t="s">
        <v>3867</v>
      </c>
      <c r="C3712" s="17">
        <v>20100101</v>
      </c>
      <c r="D3712" s="17">
        <v>22991231</v>
      </c>
      <c r="E3712" s="25">
        <v>1813.03</v>
      </c>
    </row>
    <row r="3713" spans="1:5" ht="26" x14ac:dyDescent="0.3">
      <c r="A3713" s="17" t="str">
        <f>"63663"</f>
        <v>63663</v>
      </c>
      <c r="B3713" s="5" t="s">
        <v>3868</v>
      </c>
      <c r="C3713" s="17">
        <v>20100101</v>
      </c>
      <c r="D3713" s="17">
        <v>22991231</v>
      </c>
      <c r="E3713" s="25">
        <v>4643.07</v>
      </c>
    </row>
    <row r="3714" spans="1:5" ht="26" x14ac:dyDescent="0.3">
      <c r="A3714" s="17" t="str">
        <f>"63664"</f>
        <v>63664</v>
      </c>
      <c r="B3714" s="5" t="s">
        <v>3869</v>
      </c>
      <c r="C3714" s="17">
        <v>20100101</v>
      </c>
      <c r="D3714" s="17">
        <v>22991231</v>
      </c>
      <c r="E3714" s="25">
        <v>9848.06</v>
      </c>
    </row>
    <row r="3715" spans="1:5" ht="26" x14ac:dyDescent="0.3">
      <c r="A3715" s="17" t="str">
        <f>"63685"</f>
        <v>63685</v>
      </c>
      <c r="B3715" s="5" t="s">
        <v>3870</v>
      </c>
      <c r="C3715" s="17">
        <v>19900101</v>
      </c>
      <c r="D3715" s="17">
        <v>22991231</v>
      </c>
      <c r="E3715" s="25">
        <v>24140.44</v>
      </c>
    </row>
    <row r="3716" spans="1:5" ht="26" x14ac:dyDescent="0.3">
      <c r="A3716" s="17" t="str">
        <f>"63688"</f>
        <v>63688</v>
      </c>
      <c r="B3716" s="5" t="s">
        <v>3871</v>
      </c>
      <c r="C3716" s="17">
        <v>19900101</v>
      </c>
      <c r="D3716" s="17">
        <v>22991231</v>
      </c>
      <c r="E3716" s="25">
        <v>1813.03</v>
      </c>
    </row>
    <row r="3717" spans="1:5" x14ac:dyDescent="0.3">
      <c r="A3717" s="17" t="str">
        <f>"63741"</f>
        <v>63741</v>
      </c>
      <c r="B3717" s="5" t="s">
        <v>3872</v>
      </c>
      <c r="C3717" s="17">
        <v>19910401</v>
      </c>
      <c r="D3717" s="17">
        <v>22991231</v>
      </c>
      <c r="E3717" s="24" t="s">
        <v>7128</v>
      </c>
    </row>
    <row r="3718" spans="1:5" ht="26" x14ac:dyDescent="0.3">
      <c r="A3718" s="17" t="str">
        <f>"63744"</f>
        <v>63744</v>
      </c>
      <c r="B3718" s="5" t="s">
        <v>3873</v>
      </c>
      <c r="C3718" s="17">
        <v>19900101</v>
      </c>
      <c r="D3718" s="17">
        <v>22991231</v>
      </c>
      <c r="E3718" s="25">
        <v>4011.06</v>
      </c>
    </row>
    <row r="3719" spans="1:5" x14ac:dyDescent="0.3">
      <c r="A3719" s="17" t="str">
        <f>"63746"</f>
        <v>63746</v>
      </c>
      <c r="B3719" s="5" t="s">
        <v>3874</v>
      </c>
      <c r="C3719" s="17">
        <v>19900101</v>
      </c>
      <c r="D3719" s="17">
        <v>22991231</v>
      </c>
      <c r="E3719" s="25">
        <v>857.51</v>
      </c>
    </row>
    <row r="3720" spans="1:5" ht="26" x14ac:dyDescent="0.3">
      <c r="A3720" s="17" t="str">
        <f>"64400"</f>
        <v>64400</v>
      </c>
      <c r="B3720" s="5" t="s">
        <v>3875</v>
      </c>
      <c r="C3720" s="17">
        <v>19900101</v>
      </c>
      <c r="D3720" s="17">
        <v>22991231</v>
      </c>
      <c r="E3720" s="25">
        <v>76.94</v>
      </c>
    </row>
    <row r="3721" spans="1:5" ht="26" x14ac:dyDescent="0.3">
      <c r="A3721" s="17" t="str">
        <f>"64405"</f>
        <v>64405</v>
      </c>
      <c r="B3721" s="5" t="s">
        <v>3876</v>
      </c>
      <c r="C3721" s="17">
        <v>19900101</v>
      </c>
      <c r="D3721" s="17">
        <v>22991231</v>
      </c>
      <c r="E3721" s="25">
        <v>34.72</v>
      </c>
    </row>
    <row r="3722" spans="1:5" ht="26" x14ac:dyDescent="0.3">
      <c r="A3722" s="17" t="str">
        <f>"64408"</f>
        <v>64408</v>
      </c>
      <c r="B3722" s="5" t="s">
        <v>3877</v>
      </c>
      <c r="C3722" s="17">
        <v>19900101</v>
      </c>
      <c r="D3722" s="17">
        <v>22991231</v>
      </c>
      <c r="E3722" s="25">
        <v>49.73</v>
      </c>
    </row>
    <row r="3723" spans="1:5" ht="26" x14ac:dyDescent="0.3">
      <c r="A3723" s="17" t="str">
        <f>"64415"</f>
        <v>64415</v>
      </c>
      <c r="B3723" s="5" t="s">
        <v>3878</v>
      </c>
      <c r="C3723" s="17">
        <v>19900101</v>
      </c>
      <c r="D3723" s="17">
        <v>22991231</v>
      </c>
      <c r="E3723" s="25">
        <v>451.6</v>
      </c>
    </row>
    <row r="3724" spans="1:5" ht="26" x14ac:dyDescent="0.3">
      <c r="A3724" s="17" t="str">
        <f>"64416"</f>
        <v>64416</v>
      </c>
      <c r="B3724" s="5" t="s">
        <v>3879</v>
      </c>
      <c r="C3724" s="17">
        <v>20200101</v>
      </c>
      <c r="D3724" s="17">
        <v>22991231</v>
      </c>
      <c r="E3724" s="25">
        <v>451.6</v>
      </c>
    </row>
    <row r="3725" spans="1:5" ht="26" x14ac:dyDescent="0.3">
      <c r="A3725" s="17" t="str">
        <f>"64417"</f>
        <v>64417</v>
      </c>
      <c r="B3725" s="5" t="s">
        <v>3880</v>
      </c>
      <c r="C3725" s="17">
        <v>19900101</v>
      </c>
      <c r="D3725" s="17">
        <v>22991231</v>
      </c>
      <c r="E3725" s="25">
        <v>451.6</v>
      </c>
    </row>
    <row r="3726" spans="1:5" ht="26" x14ac:dyDescent="0.3">
      <c r="A3726" s="17" t="str">
        <f>"64418"</f>
        <v>64418</v>
      </c>
      <c r="B3726" s="5" t="s">
        <v>3881</v>
      </c>
      <c r="C3726" s="17">
        <v>19900101</v>
      </c>
      <c r="D3726" s="17">
        <v>22991231</v>
      </c>
      <c r="E3726" s="25">
        <v>42.85</v>
      </c>
    </row>
    <row r="3727" spans="1:5" ht="26" x14ac:dyDescent="0.3">
      <c r="A3727" s="17" t="str">
        <f>"64420"</f>
        <v>64420</v>
      </c>
      <c r="B3727" s="5" t="s">
        <v>3882</v>
      </c>
      <c r="C3727" s="17">
        <v>19900101</v>
      </c>
      <c r="D3727" s="17">
        <v>22991231</v>
      </c>
      <c r="E3727" s="25">
        <v>342.64</v>
      </c>
    </row>
    <row r="3728" spans="1:5" ht="26" x14ac:dyDescent="0.3">
      <c r="A3728" s="17" t="str">
        <f>"64421"</f>
        <v>64421</v>
      </c>
      <c r="B3728" s="5" t="s">
        <v>3883</v>
      </c>
      <c r="C3728" s="17">
        <v>19900101</v>
      </c>
      <c r="D3728" s="17">
        <v>22991231</v>
      </c>
      <c r="E3728" s="25">
        <v>451.6</v>
      </c>
    </row>
    <row r="3729" spans="1:5" ht="26" x14ac:dyDescent="0.3">
      <c r="A3729" s="17" t="str">
        <f>"64425"</f>
        <v>64425</v>
      </c>
      <c r="B3729" s="5" t="s">
        <v>3884</v>
      </c>
      <c r="C3729" s="17">
        <v>19900101</v>
      </c>
      <c r="D3729" s="17">
        <v>22991231</v>
      </c>
      <c r="E3729" s="25">
        <v>69.430000000000007</v>
      </c>
    </row>
    <row r="3730" spans="1:5" ht="26" x14ac:dyDescent="0.3">
      <c r="A3730" s="17" t="str">
        <f>"64430"</f>
        <v>64430</v>
      </c>
      <c r="B3730" s="5" t="s">
        <v>3885</v>
      </c>
      <c r="C3730" s="17">
        <v>19900101</v>
      </c>
      <c r="D3730" s="17">
        <v>22991231</v>
      </c>
      <c r="E3730" s="25">
        <v>451.6</v>
      </c>
    </row>
    <row r="3731" spans="1:5" ht="26" x14ac:dyDescent="0.3">
      <c r="A3731" s="17" t="str">
        <f>"64435"</f>
        <v>64435</v>
      </c>
      <c r="B3731" s="5" t="s">
        <v>3886</v>
      </c>
      <c r="C3731" s="17">
        <v>19900101</v>
      </c>
      <c r="D3731" s="17">
        <v>22991231</v>
      </c>
      <c r="E3731" s="25">
        <v>48.17</v>
      </c>
    </row>
    <row r="3732" spans="1:5" ht="26" x14ac:dyDescent="0.3">
      <c r="A3732" s="17" t="str">
        <f>"64445"</f>
        <v>64445</v>
      </c>
      <c r="B3732" s="5" t="s">
        <v>3887</v>
      </c>
      <c r="C3732" s="17">
        <v>19900101</v>
      </c>
      <c r="D3732" s="17">
        <v>22991231</v>
      </c>
      <c r="E3732" s="25">
        <v>101.02</v>
      </c>
    </row>
    <row r="3733" spans="1:5" ht="39" x14ac:dyDescent="0.3">
      <c r="A3733" s="17" t="str">
        <f>"64446"</f>
        <v>64446</v>
      </c>
      <c r="B3733" s="5" t="s">
        <v>3888</v>
      </c>
      <c r="C3733" s="17">
        <v>20200101</v>
      </c>
      <c r="D3733" s="17">
        <v>22991231</v>
      </c>
      <c r="E3733" s="25">
        <v>451.6</v>
      </c>
    </row>
    <row r="3734" spans="1:5" ht="26" x14ac:dyDescent="0.3">
      <c r="A3734" s="17" t="str">
        <f>"64447"</f>
        <v>64447</v>
      </c>
      <c r="B3734" s="5" t="s">
        <v>3889</v>
      </c>
      <c r="C3734" s="17">
        <v>20040101</v>
      </c>
      <c r="D3734" s="17">
        <v>22991231</v>
      </c>
      <c r="E3734" s="25">
        <v>63.49</v>
      </c>
    </row>
    <row r="3735" spans="1:5" ht="39" x14ac:dyDescent="0.3">
      <c r="A3735" s="17" t="str">
        <f>"64448"</f>
        <v>64448</v>
      </c>
      <c r="B3735" s="5" t="s">
        <v>3890</v>
      </c>
      <c r="C3735" s="17">
        <v>20200101</v>
      </c>
      <c r="D3735" s="17">
        <v>22991231</v>
      </c>
      <c r="E3735" s="25">
        <v>617.35</v>
      </c>
    </row>
    <row r="3736" spans="1:5" ht="26" x14ac:dyDescent="0.3">
      <c r="A3736" s="17" t="str">
        <f>"64449"</f>
        <v>64449</v>
      </c>
      <c r="B3736" s="5" t="s">
        <v>3891</v>
      </c>
      <c r="C3736" s="17">
        <v>20200101</v>
      </c>
      <c r="D3736" s="17">
        <v>22991231</v>
      </c>
      <c r="E3736" s="25">
        <v>451.6</v>
      </c>
    </row>
    <row r="3737" spans="1:5" ht="26" x14ac:dyDescent="0.3">
      <c r="A3737" s="17" t="str">
        <f>"64450"</f>
        <v>64450</v>
      </c>
      <c r="B3737" s="5" t="s">
        <v>3892</v>
      </c>
      <c r="C3737" s="17">
        <v>19900101</v>
      </c>
      <c r="D3737" s="17">
        <v>22991231</v>
      </c>
      <c r="E3737" s="25">
        <v>44.41</v>
      </c>
    </row>
    <row r="3738" spans="1:5" ht="26" x14ac:dyDescent="0.3">
      <c r="A3738" s="17" t="str">
        <f>"64451"</f>
        <v>64451</v>
      </c>
      <c r="B3738" s="5" t="s">
        <v>3893</v>
      </c>
      <c r="C3738" s="17">
        <v>20200101</v>
      </c>
      <c r="D3738" s="17">
        <v>22991231</v>
      </c>
      <c r="E3738" s="25">
        <v>342.64</v>
      </c>
    </row>
    <row r="3739" spans="1:5" ht="26" x14ac:dyDescent="0.3">
      <c r="A3739" s="17" t="str">
        <f>"64454"</f>
        <v>64454</v>
      </c>
      <c r="B3739" s="5" t="s">
        <v>3894</v>
      </c>
      <c r="C3739" s="17">
        <v>20200101</v>
      </c>
      <c r="D3739" s="17">
        <v>22991231</v>
      </c>
      <c r="E3739" s="25">
        <v>342.64</v>
      </c>
    </row>
    <row r="3740" spans="1:5" ht="26" x14ac:dyDescent="0.3">
      <c r="A3740" s="17" t="str">
        <f>"64455"</f>
        <v>64455</v>
      </c>
      <c r="B3740" s="5" t="s">
        <v>3895</v>
      </c>
      <c r="C3740" s="17">
        <v>20090101</v>
      </c>
      <c r="D3740" s="17">
        <v>22991231</v>
      </c>
      <c r="E3740" s="25">
        <v>21.58</v>
      </c>
    </row>
    <row r="3741" spans="1:5" ht="26" x14ac:dyDescent="0.3">
      <c r="A3741" s="17" t="str">
        <f>"64461"</f>
        <v>64461</v>
      </c>
      <c r="B3741" s="5" t="s">
        <v>3896</v>
      </c>
      <c r="C3741" s="17">
        <v>20230101</v>
      </c>
      <c r="D3741" s="17">
        <v>22991231</v>
      </c>
      <c r="E3741" s="25">
        <v>342.64</v>
      </c>
    </row>
    <row r="3742" spans="1:5" ht="26" x14ac:dyDescent="0.3">
      <c r="A3742" s="17" t="str">
        <f>"64462"</f>
        <v>64462</v>
      </c>
      <c r="B3742" s="5" t="s">
        <v>3897</v>
      </c>
      <c r="C3742" s="17">
        <v>20230101</v>
      </c>
      <c r="D3742" s="17">
        <v>22991231</v>
      </c>
      <c r="E3742" s="25">
        <v>0</v>
      </c>
    </row>
    <row r="3743" spans="1:5" ht="26" x14ac:dyDescent="0.3">
      <c r="A3743" s="17" t="str">
        <f>"64463"</f>
        <v>64463</v>
      </c>
      <c r="B3743" s="5" t="s">
        <v>3898</v>
      </c>
      <c r="C3743" s="17">
        <v>20230101</v>
      </c>
      <c r="D3743" s="17">
        <v>22991231</v>
      </c>
      <c r="E3743" s="25">
        <v>342.64</v>
      </c>
    </row>
    <row r="3744" spans="1:5" ht="39" x14ac:dyDescent="0.3">
      <c r="A3744" s="17" t="str">
        <f>"64479"</f>
        <v>64479</v>
      </c>
      <c r="B3744" s="5" t="s">
        <v>3899</v>
      </c>
      <c r="C3744" s="17">
        <v>20000101</v>
      </c>
      <c r="D3744" s="17">
        <v>22991231</v>
      </c>
      <c r="E3744" s="25">
        <v>451.6</v>
      </c>
    </row>
    <row r="3745" spans="1:5" ht="39" x14ac:dyDescent="0.3">
      <c r="A3745" s="17" t="str">
        <f>"64480"</f>
        <v>64480</v>
      </c>
      <c r="B3745" s="5" t="s">
        <v>3900</v>
      </c>
      <c r="C3745" s="17">
        <v>20000101</v>
      </c>
      <c r="D3745" s="17">
        <v>22991231</v>
      </c>
      <c r="E3745" s="25">
        <v>0</v>
      </c>
    </row>
    <row r="3746" spans="1:5" ht="39" x14ac:dyDescent="0.3">
      <c r="A3746" s="17" t="str">
        <f>"64483"</f>
        <v>64483</v>
      </c>
      <c r="B3746" s="5" t="s">
        <v>3901</v>
      </c>
      <c r="C3746" s="17">
        <v>20000101</v>
      </c>
      <c r="D3746" s="17">
        <v>22991231</v>
      </c>
      <c r="E3746" s="25">
        <v>451.6</v>
      </c>
    </row>
    <row r="3747" spans="1:5" ht="39" x14ac:dyDescent="0.3">
      <c r="A3747" s="17" t="str">
        <f>"64484"</f>
        <v>64484</v>
      </c>
      <c r="B3747" s="5" t="s">
        <v>3902</v>
      </c>
      <c r="C3747" s="17">
        <v>20000101</v>
      </c>
      <c r="D3747" s="17">
        <v>22991231</v>
      </c>
      <c r="E3747" s="25">
        <v>0</v>
      </c>
    </row>
    <row r="3748" spans="1:5" ht="26" x14ac:dyDescent="0.3">
      <c r="A3748" s="17" t="str">
        <f>"64486"</f>
        <v>64486</v>
      </c>
      <c r="B3748" s="5" t="s">
        <v>3903</v>
      </c>
      <c r="C3748" s="17">
        <v>20230101</v>
      </c>
      <c r="D3748" s="17">
        <v>22991231</v>
      </c>
      <c r="E3748" s="25">
        <v>0</v>
      </c>
    </row>
    <row r="3749" spans="1:5" ht="39" x14ac:dyDescent="0.3">
      <c r="A3749" s="17" t="str">
        <f>"64487"</f>
        <v>64487</v>
      </c>
      <c r="B3749" s="5" t="s">
        <v>3904</v>
      </c>
      <c r="C3749" s="17">
        <v>20230101</v>
      </c>
      <c r="D3749" s="17">
        <v>22991231</v>
      </c>
      <c r="E3749" s="25">
        <v>0</v>
      </c>
    </row>
    <row r="3750" spans="1:5" ht="39" x14ac:dyDescent="0.3">
      <c r="A3750" s="17" t="str">
        <f>"64488"</f>
        <v>64488</v>
      </c>
      <c r="B3750" s="5" t="s">
        <v>3905</v>
      </c>
      <c r="C3750" s="17">
        <v>20230101</v>
      </c>
      <c r="D3750" s="17">
        <v>22991231</v>
      </c>
      <c r="E3750" s="25">
        <v>0</v>
      </c>
    </row>
    <row r="3751" spans="1:5" ht="39" x14ac:dyDescent="0.3">
      <c r="A3751" s="17" t="str">
        <f>"64489"</f>
        <v>64489</v>
      </c>
      <c r="B3751" s="5" t="s">
        <v>3906</v>
      </c>
      <c r="C3751" s="17">
        <v>20230101</v>
      </c>
      <c r="D3751" s="17">
        <v>22991231</v>
      </c>
      <c r="E3751" s="25">
        <v>0</v>
      </c>
    </row>
    <row r="3752" spans="1:5" ht="26" x14ac:dyDescent="0.3">
      <c r="A3752" s="17" t="str">
        <f>"64490"</f>
        <v>64490</v>
      </c>
      <c r="B3752" s="5" t="s">
        <v>3907</v>
      </c>
      <c r="C3752" s="17">
        <v>20100101</v>
      </c>
      <c r="D3752" s="17">
        <v>22991231</v>
      </c>
      <c r="E3752" s="25">
        <v>451.6</v>
      </c>
    </row>
    <row r="3753" spans="1:5" ht="26" x14ac:dyDescent="0.3">
      <c r="A3753" s="17" t="str">
        <f>"64491"</f>
        <v>64491</v>
      </c>
      <c r="B3753" s="5" t="s">
        <v>3908</v>
      </c>
      <c r="C3753" s="17">
        <v>20100101</v>
      </c>
      <c r="D3753" s="17">
        <v>22991231</v>
      </c>
      <c r="E3753" s="25">
        <v>0</v>
      </c>
    </row>
    <row r="3754" spans="1:5" ht="39" x14ac:dyDescent="0.3">
      <c r="A3754" s="17" t="str">
        <f>"64492"</f>
        <v>64492</v>
      </c>
      <c r="B3754" s="5" t="s">
        <v>3909</v>
      </c>
      <c r="C3754" s="17">
        <v>20100101</v>
      </c>
      <c r="D3754" s="17">
        <v>22991231</v>
      </c>
      <c r="E3754" s="25">
        <v>0</v>
      </c>
    </row>
    <row r="3755" spans="1:5" ht="26" x14ac:dyDescent="0.3">
      <c r="A3755" s="17" t="str">
        <f>"64493"</f>
        <v>64493</v>
      </c>
      <c r="B3755" s="5" t="s">
        <v>3910</v>
      </c>
      <c r="C3755" s="17">
        <v>20100101</v>
      </c>
      <c r="D3755" s="17">
        <v>22991231</v>
      </c>
      <c r="E3755" s="25">
        <v>451.6</v>
      </c>
    </row>
    <row r="3756" spans="1:5" ht="26" x14ac:dyDescent="0.3">
      <c r="A3756" s="17" t="str">
        <f>"64494"</f>
        <v>64494</v>
      </c>
      <c r="B3756" s="5" t="s">
        <v>3911</v>
      </c>
      <c r="C3756" s="17">
        <v>20100101</v>
      </c>
      <c r="D3756" s="17">
        <v>22991231</v>
      </c>
      <c r="E3756" s="25">
        <v>0</v>
      </c>
    </row>
    <row r="3757" spans="1:5" ht="39" x14ac:dyDescent="0.3">
      <c r="A3757" s="17" t="str">
        <f>"64495"</f>
        <v>64495</v>
      </c>
      <c r="B3757" s="5" t="s">
        <v>3912</v>
      </c>
      <c r="C3757" s="17">
        <v>20100101</v>
      </c>
      <c r="D3757" s="17">
        <v>22991231</v>
      </c>
      <c r="E3757" s="25">
        <v>0</v>
      </c>
    </row>
    <row r="3758" spans="1:5" ht="26" x14ac:dyDescent="0.3">
      <c r="A3758" s="17" t="str">
        <f>"64505"</f>
        <v>64505</v>
      </c>
      <c r="B3758" s="5" t="s">
        <v>3913</v>
      </c>
      <c r="C3758" s="17">
        <v>19900101</v>
      </c>
      <c r="D3758" s="17">
        <v>22991231</v>
      </c>
      <c r="E3758" s="25">
        <v>82.56</v>
      </c>
    </row>
    <row r="3759" spans="1:5" ht="26" x14ac:dyDescent="0.3">
      <c r="A3759" s="17" t="str">
        <f>"64510"</f>
        <v>64510</v>
      </c>
      <c r="B3759" s="5" t="s">
        <v>3914</v>
      </c>
      <c r="C3759" s="17">
        <v>19900101</v>
      </c>
      <c r="D3759" s="17">
        <v>22991231</v>
      </c>
      <c r="E3759" s="25">
        <v>451.6</v>
      </c>
    </row>
    <row r="3760" spans="1:5" ht="26" x14ac:dyDescent="0.3">
      <c r="A3760" s="17" t="str">
        <f>"64517"</f>
        <v>64517</v>
      </c>
      <c r="B3760" s="5" t="s">
        <v>3915</v>
      </c>
      <c r="C3760" s="17">
        <v>20040101</v>
      </c>
      <c r="D3760" s="17">
        <v>22991231</v>
      </c>
      <c r="E3760" s="25">
        <v>451.6</v>
      </c>
    </row>
    <row r="3761" spans="1:5" ht="26" x14ac:dyDescent="0.3">
      <c r="A3761" s="17" t="str">
        <f>"64520"</f>
        <v>64520</v>
      </c>
      <c r="B3761" s="5" t="s">
        <v>3916</v>
      </c>
      <c r="C3761" s="17">
        <v>19900101</v>
      </c>
      <c r="D3761" s="17">
        <v>22991231</v>
      </c>
      <c r="E3761" s="25">
        <v>451.6</v>
      </c>
    </row>
    <row r="3762" spans="1:5" ht="26" x14ac:dyDescent="0.3">
      <c r="A3762" s="17" t="str">
        <f>"64530"</f>
        <v>64530</v>
      </c>
      <c r="B3762" s="5" t="s">
        <v>3917</v>
      </c>
      <c r="C3762" s="17">
        <v>19900101</v>
      </c>
      <c r="D3762" s="17">
        <v>22991231</v>
      </c>
      <c r="E3762" s="25">
        <v>451.6</v>
      </c>
    </row>
    <row r="3763" spans="1:5" ht="26" x14ac:dyDescent="0.3">
      <c r="A3763" s="17" t="str">
        <f>"64553"</f>
        <v>64553</v>
      </c>
      <c r="B3763" s="5" t="s">
        <v>3918</v>
      </c>
      <c r="C3763" s="17">
        <v>19900101</v>
      </c>
      <c r="D3763" s="17">
        <v>22991231</v>
      </c>
      <c r="E3763" s="25">
        <v>10915.84</v>
      </c>
    </row>
    <row r="3764" spans="1:5" ht="26" x14ac:dyDescent="0.3">
      <c r="A3764" s="17" t="str">
        <f>"64555"</f>
        <v>64555</v>
      </c>
      <c r="B3764" s="5" t="s">
        <v>3919</v>
      </c>
      <c r="C3764" s="17">
        <v>19900101</v>
      </c>
      <c r="D3764" s="17">
        <v>22991231</v>
      </c>
      <c r="E3764" s="25">
        <v>5363.31</v>
      </c>
    </row>
    <row r="3765" spans="1:5" ht="26" x14ac:dyDescent="0.3">
      <c r="A3765" s="17" t="str">
        <f>"64561"</f>
        <v>64561</v>
      </c>
      <c r="B3765" s="5" t="s">
        <v>3920</v>
      </c>
      <c r="C3765" s="17">
        <v>20051001</v>
      </c>
      <c r="D3765" s="17">
        <v>22991231</v>
      </c>
      <c r="E3765" s="25">
        <v>4811.3500000000004</v>
      </c>
    </row>
    <row r="3766" spans="1:5" x14ac:dyDescent="0.3">
      <c r="A3766" s="17" t="str">
        <f>"64566"</f>
        <v>64566</v>
      </c>
      <c r="B3766" s="5" t="s">
        <v>3921</v>
      </c>
      <c r="C3766" s="17">
        <v>20110101</v>
      </c>
      <c r="D3766" s="17">
        <v>22991231</v>
      </c>
      <c r="E3766" s="25">
        <v>88.2</v>
      </c>
    </row>
    <row r="3767" spans="1:5" ht="26" x14ac:dyDescent="0.3">
      <c r="A3767" s="17" t="str">
        <f>"64568"</f>
        <v>64568</v>
      </c>
      <c r="B3767" s="5" t="s">
        <v>3922</v>
      </c>
      <c r="C3767" s="17">
        <v>20110101</v>
      </c>
      <c r="D3767" s="17">
        <v>22991231</v>
      </c>
      <c r="E3767" s="25">
        <v>24510.3</v>
      </c>
    </row>
    <row r="3768" spans="1:5" ht="26" x14ac:dyDescent="0.3">
      <c r="A3768" s="17" t="str">
        <f>"64569"</f>
        <v>64569</v>
      </c>
      <c r="B3768" s="5" t="s">
        <v>3923</v>
      </c>
      <c r="C3768" s="17">
        <v>20110101</v>
      </c>
      <c r="D3768" s="17">
        <v>22991231</v>
      </c>
      <c r="E3768" s="25">
        <v>11488.94</v>
      </c>
    </row>
    <row r="3769" spans="1:5" ht="26" x14ac:dyDescent="0.3">
      <c r="A3769" s="17" t="str">
        <f>"64570"</f>
        <v>64570</v>
      </c>
      <c r="B3769" s="5" t="s">
        <v>3924</v>
      </c>
      <c r="C3769" s="17">
        <v>20110101</v>
      </c>
      <c r="D3769" s="17">
        <v>22991231</v>
      </c>
      <c r="E3769" s="25">
        <v>2877.66</v>
      </c>
    </row>
    <row r="3770" spans="1:5" ht="26" x14ac:dyDescent="0.3">
      <c r="A3770" s="17" t="str">
        <f>"64575"</f>
        <v>64575</v>
      </c>
      <c r="B3770" s="5" t="s">
        <v>3925</v>
      </c>
      <c r="C3770" s="17">
        <v>19900101</v>
      </c>
      <c r="D3770" s="17">
        <v>22991231</v>
      </c>
      <c r="E3770" s="25">
        <v>10835.63</v>
      </c>
    </row>
    <row r="3771" spans="1:5" x14ac:dyDescent="0.3">
      <c r="A3771" s="17" t="str">
        <f>"64580"</f>
        <v>64580</v>
      </c>
      <c r="B3771" s="5" t="s">
        <v>3926</v>
      </c>
      <c r="C3771" s="17">
        <v>19900101</v>
      </c>
      <c r="D3771" s="17">
        <v>22991231</v>
      </c>
      <c r="E3771" s="25">
        <v>15125.41</v>
      </c>
    </row>
    <row r="3772" spans="1:5" ht="26" x14ac:dyDescent="0.3">
      <c r="A3772" s="17" t="str">
        <f>"64581"</f>
        <v>64581</v>
      </c>
      <c r="B3772" s="5" t="s">
        <v>3927</v>
      </c>
      <c r="C3772" s="17">
        <v>20160101</v>
      </c>
      <c r="D3772" s="17">
        <v>22991231</v>
      </c>
      <c r="E3772" s="25">
        <v>5116.22</v>
      </c>
    </row>
    <row r="3773" spans="1:5" ht="39" x14ac:dyDescent="0.3">
      <c r="A3773" s="17" t="str">
        <f>"64582"</f>
        <v>64582</v>
      </c>
      <c r="B3773" s="5" t="s">
        <v>3928</v>
      </c>
      <c r="C3773" s="17">
        <v>20230101</v>
      </c>
      <c r="D3773" s="17">
        <v>22991231</v>
      </c>
      <c r="E3773" s="25">
        <v>23732.639999999999</v>
      </c>
    </row>
    <row r="3774" spans="1:5" ht="39" x14ac:dyDescent="0.3">
      <c r="A3774" s="17" t="str">
        <f>"64583"</f>
        <v>64583</v>
      </c>
      <c r="B3774" s="5" t="s">
        <v>3929</v>
      </c>
      <c r="C3774" s="17">
        <v>20230101</v>
      </c>
      <c r="D3774" s="17">
        <v>22991231</v>
      </c>
      <c r="E3774" s="25">
        <v>10324.58</v>
      </c>
    </row>
    <row r="3775" spans="1:5" ht="39" x14ac:dyDescent="0.3">
      <c r="A3775" s="17" t="str">
        <f>"64584"</f>
        <v>64584</v>
      </c>
      <c r="B3775" s="5" t="s">
        <v>3930</v>
      </c>
      <c r="C3775" s="17">
        <v>20230101</v>
      </c>
      <c r="D3775" s="17">
        <v>22991231</v>
      </c>
      <c r="E3775" s="25">
        <v>2877.66</v>
      </c>
    </row>
    <row r="3776" spans="1:5" ht="26" x14ac:dyDescent="0.3">
      <c r="A3776" s="17" t="str">
        <f>"64585"</f>
        <v>64585</v>
      </c>
      <c r="B3776" s="5" t="s">
        <v>3931</v>
      </c>
      <c r="C3776" s="17">
        <v>19900101</v>
      </c>
      <c r="D3776" s="17">
        <v>22991231</v>
      </c>
      <c r="E3776" s="25">
        <v>1813.03</v>
      </c>
    </row>
    <row r="3777" spans="1:5" ht="26" x14ac:dyDescent="0.3">
      <c r="A3777" s="17" t="str">
        <f>"64590"</f>
        <v>64590</v>
      </c>
      <c r="B3777" s="5" t="s">
        <v>3932</v>
      </c>
      <c r="C3777" s="17">
        <v>19900101</v>
      </c>
      <c r="D3777" s="17">
        <v>22991231</v>
      </c>
      <c r="E3777" s="25">
        <v>18137.79</v>
      </c>
    </row>
    <row r="3778" spans="1:5" ht="39" x14ac:dyDescent="0.3">
      <c r="A3778" s="17" t="str">
        <f>"64595"</f>
        <v>64595</v>
      </c>
      <c r="B3778" s="5" t="s">
        <v>3933</v>
      </c>
      <c r="C3778" s="17">
        <v>19900101</v>
      </c>
      <c r="D3778" s="17">
        <v>22991231</v>
      </c>
      <c r="E3778" s="25">
        <v>1813.03</v>
      </c>
    </row>
    <row r="3779" spans="1:5" ht="26" x14ac:dyDescent="0.3">
      <c r="A3779" s="17" t="str">
        <f>"64596"</f>
        <v>64596</v>
      </c>
      <c r="B3779" s="5" t="s">
        <v>3934</v>
      </c>
      <c r="C3779" s="17">
        <v>20240101</v>
      </c>
      <c r="D3779" s="17">
        <v>22991231</v>
      </c>
      <c r="E3779" s="25">
        <v>8810.73</v>
      </c>
    </row>
    <row r="3780" spans="1:5" ht="39" x14ac:dyDescent="0.3">
      <c r="A3780" s="17" t="str">
        <f>"64597"</f>
        <v>64597</v>
      </c>
      <c r="B3780" s="5" t="s">
        <v>3935</v>
      </c>
      <c r="C3780" s="17">
        <v>20240101</v>
      </c>
      <c r="D3780" s="17">
        <v>22991231</v>
      </c>
      <c r="E3780" s="25">
        <v>0</v>
      </c>
    </row>
    <row r="3781" spans="1:5" ht="26" x14ac:dyDescent="0.3">
      <c r="A3781" s="17" t="str">
        <f>"64598"</f>
        <v>64598</v>
      </c>
      <c r="B3781" s="5" t="s">
        <v>3936</v>
      </c>
      <c r="C3781" s="17">
        <v>20240101</v>
      </c>
      <c r="D3781" s="17">
        <v>22991231</v>
      </c>
      <c r="E3781" s="25">
        <v>1813.03</v>
      </c>
    </row>
    <row r="3782" spans="1:5" x14ac:dyDescent="0.3">
      <c r="A3782" s="17" t="str">
        <f>"64600"</f>
        <v>64600</v>
      </c>
      <c r="B3782" s="5" t="s">
        <v>3937</v>
      </c>
      <c r="C3782" s="17">
        <v>19900101</v>
      </c>
      <c r="D3782" s="17">
        <v>22991231</v>
      </c>
      <c r="E3782" s="25">
        <v>451.6</v>
      </c>
    </row>
    <row r="3783" spans="1:5" ht="26" x14ac:dyDescent="0.3">
      <c r="A3783" s="17" t="str">
        <f>"64605"</f>
        <v>64605</v>
      </c>
      <c r="B3783" s="5" t="s">
        <v>3938</v>
      </c>
      <c r="C3783" s="17">
        <v>19900101</v>
      </c>
      <c r="D3783" s="17">
        <v>22991231</v>
      </c>
      <c r="E3783" s="25">
        <v>857.51</v>
      </c>
    </row>
    <row r="3784" spans="1:5" ht="26" x14ac:dyDescent="0.3">
      <c r="A3784" s="17" t="str">
        <f>"64610"</f>
        <v>64610</v>
      </c>
      <c r="B3784" s="5" t="s">
        <v>3939</v>
      </c>
      <c r="C3784" s="17">
        <v>19930101</v>
      </c>
      <c r="D3784" s="17">
        <v>22991231</v>
      </c>
      <c r="E3784" s="25">
        <v>857.51</v>
      </c>
    </row>
    <row r="3785" spans="1:5" ht="26" x14ac:dyDescent="0.3">
      <c r="A3785" s="17" t="str">
        <f>"64611"</f>
        <v>64611</v>
      </c>
      <c r="B3785" s="5" t="s">
        <v>3940</v>
      </c>
      <c r="C3785" s="17">
        <v>20110101</v>
      </c>
      <c r="D3785" s="17">
        <v>22991231</v>
      </c>
      <c r="E3785" s="25">
        <v>80.69</v>
      </c>
    </row>
    <row r="3786" spans="1:5" ht="26" x14ac:dyDescent="0.3">
      <c r="A3786" s="17" t="str">
        <f>"64612"</f>
        <v>64612</v>
      </c>
      <c r="B3786" s="5" t="s">
        <v>3941</v>
      </c>
      <c r="C3786" s="17">
        <v>19920115</v>
      </c>
      <c r="D3786" s="17">
        <v>22991231</v>
      </c>
      <c r="E3786" s="25">
        <v>76.62</v>
      </c>
    </row>
    <row r="3787" spans="1:5" ht="26" x14ac:dyDescent="0.3">
      <c r="A3787" s="17" t="str">
        <f>"64615"</f>
        <v>64615</v>
      </c>
      <c r="B3787" s="5" t="s">
        <v>3942</v>
      </c>
      <c r="C3787" s="17">
        <v>20130101</v>
      </c>
      <c r="D3787" s="17">
        <v>22991231</v>
      </c>
      <c r="E3787" s="25">
        <v>67.56</v>
      </c>
    </row>
    <row r="3788" spans="1:5" ht="26" x14ac:dyDescent="0.3">
      <c r="A3788" s="17" t="str">
        <f>"64616"</f>
        <v>64616</v>
      </c>
      <c r="B3788" s="5" t="s">
        <v>3943</v>
      </c>
      <c r="C3788" s="17">
        <v>20230101</v>
      </c>
      <c r="D3788" s="17">
        <v>22991231</v>
      </c>
      <c r="E3788" s="25">
        <v>66.930000000000007</v>
      </c>
    </row>
    <row r="3789" spans="1:5" ht="26" x14ac:dyDescent="0.3">
      <c r="A3789" s="17" t="str">
        <f>"64617"</f>
        <v>64617</v>
      </c>
      <c r="B3789" s="5" t="s">
        <v>3944</v>
      </c>
      <c r="C3789" s="17">
        <v>20230101</v>
      </c>
      <c r="D3789" s="17">
        <v>22991231</v>
      </c>
      <c r="E3789" s="25">
        <v>84.44</v>
      </c>
    </row>
    <row r="3790" spans="1:5" x14ac:dyDescent="0.3">
      <c r="A3790" s="17" t="str">
        <f>"64620"</f>
        <v>64620</v>
      </c>
      <c r="B3790" s="5" t="s">
        <v>3945</v>
      </c>
      <c r="C3790" s="17">
        <v>19900101</v>
      </c>
      <c r="D3790" s="17">
        <v>22991231</v>
      </c>
      <c r="E3790" s="25">
        <v>451.6</v>
      </c>
    </row>
    <row r="3791" spans="1:5" ht="26" x14ac:dyDescent="0.3">
      <c r="A3791" s="17" t="str">
        <f>"64624"</f>
        <v>64624</v>
      </c>
      <c r="B3791" s="5" t="s">
        <v>3946</v>
      </c>
      <c r="C3791" s="17">
        <v>20200101</v>
      </c>
      <c r="D3791" s="17">
        <v>22991231</v>
      </c>
      <c r="E3791" s="25">
        <v>857.51</v>
      </c>
    </row>
    <row r="3792" spans="1:5" ht="26" x14ac:dyDescent="0.3">
      <c r="A3792" s="17" t="str">
        <f>"64625"</f>
        <v>64625</v>
      </c>
      <c r="B3792" s="5" t="s">
        <v>3947</v>
      </c>
      <c r="C3792" s="17">
        <v>20200101</v>
      </c>
      <c r="D3792" s="17">
        <v>22991231</v>
      </c>
      <c r="E3792" s="25">
        <v>857.51</v>
      </c>
    </row>
    <row r="3793" spans="1:5" ht="39" x14ac:dyDescent="0.3">
      <c r="A3793" s="17" t="str">
        <f>"64628"</f>
        <v>64628</v>
      </c>
      <c r="B3793" s="5" t="s">
        <v>3948</v>
      </c>
      <c r="C3793" s="17">
        <v>20230101</v>
      </c>
      <c r="D3793" s="17">
        <v>22991231</v>
      </c>
      <c r="E3793" s="25">
        <v>8975.43</v>
      </c>
    </row>
    <row r="3794" spans="1:5" x14ac:dyDescent="0.3">
      <c r="A3794" s="17" t="str">
        <f>"64630"</f>
        <v>64630</v>
      </c>
      <c r="B3794" s="5" t="s">
        <v>3949</v>
      </c>
      <c r="C3794" s="17">
        <v>19900101</v>
      </c>
      <c r="D3794" s="17">
        <v>22991231</v>
      </c>
      <c r="E3794" s="25">
        <v>451.6</v>
      </c>
    </row>
    <row r="3795" spans="1:5" x14ac:dyDescent="0.3">
      <c r="A3795" s="17" t="str">
        <f>"64632"</f>
        <v>64632</v>
      </c>
      <c r="B3795" s="5" t="s">
        <v>3950</v>
      </c>
      <c r="C3795" s="17">
        <v>20090101</v>
      </c>
      <c r="D3795" s="17">
        <v>22991231</v>
      </c>
      <c r="E3795" s="25">
        <v>43.78</v>
      </c>
    </row>
    <row r="3796" spans="1:5" ht="26" x14ac:dyDescent="0.3">
      <c r="A3796" s="17" t="str">
        <f>"64633"</f>
        <v>64633</v>
      </c>
      <c r="B3796" s="5" t="s">
        <v>3951</v>
      </c>
      <c r="C3796" s="17">
        <v>20120101</v>
      </c>
      <c r="D3796" s="17">
        <v>22991231</v>
      </c>
      <c r="E3796" s="25">
        <v>857.51</v>
      </c>
    </row>
    <row r="3797" spans="1:5" ht="39" x14ac:dyDescent="0.3">
      <c r="A3797" s="17" t="str">
        <f>"64634"</f>
        <v>64634</v>
      </c>
      <c r="B3797" s="5" t="s">
        <v>3952</v>
      </c>
      <c r="C3797" s="17">
        <v>20120101</v>
      </c>
      <c r="D3797" s="17">
        <v>22991231</v>
      </c>
      <c r="E3797" s="25">
        <v>0</v>
      </c>
    </row>
    <row r="3798" spans="1:5" ht="26" x14ac:dyDescent="0.3">
      <c r="A3798" s="17" t="str">
        <f>"64635"</f>
        <v>64635</v>
      </c>
      <c r="B3798" s="5" t="s">
        <v>3953</v>
      </c>
      <c r="C3798" s="17">
        <v>20120101</v>
      </c>
      <c r="D3798" s="17">
        <v>22991231</v>
      </c>
      <c r="E3798" s="25">
        <v>857.51</v>
      </c>
    </row>
    <row r="3799" spans="1:5" ht="39" x14ac:dyDescent="0.3">
      <c r="A3799" s="17" t="str">
        <f>"64636"</f>
        <v>64636</v>
      </c>
      <c r="B3799" s="5" t="s">
        <v>3954</v>
      </c>
      <c r="C3799" s="17">
        <v>20120101</v>
      </c>
      <c r="D3799" s="17">
        <v>22991231</v>
      </c>
      <c r="E3799" s="25">
        <v>0</v>
      </c>
    </row>
    <row r="3800" spans="1:5" x14ac:dyDescent="0.3">
      <c r="A3800" s="17" t="str">
        <f>"64640"</f>
        <v>64640</v>
      </c>
      <c r="B3800" s="5" t="s">
        <v>3955</v>
      </c>
      <c r="C3800" s="17">
        <v>19900101</v>
      </c>
      <c r="D3800" s="17">
        <v>22991231</v>
      </c>
      <c r="E3800" s="25">
        <v>164.82</v>
      </c>
    </row>
    <row r="3801" spans="1:5" ht="39" x14ac:dyDescent="0.3">
      <c r="A3801" s="17" t="str">
        <f>"64642"</f>
        <v>64642</v>
      </c>
      <c r="B3801" s="5" t="s">
        <v>3956</v>
      </c>
      <c r="C3801" s="17">
        <v>20230101</v>
      </c>
      <c r="D3801" s="17">
        <v>22991231</v>
      </c>
      <c r="E3801" s="25">
        <v>80.38</v>
      </c>
    </row>
    <row r="3802" spans="1:5" ht="39" x14ac:dyDescent="0.3">
      <c r="A3802" s="17" t="str">
        <f>"64643"</f>
        <v>64643</v>
      </c>
      <c r="B3802" s="5" t="s">
        <v>3957</v>
      </c>
      <c r="C3802" s="17">
        <v>20230101</v>
      </c>
      <c r="D3802" s="17">
        <v>22991231</v>
      </c>
      <c r="E3802" s="25">
        <v>0</v>
      </c>
    </row>
    <row r="3803" spans="1:5" ht="39" x14ac:dyDescent="0.3">
      <c r="A3803" s="17" t="str">
        <f>"64644"</f>
        <v>64644</v>
      </c>
      <c r="B3803" s="5" t="s">
        <v>3958</v>
      </c>
      <c r="C3803" s="17">
        <v>20230101</v>
      </c>
      <c r="D3803" s="17">
        <v>22991231</v>
      </c>
      <c r="E3803" s="25">
        <v>98.21</v>
      </c>
    </row>
    <row r="3804" spans="1:5" ht="39" x14ac:dyDescent="0.3">
      <c r="A3804" s="17" t="str">
        <f>"64645"</f>
        <v>64645</v>
      </c>
      <c r="B3804" s="5" t="s">
        <v>3959</v>
      </c>
      <c r="C3804" s="17">
        <v>20230101</v>
      </c>
      <c r="D3804" s="17">
        <v>22991231</v>
      </c>
      <c r="E3804" s="25">
        <v>0</v>
      </c>
    </row>
    <row r="3805" spans="1:5" ht="26" x14ac:dyDescent="0.3">
      <c r="A3805" s="17" t="str">
        <f>"64646"</f>
        <v>64646</v>
      </c>
      <c r="B3805" s="5" t="s">
        <v>3960</v>
      </c>
      <c r="C3805" s="17">
        <v>20230101</v>
      </c>
      <c r="D3805" s="17">
        <v>22991231</v>
      </c>
      <c r="E3805" s="25">
        <v>80.69</v>
      </c>
    </row>
    <row r="3806" spans="1:5" ht="26" x14ac:dyDescent="0.3">
      <c r="A3806" s="17" t="str">
        <f>"64647"</f>
        <v>64647</v>
      </c>
      <c r="B3806" s="5" t="s">
        <v>3961</v>
      </c>
      <c r="C3806" s="17">
        <v>20230101</v>
      </c>
      <c r="D3806" s="17">
        <v>22991231</v>
      </c>
      <c r="E3806" s="25">
        <v>89.13</v>
      </c>
    </row>
    <row r="3807" spans="1:5" ht="26" x14ac:dyDescent="0.3">
      <c r="A3807" s="17" t="str">
        <f>"64650"</f>
        <v>64650</v>
      </c>
      <c r="B3807" s="5" t="s">
        <v>3962</v>
      </c>
      <c r="C3807" s="17">
        <v>20230101</v>
      </c>
      <c r="D3807" s="17">
        <v>22991231</v>
      </c>
      <c r="E3807" s="25">
        <v>57.86</v>
      </c>
    </row>
    <row r="3808" spans="1:5" ht="26" x14ac:dyDescent="0.3">
      <c r="A3808" s="17" t="str">
        <f>"64653"</f>
        <v>64653</v>
      </c>
      <c r="B3808" s="5" t="s">
        <v>3963</v>
      </c>
      <c r="C3808" s="17">
        <v>20230101</v>
      </c>
      <c r="D3808" s="17">
        <v>22991231</v>
      </c>
      <c r="E3808" s="25">
        <v>64.739999999999995</v>
      </c>
    </row>
    <row r="3809" spans="1:5" ht="26" x14ac:dyDescent="0.3">
      <c r="A3809" s="17" t="str">
        <f>"64680"</f>
        <v>64680</v>
      </c>
      <c r="B3809" s="5" t="s">
        <v>3964</v>
      </c>
      <c r="C3809" s="17">
        <v>19900101</v>
      </c>
      <c r="D3809" s="17">
        <v>22991231</v>
      </c>
      <c r="E3809" s="25">
        <v>451.6</v>
      </c>
    </row>
    <row r="3810" spans="1:5" ht="26" x14ac:dyDescent="0.3">
      <c r="A3810" s="17" t="str">
        <f>"64681"</f>
        <v>64681</v>
      </c>
      <c r="B3810" s="5" t="s">
        <v>3965</v>
      </c>
      <c r="C3810" s="17">
        <v>20230101</v>
      </c>
      <c r="D3810" s="17">
        <v>22991231</v>
      </c>
      <c r="E3810" s="25">
        <v>451.6</v>
      </c>
    </row>
    <row r="3811" spans="1:5" x14ac:dyDescent="0.3">
      <c r="A3811" s="17" t="str">
        <f>"64702"</f>
        <v>64702</v>
      </c>
      <c r="B3811" s="5" t="s">
        <v>3966</v>
      </c>
      <c r="C3811" s="17">
        <v>19900101</v>
      </c>
      <c r="D3811" s="17">
        <v>22991231</v>
      </c>
      <c r="E3811" s="25">
        <v>857.51</v>
      </c>
    </row>
    <row r="3812" spans="1:5" x14ac:dyDescent="0.3">
      <c r="A3812" s="17" t="str">
        <f>"64704"</f>
        <v>64704</v>
      </c>
      <c r="B3812" s="5" t="s">
        <v>3967</v>
      </c>
      <c r="C3812" s="17">
        <v>19900101</v>
      </c>
      <c r="D3812" s="17">
        <v>22991231</v>
      </c>
      <c r="E3812" s="25">
        <v>857.51</v>
      </c>
    </row>
    <row r="3813" spans="1:5" x14ac:dyDescent="0.3">
      <c r="A3813" s="17" t="str">
        <f>"64708"</f>
        <v>64708</v>
      </c>
      <c r="B3813" s="5" t="s">
        <v>3968</v>
      </c>
      <c r="C3813" s="17">
        <v>19900101</v>
      </c>
      <c r="D3813" s="17">
        <v>22991231</v>
      </c>
      <c r="E3813" s="25">
        <v>857.51</v>
      </c>
    </row>
    <row r="3814" spans="1:5" x14ac:dyDescent="0.3">
      <c r="A3814" s="17" t="str">
        <f>"64712"</f>
        <v>64712</v>
      </c>
      <c r="B3814" s="5" t="s">
        <v>3969</v>
      </c>
      <c r="C3814" s="17">
        <v>19900101</v>
      </c>
      <c r="D3814" s="17">
        <v>22991231</v>
      </c>
      <c r="E3814" s="25">
        <v>857.51</v>
      </c>
    </row>
    <row r="3815" spans="1:5" x14ac:dyDescent="0.3">
      <c r="A3815" s="17" t="str">
        <f>"64713"</f>
        <v>64713</v>
      </c>
      <c r="B3815" s="5" t="s">
        <v>3970</v>
      </c>
      <c r="C3815" s="17">
        <v>19900101</v>
      </c>
      <c r="D3815" s="17">
        <v>22991231</v>
      </c>
      <c r="E3815" s="25">
        <v>857.51</v>
      </c>
    </row>
    <row r="3816" spans="1:5" x14ac:dyDescent="0.3">
      <c r="A3816" s="17" t="str">
        <f>"64714"</f>
        <v>64714</v>
      </c>
      <c r="B3816" s="5" t="s">
        <v>3971</v>
      </c>
      <c r="C3816" s="17">
        <v>19900101</v>
      </c>
      <c r="D3816" s="17">
        <v>22991231</v>
      </c>
      <c r="E3816" s="25">
        <v>857.51</v>
      </c>
    </row>
    <row r="3817" spans="1:5" x14ac:dyDescent="0.3">
      <c r="A3817" s="17" t="str">
        <f>"64716"</f>
        <v>64716</v>
      </c>
      <c r="B3817" s="5" t="s">
        <v>3972</v>
      </c>
      <c r="C3817" s="17">
        <v>19900101</v>
      </c>
      <c r="D3817" s="17">
        <v>22991231</v>
      </c>
      <c r="E3817" s="25">
        <v>1079.94</v>
      </c>
    </row>
    <row r="3818" spans="1:5" x14ac:dyDescent="0.3">
      <c r="A3818" s="17" t="str">
        <f>"64718"</f>
        <v>64718</v>
      </c>
      <c r="B3818" s="5" t="s">
        <v>3973</v>
      </c>
      <c r="C3818" s="17">
        <v>19900101</v>
      </c>
      <c r="D3818" s="17">
        <v>22991231</v>
      </c>
      <c r="E3818" s="25">
        <v>857.51</v>
      </c>
    </row>
    <row r="3819" spans="1:5" x14ac:dyDescent="0.3">
      <c r="A3819" s="17" t="str">
        <f>"64719"</f>
        <v>64719</v>
      </c>
      <c r="B3819" s="5" t="s">
        <v>3974</v>
      </c>
      <c r="C3819" s="17">
        <v>19900101</v>
      </c>
      <c r="D3819" s="17">
        <v>22991231</v>
      </c>
      <c r="E3819" s="25">
        <v>857.51</v>
      </c>
    </row>
    <row r="3820" spans="1:5" x14ac:dyDescent="0.3">
      <c r="A3820" s="17" t="str">
        <f>"64721"</f>
        <v>64721</v>
      </c>
      <c r="B3820" s="5" t="s">
        <v>3975</v>
      </c>
      <c r="C3820" s="17">
        <v>19900101</v>
      </c>
      <c r="D3820" s="17">
        <v>22991231</v>
      </c>
      <c r="E3820" s="25">
        <v>857.51</v>
      </c>
    </row>
    <row r="3821" spans="1:5" x14ac:dyDescent="0.3">
      <c r="A3821" s="17" t="str">
        <f>"64722"</f>
        <v>64722</v>
      </c>
      <c r="B3821" s="5" t="s">
        <v>3976</v>
      </c>
      <c r="C3821" s="17">
        <v>19900101</v>
      </c>
      <c r="D3821" s="17">
        <v>22991231</v>
      </c>
      <c r="E3821" s="25">
        <v>857.51</v>
      </c>
    </row>
    <row r="3822" spans="1:5" x14ac:dyDescent="0.3">
      <c r="A3822" s="17" t="str">
        <f>"64726"</f>
        <v>64726</v>
      </c>
      <c r="B3822" s="5" t="s">
        <v>3977</v>
      </c>
      <c r="C3822" s="17">
        <v>19900101</v>
      </c>
      <c r="D3822" s="17">
        <v>22991231</v>
      </c>
      <c r="E3822" s="25">
        <v>857.51</v>
      </c>
    </row>
    <row r="3823" spans="1:5" x14ac:dyDescent="0.3">
      <c r="A3823" s="17" t="str">
        <f>"64727"</f>
        <v>64727</v>
      </c>
      <c r="B3823" s="5" t="s">
        <v>3978</v>
      </c>
      <c r="C3823" s="17">
        <v>19900101</v>
      </c>
      <c r="D3823" s="17">
        <v>22991231</v>
      </c>
      <c r="E3823" s="25">
        <v>0</v>
      </c>
    </row>
    <row r="3824" spans="1:5" ht="26" x14ac:dyDescent="0.3">
      <c r="A3824" s="17" t="str">
        <f>"64732"</f>
        <v>64732</v>
      </c>
      <c r="B3824" s="5" t="s">
        <v>3979</v>
      </c>
      <c r="C3824" s="17">
        <v>19900101</v>
      </c>
      <c r="D3824" s="17">
        <v>22991231</v>
      </c>
      <c r="E3824" s="25">
        <v>857.51</v>
      </c>
    </row>
    <row r="3825" spans="1:5" ht="26" x14ac:dyDescent="0.3">
      <c r="A3825" s="17" t="str">
        <f>"64734"</f>
        <v>64734</v>
      </c>
      <c r="B3825" s="5" t="s">
        <v>3980</v>
      </c>
      <c r="C3825" s="17">
        <v>19900101</v>
      </c>
      <c r="D3825" s="17">
        <v>22991231</v>
      </c>
      <c r="E3825" s="25">
        <v>857.51</v>
      </c>
    </row>
    <row r="3826" spans="1:5" ht="26" x14ac:dyDescent="0.3">
      <c r="A3826" s="17" t="str">
        <f>"64736"</f>
        <v>64736</v>
      </c>
      <c r="B3826" s="5" t="s">
        <v>3981</v>
      </c>
      <c r="C3826" s="17">
        <v>19900101</v>
      </c>
      <c r="D3826" s="17">
        <v>22991231</v>
      </c>
      <c r="E3826" s="25">
        <v>857.51</v>
      </c>
    </row>
    <row r="3827" spans="1:5" x14ac:dyDescent="0.3">
      <c r="A3827" s="17" t="str">
        <f>"64738"</f>
        <v>64738</v>
      </c>
      <c r="B3827" s="5" t="s">
        <v>3982</v>
      </c>
      <c r="C3827" s="17">
        <v>19900101</v>
      </c>
      <c r="D3827" s="17">
        <v>22991231</v>
      </c>
      <c r="E3827" s="25">
        <v>857.51</v>
      </c>
    </row>
    <row r="3828" spans="1:5" x14ac:dyDescent="0.3">
      <c r="A3828" s="17" t="str">
        <f>"64740"</f>
        <v>64740</v>
      </c>
      <c r="B3828" s="5" t="s">
        <v>3983</v>
      </c>
      <c r="C3828" s="17">
        <v>19900101</v>
      </c>
      <c r="D3828" s="17">
        <v>22991231</v>
      </c>
      <c r="E3828" s="25">
        <v>857.51</v>
      </c>
    </row>
    <row r="3829" spans="1:5" x14ac:dyDescent="0.3">
      <c r="A3829" s="17" t="str">
        <f>"64742"</f>
        <v>64742</v>
      </c>
      <c r="B3829" s="5" t="s">
        <v>3984</v>
      </c>
      <c r="C3829" s="17">
        <v>19900101</v>
      </c>
      <c r="D3829" s="17">
        <v>22991231</v>
      </c>
      <c r="E3829" s="25">
        <v>857.51</v>
      </c>
    </row>
    <row r="3830" spans="1:5" x14ac:dyDescent="0.3">
      <c r="A3830" s="17" t="str">
        <f>"64744"</f>
        <v>64744</v>
      </c>
      <c r="B3830" s="5" t="s">
        <v>3985</v>
      </c>
      <c r="C3830" s="17">
        <v>19900101</v>
      </c>
      <c r="D3830" s="17">
        <v>22991231</v>
      </c>
      <c r="E3830" s="25">
        <v>857.51</v>
      </c>
    </row>
    <row r="3831" spans="1:5" ht="26" x14ac:dyDescent="0.3">
      <c r="A3831" s="17" t="str">
        <f>"64746"</f>
        <v>64746</v>
      </c>
      <c r="B3831" s="5" t="s">
        <v>3986</v>
      </c>
      <c r="C3831" s="17">
        <v>19900101</v>
      </c>
      <c r="D3831" s="17">
        <v>22991231</v>
      </c>
      <c r="E3831" s="25">
        <v>857.51</v>
      </c>
    </row>
    <row r="3832" spans="1:5" ht="26" x14ac:dyDescent="0.3">
      <c r="A3832" s="17" t="str">
        <f>"64763"</f>
        <v>64763</v>
      </c>
      <c r="B3832" s="5" t="s">
        <v>3987</v>
      </c>
      <c r="C3832" s="17">
        <v>19900101</v>
      </c>
      <c r="D3832" s="17">
        <v>22991231</v>
      </c>
      <c r="E3832" s="25">
        <v>857.51</v>
      </c>
    </row>
    <row r="3833" spans="1:5" ht="26" x14ac:dyDescent="0.3">
      <c r="A3833" s="17" t="str">
        <f>"64766"</f>
        <v>64766</v>
      </c>
      <c r="B3833" s="5" t="s">
        <v>3988</v>
      </c>
      <c r="C3833" s="17">
        <v>19900101</v>
      </c>
      <c r="D3833" s="17">
        <v>22991231</v>
      </c>
      <c r="E3833" s="25">
        <v>857.51</v>
      </c>
    </row>
    <row r="3834" spans="1:5" x14ac:dyDescent="0.3">
      <c r="A3834" s="17" t="str">
        <f>"64771"</f>
        <v>64771</v>
      </c>
      <c r="B3834" s="5" t="s">
        <v>3989</v>
      </c>
      <c r="C3834" s="17">
        <v>19900101</v>
      </c>
      <c r="D3834" s="17">
        <v>22991231</v>
      </c>
      <c r="E3834" s="25">
        <v>857.51</v>
      </c>
    </row>
    <row r="3835" spans="1:5" x14ac:dyDescent="0.3">
      <c r="A3835" s="17" t="str">
        <f>"64772"</f>
        <v>64772</v>
      </c>
      <c r="B3835" s="5" t="s">
        <v>3990</v>
      </c>
      <c r="C3835" s="17">
        <v>19900101</v>
      </c>
      <c r="D3835" s="17">
        <v>22991231</v>
      </c>
      <c r="E3835" s="25">
        <v>857.51</v>
      </c>
    </row>
    <row r="3836" spans="1:5" x14ac:dyDescent="0.3">
      <c r="A3836" s="17" t="str">
        <f>"64774"</f>
        <v>64774</v>
      </c>
      <c r="B3836" s="5" t="s">
        <v>3991</v>
      </c>
      <c r="C3836" s="17">
        <v>19900101</v>
      </c>
      <c r="D3836" s="17">
        <v>22991231</v>
      </c>
      <c r="E3836" s="25">
        <v>857.51</v>
      </c>
    </row>
    <row r="3837" spans="1:5" ht="26" x14ac:dyDescent="0.3">
      <c r="A3837" s="17" t="str">
        <f>"64776"</f>
        <v>64776</v>
      </c>
      <c r="B3837" s="5" t="s">
        <v>3992</v>
      </c>
      <c r="C3837" s="17">
        <v>19900101</v>
      </c>
      <c r="D3837" s="17">
        <v>22991231</v>
      </c>
      <c r="E3837" s="25">
        <v>857.51</v>
      </c>
    </row>
    <row r="3838" spans="1:5" ht="26" x14ac:dyDescent="0.3">
      <c r="A3838" s="17" t="str">
        <f>"64778"</f>
        <v>64778</v>
      </c>
      <c r="B3838" s="5" t="s">
        <v>3993</v>
      </c>
      <c r="C3838" s="17">
        <v>19900101</v>
      </c>
      <c r="D3838" s="17">
        <v>22991231</v>
      </c>
      <c r="E3838" s="25">
        <v>0</v>
      </c>
    </row>
    <row r="3839" spans="1:5" ht="26" x14ac:dyDescent="0.3">
      <c r="A3839" s="17" t="str">
        <f>"64782"</f>
        <v>64782</v>
      </c>
      <c r="B3839" s="5" t="s">
        <v>3994</v>
      </c>
      <c r="C3839" s="17">
        <v>19900101</v>
      </c>
      <c r="D3839" s="17">
        <v>22991231</v>
      </c>
      <c r="E3839" s="25">
        <v>857.51</v>
      </c>
    </row>
    <row r="3840" spans="1:5" ht="26" x14ac:dyDescent="0.3">
      <c r="A3840" s="17" t="str">
        <f>"64783"</f>
        <v>64783</v>
      </c>
      <c r="B3840" s="5" t="s">
        <v>3995</v>
      </c>
      <c r="C3840" s="17">
        <v>19900101</v>
      </c>
      <c r="D3840" s="17">
        <v>22991231</v>
      </c>
      <c r="E3840" s="25">
        <v>0</v>
      </c>
    </row>
    <row r="3841" spans="1:5" x14ac:dyDescent="0.3">
      <c r="A3841" s="17" t="str">
        <f>"64784"</f>
        <v>64784</v>
      </c>
      <c r="B3841" s="5" t="s">
        <v>3996</v>
      </c>
      <c r="C3841" s="17">
        <v>19900101</v>
      </c>
      <c r="D3841" s="17">
        <v>22991231</v>
      </c>
      <c r="E3841" s="25">
        <v>857.51</v>
      </c>
    </row>
    <row r="3842" spans="1:5" x14ac:dyDescent="0.3">
      <c r="A3842" s="17" t="str">
        <f>"64786"</f>
        <v>64786</v>
      </c>
      <c r="B3842" s="5" t="s">
        <v>3997</v>
      </c>
      <c r="C3842" s="17">
        <v>19900101</v>
      </c>
      <c r="D3842" s="17">
        <v>22991231</v>
      </c>
      <c r="E3842" s="25">
        <v>2877.66</v>
      </c>
    </row>
    <row r="3843" spans="1:5" x14ac:dyDescent="0.3">
      <c r="A3843" s="17" t="str">
        <f>"64787"</f>
        <v>64787</v>
      </c>
      <c r="B3843" s="5" t="s">
        <v>3998</v>
      </c>
      <c r="C3843" s="17">
        <v>19900101</v>
      </c>
      <c r="D3843" s="17">
        <v>22991231</v>
      </c>
      <c r="E3843" s="25">
        <v>0</v>
      </c>
    </row>
    <row r="3844" spans="1:5" x14ac:dyDescent="0.3">
      <c r="A3844" s="17" t="str">
        <f>"64788"</f>
        <v>64788</v>
      </c>
      <c r="B3844" s="5" t="s">
        <v>3999</v>
      </c>
      <c r="C3844" s="17">
        <v>19900101</v>
      </c>
      <c r="D3844" s="17">
        <v>22991231</v>
      </c>
      <c r="E3844" s="25">
        <v>857.51</v>
      </c>
    </row>
    <row r="3845" spans="1:5" ht="26" x14ac:dyDescent="0.3">
      <c r="A3845" s="17" t="str">
        <f>"64790"</f>
        <v>64790</v>
      </c>
      <c r="B3845" s="5" t="s">
        <v>4000</v>
      </c>
      <c r="C3845" s="17">
        <v>19900101</v>
      </c>
      <c r="D3845" s="17">
        <v>22991231</v>
      </c>
      <c r="E3845" s="25">
        <v>857.51</v>
      </c>
    </row>
    <row r="3846" spans="1:5" ht="26" x14ac:dyDescent="0.3">
      <c r="A3846" s="17" t="str">
        <f>"64792"</f>
        <v>64792</v>
      </c>
      <c r="B3846" s="5" t="s">
        <v>4001</v>
      </c>
      <c r="C3846" s="17">
        <v>19900101</v>
      </c>
      <c r="D3846" s="17">
        <v>22991231</v>
      </c>
      <c r="E3846" s="25">
        <v>2877.66</v>
      </c>
    </row>
    <row r="3847" spans="1:5" x14ac:dyDescent="0.3">
      <c r="A3847" s="17" t="str">
        <f>"64795"</f>
        <v>64795</v>
      </c>
      <c r="B3847" s="5" t="s">
        <v>4002</v>
      </c>
      <c r="C3847" s="17">
        <v>19900101</v>
      </c>
      <c r="D3847" s="17">
        <v>22991231</v>
      </c>
      <c r="E3847" s="25">
        <v>857.51</v>
      </c>
    </row>
    <row r="3848" spans="1:5" x14ac:dyDescent="0.3">
      <c r="A3848" s="17" t="str">
        <f>"64802"</f>
        <v>64802</v>
      </c>
      <c r="B3848" s="5" t="s">
        <v>4003</v>
      </c>
      <c r="C3848" s="17">
        <v>19900101</v>
      </c>
      <c r="D3848" s="17">
        <v>22991231</v>
      </c>
      <c r="E3848" s="25">
        <v>1079.94</v>
      </c>
    </row>
    <row r="3849" spans="1:5" ht="26" x14ac:dyDescent="0.3">
      <c r="A3849" s="17" t="str">
        <f>"64804"</f>
        <v>64804</v>
      </c>
      <c r="B3849" s="5" t="s">
        <v>4004</v>
      </c>
      <c r="C3849" s="17">
        <v>19900101</v>
      </c>
      <c r="D3849" s="17">
        <v>22991231</v>
      </c>
      <c r="E3849" s="24" t="s">
        <v>7128</v>
      </c>
    </row>
    <row r="3850" spans="1:5" x14ac:dyDescent="0.3">
      <c r="A3850" s="17" t="str">
        <f>"64820"</f>
        <v>64820</v>
      </c>
      <c r="B3850" s="5" t="s">
        <v>4005</v>
      </c>
      <c r="C3850" s="17">
        <v>20230101</v>
      </c>
      <c r="D3850" s="17">
        <v>22991231</v>
      </c>
      <c r="E3850" s="25">
        <v>857.51</v>
      </c>
    </row>
    <row r="3851" spans="1:5" ht="26" x14ac:dyDescent="0.3">
      <c r="A3851" s="17" t="str">
        <f>"64821"</f>
        <v>64821</v>
      </c>
      <c r="B3851" s="5" t="s">
        <v>4006</v>
      </c>
      <c r="C3851" s="17">
        <v>20030401</v>
      </c>
      <c r="D3851" s="17">
        <v>22991231</v>
      </c>
      <c r="E3851" s="25">
        <v>1450.8</v>
      </c>
    </row>
    <row r="3852" spans="1:5" ht="26" x14ac:dyDescent="0.3">
      <c r="A3852" s="17" t="str">
        <f>"64822"</f>
        <v>64822</v>
      </c>
      <c r="B3852" s="5" t="s">
        <v>4007</v>
      </c>
      <c r="C3852" s="17">
        <v>20230101</v>
      </c>
      <c r="D3852" s="17">
        <v>22991231</v>
      </c>
      <c r="E3852" s="25">
        <v>1450.8</v>
      </c>
    </row>
    <row r="3853" spans="1:5" x14ac:dyDescent="0.3">
      <c r="A3853" s="17" t="str">
        <f>"64823"</f>
        <v>64823</v>
      </c>
      <c r="B3853" s="5" t="s">
        <v>4008</v>
      </c>
      <c r="C3853" s="17">
        <v>20230101</v>
      </c>
      <c r="D3853" s="17">
        <v>22991231</v>
      </c>
      <c r="E3853" s="25">
        <v>1450.8</v>
      </c>
    </row>
    <row r="3854" spans="1:5" ht="26" x14ac:dyDescent="0.3">
      <c r="A3854" s="17" t="str">
        <f>"64831"</f>
        <v>64831</v>
      </c>
      <c r="B3854" s="5" t="s">
        <v>4009</v>
      </c>
      <c r="C3854" s="17">
        <v>19900101</v>
      </c>
      <c r="D3854" s="17">
        <v>22991231</v>
      </c>
      <c r="E3854" s="25">
        <v>857.51</v>
      </c>
    </row>
    <row r="3855" spans="1:5" ht="26" x14ac:dyDescent="0.3">
      <c r="A3855" s="17" t="str">
        <f>"64832"</f>
        <v>64832</v>
      </c>
      <c r="B3855" s="5" t="s">
        <v>4010</v>
      </c>
      <c r="C3855" s="17">
        <v>19900101</v>
      </c>
      <c r="D3855" s="17">
        <v>22991231</v>
      </c>
      <c r="E3855" s="25">
        <v>0</v>
      </c>
    </row>
    <row r="3856" spans="1:5" x14ac:dyDescent="0.3">
      <c r="A3856" s="17" t="str">
        <f>"64834"</f>
        <v>64834</v>
      </c>
      <c r="B3856" s="5" t="s">
        <v>4011</v>
      </c>
      <c r="C3856" s="17">
        <v>19900101</v>
      </c>
      <c r="D3856" s="17">
        <v>22991231</v>
      </c>
      <c r="E3856" s="25">
        <v>2877.66</v>
      </c>
    </row>
    <row r="3857" spans="1:5" x14ac:dyDescent="0.3">
      <c r="A3857" s="17" t="str">
        <f>"64835"</f>
        <v>64835</v>
      </c>
      <c r="B3857" s="5" t="s">
        <v>4012</v>
      </c>
      <c r="C3857" s="17">
        <v>19900101</v>
      </c>
      <c r="D3857" s="17">
        <v>22991231</v>
      </c>
      <c r="E3857" s="25">
        <v>2877.66</v>
      </c>
    </row>
    <row r="3858" spans="1:5" x14ac:dyDescent="0.3">
      <c r="A3858" s="17" t="str">
        <f>"64836"</f>
        <v>64836</v>
      </c>
      <c r="B3858" s="5" t="s">
        <v>4013</v>
      </c>
      <c r="C3858" s="17">
        <v>19900101</v>
      </c>
      <c r="D3858" s="17">
        <v>22991231</v>
      </c>
      <c r="E3858" s="25">
        <v>2877.66</v>
      </c>
    </row>
    <row r="3859" spans="1:5" ht="26" x14ac:dyDescent="0.3">
      <c r="A3859" s="17" t="str">
        <f>"64837"</f>
        <v>64837</v>
      </c>
      <c r="B3859" s="5" t="s">
        <v>4014</v>
      </c>
      <c r="C3859" s="17">
        <v>19900101</v>
      </c>
      <c r="D3859" s="17">
        <v>22991231</v>
      </c>
      <c r="E3859" s="25">
        <v>0</v>
      </c>
    </row>
    <row r="3860" spans="1:5" x14ac:dyDescent="0.3">
      <c r="A3860" s="17" t="str">
        <f>"64840"</f>
        <v>64840</v>
      </c>
      <c r="B3860" s="5" t="s">
        <v>4015</v>
      </c>
      <c r="C3860" s="17">
        <v>19900101</v>
      </c>
      <c r="D3860" s="17">
        <v>22991231</v>
      </c>
      <c r="E3860" s="25">
        <v>2877.66</v>
      </c>
    </row>
    <row r="3861" spans="1:5" ht="26" x14ac:dyDescent="0.3">
      <c r="A3861" s="17" t="str">
        <f>"64856"</f>
        <v>64856</v>
      </c>
      <c r="B3861" s="5" t="s">
        <v>4016</v>
      </c>
      <c r="C3861" s="17">
        <v>19900101</v>
      </c>
      <c r="D3861" s="17">
        <v>22991231</v>
      </c>
      <c r="E3861" s="25">
        <v>2877.66</v>
      </c>
    </row>
    <row r="3862" spans="1:5" x14ac:dyDescent="0.3">
      <c r="A3862" s="17" t="str">
        <f>"64857"</f>
        <v>64857</v>
      </c>
      <c r="B3862" s="5" t="s">
        <v>4017</v>
      </c>
      <c r="C3862" s="17">
        <v>19900101</v>
      </c>
      <c r="D3862" s="17">
        <v>22991231</v>
      </c>
      <c r="E3862" s="25">
        <v>2877.66</v>
      </c>
    </row>
    <row r="3863" spans="1:5" x14ac:dyDescent="0.3">
      <c r="A3863" s="17" t="str">
        <f>"64858"</f>
        <v>64858</v>
      </c>
      <c r="B3863" s="5" t="s">
        <v>4018</v>
      </c>
      <c r="C3863" s="17">
        <v>19900101</v>
      </c>
      <c r="D3863" s="17">
        <v>22991231</v>
      </c>
      <c r="E3863" s="25">
        <v>1429.52</v>
      </c>
    </row>
    <row r="3864" spans="1:5" x14ac:dyDescent="0.3">
      <c r="A3864" s="17" t="str">
        <f>"64859"</f>
        <v>64859</v>
      </c>
      <c r="B3864" s="5" t="s">
        <v>4019</v>
      </c>
      <c r="C3864" s="17">
        <v>19900101</v>
      </c>
      <c r="D3864" s="17">
        <v>22991231</v>
      </c>
      <c r="E3864" s="25">
        <v>0</v>
      </c>
    </row>
    <row r="3865" spans="1:5" x14ac:dyDescent="0.3">
      <c r="A3865" s="17" t="str">
        <f>"64861"</f>
        <v>64861</v>
      </c>
      <c r="B3865" s="5" t="s">
        <v>4020</v>
      </c>
      <c r="C3865" s="17">
        <v>19900101</v>
      </c>
      <c r="D3865" s="17">
        <v>22991231</v>
      </c>
      <c r="E3865" s="25">
        <v>857.51</v>
      </c>
    </row>
    <row r="3866" spans="1:5" x14ac:dyDescent="0.3">
      <c r="A3866" s="17" t="str">
        <f>"64862"</f>
        <v>64862</v>
      </c>
      <c r="B3866" s="5" t="s">
        <v>4021</v>
      </c>
      <c r="C3866" s="17">
        <v>19900101</v>
      </c>
      <c r="D3866" s="17">
        <v>22991231</v>
      </c>
      <c r="E3866" s="25">
        <v>2877.66</v>
      </c>
    </row>
    <row r="3867" spans="1:5" x14ac:dyDescent="0.3">
      <c r="A3867" s="17" t="str">
        <f>"64864"</f>
        <v>64864</v>
      </c>
      <c r="B3867" s="5" t="s">
        <v>4022</v>
      </c>
      <c r="C3867" s="17">
        <v>19900101</v>
      </c>
      <c r="D3867" s="17">
        <v>22991231</v>
      </c>
      <c r="E3867" s="25">
        <v>2877.66</v>
      </c>
    </row>
    <row r="3868" spans="1:5" x14ac:dyDescent="0.3">
      <c r="A3868" s="17" t="str">
        <f>"64865"</f>
        <v>64865</v>
      </c>
      <c r="B3868" s="5" t="s">
        <v>4023</v>
      </c>
      <c r="C3868" s="17">
        <v>19900101</v>
      </c>
      <c r="D3868" s="17">
        <v>22991231</v>
      </c>
      <c r="E3868" s="25">
        <v>3624.11</v>
      </c>
    </row>
    <row r="3869" spans="1:5" x14ac:dyDescent="0.3">
      <c r="A3869" s="17" t="str">
        <f>"64872"</f>
        <v>64872</v>
      </c>
      <c r="B3869" s="5" t="s">
        <v>4024</v>
      </c>
      <c r="C3869" s="17">
        <v>19900101</v>
      </c>
      <c r="D3869" s="17">
        <v>22991231</v>
      </c>
      <c r="E3869" s="25">
        <v>0</v>
      </c>
    </row>
    <row r="3870" spans="1:5" x14ac:dyDescent="0.3">
      <c r="A3870" s="17" t="str">
        <f>"64874"</f>
        <v>64874</v>
      </c>
      <c r="B3870" s="5" t="s">
        <v>4025</v>
      </c>
      <c r="C3870" s="17">
        <v>19900101</v>
      </c>
      <c r="D3870" s="17">
        <v>22991231</v>
      </c>
      <c r="E3870" s="25">
        <v>0</v>
      </c>
    </row>
    <row r="3871" spans="1:5" ht="26" x14ac:dyDescent="0.3">
      <c r="A3871" s="17" t="str">
        <f>"64876"</f>
        <v>64876</v>
      </c>
      <c r="B3871" s="5" t="s">
        <v>4026</v>
      </c>
      <c r="C3871" s="17">
        <v>19900101</v>
      </c>
      <c r="D3871" s="17">
        <v>22991231</v>
      </c>
      <c r="E3871" s="25">
        <v>0</v>
      </c>
    </row>
    <row r="3872" spans="1:5" x14ac:dyDescent="0.3">
      <c r="A3872" s="17" t="str">
        <f>"64885"</f>
        <v>64885</v>
      </c>
      <c r="B3872" s="5" t="s">
        <v>4027</v>
      </c>
      <c r="C3872" s="17">
        <v>19920115</v>
      </c>
      <c r="D3872" s="17">
        <v>22991231</v>
      </c>
      <c r="E3872" s="25">
        <v>4293.9799999999996</v>
      </c>
    </row>
    <row r="3873" spans="1:5" x14ac:dyDescent="0.3">
      <c r="A3873" s="17" t="str">
        <f>"64886"</f>
        <v>64886</v>
      </c>
      <c r="B3873" s="5" t="s">
        <v>4028</v>
      </c>
      <c r="C3873" s="17">
        <v>19920115</v>
      </c>
      <c r="D3873" s="17">
        <v>22991231</v>
      </c>
      <c r="E3873" s="25">
        <v>2877.66</v>
      </c>
    </row>
    <row r="3874" spans="1:5" x14ac:dyDescent="0.3">
      <c r="A3874" s="17" t="str">
        <f>"64890"</f>
        <v>64890</v>
      </c>
      <c r="B3874" s="5" t="s">
        <v>4029</v>
      </c>
      <c r="C3874" s="17">
        <v>19900101</v>
      </c>
      <c r="D3874" s="17">
        <v>22991231</v>
      </c>
      <c r="E3874" s="25">
        <v>4377.0600000000004</v>
      </c>
    </row>
    <row r="3875" spans="1:5" x14ac:dyDescent="0.3">
      <c r="A3875" s="17" t="str">
        <f>"64891"</f>
        <v>64891</v>
      </c>
      <c r="B3875" s="5" t="s">
        <v>4030</v>
      </c>
      <c r="C3875" s="17">
        <v>19900101</v>
      </c>
      <c r="D3875" s="17">
        <v>22991231</v>
      </c>
      <c r="E3875" s="25">
        <v>3624.11</v>
      </c>
    </row>
    <row r="3876" spans="1:5" x14ac:dyDescent="0.3">
      <c r="A3876" s="17" t="str">
        <f>"64892"</f>
        <v>64892</v>
      </c>
      <c r="B3876" s="5" t="s">
        <v>4031</v>
      </c>
      <c r="C3876" s="17">
        <v>19900101</v>
      </c>
      <c r="D3876" s="17">
        <v>22991231</v>
      </c>
      <c r="E3876" s="25">
        <v>4408.6000000000004</v>
      </c>
    </row>
    <row r="3877" spans="1:5" x14ac:dyDescent="0.3">
      <c r="A3877" s="17" t="str">
        <f>"64893"</f>
        <v>64893</v>
      </c>
      <c r="B3877" s="5" t="s">
        <v>4032</v>
      </c>
      <c r="C3877" s="17">
        <v>19900101</v>
      </c>
      <c r="D3877" s="17">
        <v>22991231</v>
      </c>
      <c r="E3877" s="25">
        <v>4467.1099999999997</v>
      </c>
    </row>
    <row r="3878" spans="1:5" ht="26" x14ac:dyDescent="0.3">
      <c r="A3878" s="17" t="str">
        <f>"64895"</f>
        <v>64895</v>
      </c>
      <c r="B3878" s="5" t="s">
        <v>4033</v>
      </c>
      <c r="C3878" s="17">
        <v>19900101</v>
      </c>
      <c r="D3878" s="17">
        <v>22991231</v>
      </c>
      <c r="E3878" s="25">
        <v>2877.66</v>
      </c>
    </row>
    <row r="3879" spans="1:5" ht="26" x14ac:dyDescent="0.3">
      <c r="A3879" s="17" t="str">
        <f>"64896"</f>
        <v>64896</v>
      </c>
      <c r="B3879" s="5" t="s">
        <v>4034</v>
      </c>
      <c r="C3879" s="17">
        <v>19900101</v>
      </c>
      <c r="D3879" s="17">
        <v>22991231</v>
      </c>
      <c r="E3879" s="25">
        <v>2877.66</v>
      </c>
    </row>
    <row r="3880" spans="1:5" ht="26" x14ac:dyDescent="0.3">
      <c r="A3880" s="17" t="str">
        <f>"64897"</f>
        <v>64897</v>
      </c>
      <c r="B3880" s="5" t="s">
        <v>4035</v>
      </c>
      <c r="C3880" s="17">
        <v>19900101</v>
      </c>
      <c r="D3880" s="17">
        <v>22991231</v>
      </c>
      <c r="E3880" s="25">
        <v>3899.81</v>
      </c>
    </row>
    <row r="3881" spans="1:5" ht="26" x14ac:dyDescent="0.3">
      <c r="A3881" s="17" t="str">
        <f>"64898"</f>
        <v>64898</v>
      </c>
      <c r="B3881" s="5" t="s">
        <v>4036</v>
      </c>
      <c r="C3881" s="17">
        <v>19900101</v>
      </c>
      <c r="D3881" s="17">
        <v>22991231</v>
      </c>
      <c r="E3881" s="25">
        <v>2877.66</v>
      </c>
    </row>
    <row r="3882" spans="1:5" ht="26" x14ac:dyDescent="0.3">
      <c r="A3882" s="17" t="str">
        <f>"64901"</f>
        <v>64901</v>
      </c>
      <c r="B3882" s="5" t="s">
        <v>4037</v>
      </c>
      <c r="C3882" s="17">
        <v>19900101</v>
      </c>
      <c r="D3882" s="17">
        <v>22991231</v>
      </c>
      <c r="E3882" s="25">
        <v>0</v>
      </c>
    </row>
    <row r="3883" spans="1:5" x14ac:dyDescent="0.3">
      <c r="A3883" s="17" t="str">
        <f>"64902"</f>
        <v>64902</v>
      </c>
      <c r="B3883" s="5" t="s">
        <v>4038</v>
      </c>
      <c r="C3883" s="17">
        <v>19900101</v>
      </c>
      <c r="D3883" s="17">
        <v>22991231</v>
      </c>
      <c r="E3883" s="25">
        <v>0</v>
      </c>
    </row>
    <row r="3884" spans="1:5" x14ac:dyDescent="0.3">
      <c r="A3884" s="17" t="str">
        <f>"64905"</f>
        <v>64905</v>
      </c>
      <c r="B3884" s="5" t="s">
        <v>4039</v>
      </c>
      <c r="C3884" s="17">
        <v>19900101</v>
      </c>
      <c r="D3884" s="17">
        <v>22991231</v>
      </c>
      <c r="E3884" s="25">
        <v>2877.66</v>
      </c>
    </row>
    <row r="3885" spans="1:5" x14ac:dyDescent="0.3">
      <c r="A3885" s="17" t="str">
        <f>"64907"</f>
        <v>64907</v>
      </c>
      <c r="B3885" s="5" t="s">
        <v>4040</v>
      </c>
      <c r="C3885" s="17">
        <v>19900101</v>
      </c>
      <c r="D3885" s="17">
        <v>22991231</v>
      </c>
      <c r="E3885" s="25">
        <v>2877.66</v>
      </c>
    </row>
    <row r="3886" spans="1:5" x14ac:dyDescent="0.3">
      <c r="A3886" s="17" t="str">
        <f>"64910"</f>
        <v>64910</v>
      </c>
      <c r="B3886" s="5" t="s">
        <v>4041</v>
      </c>
      <c r="C3886" s="17">
        <v>20230101</v>
      </c>
      <c r="D3886" s="17">
        <v>22991231</v>
      </c>
      <c r="E3886" s="25">
        <v>4095.57</v>
      </c>
    </row>
    <row r="3887" spans="1:5" x14ac:dyDescent="0.3">
      <c r="A3887" s="17" t="str">
        <f>"64912"</f>
        <v>64912</v>
      </c>
      <c r="B3887" s="5" t="s">
        <v>4042</v>
      </c>
      <c r="C3887" s="17">
        <v>20180101</v>
      </c>
      <c r="D3887" s="17">
        <v>22991231</v>
      </c>
      <c r="E3887" s="25">
        <v>4373.93</v>
      </c>
    </row>
    <row r="3888" spans="1:5" ht="26" x14ac:dyDescent="0.3">
      <c r="A3888" s="17" t="str">
        <f>"64913"</f>
        <v>64913</v>
      </c>
      <c r="B3888" s="5" t="s">
        <v>4043</v>
      </c>
      <c r="C3888" s="17">
        <v>20180101</v>
      </c>
      <c r="D3888" s="17">
        <v>22991231</v>
      </c>
      <c r="E3888" s="25">
        <v>0</v>
      </c>
    </row>
    <row r="3889" spans="1:5" x14ac:dyDescent="0.3">
      <c r="A3889" s="17" t="str">
        <f>"64999"</f>
        <v>64999</v>
      </c>
      <c r="B3889" s="5" t="s">
        <v>4044</v>
      </c>
      <c r="C3889" s="17">
        <v>19900101</v>
      </c>
      <c r="D3889" s="17">
        <v>22991231</v>
      </c>
      <c r="E3889" s="24" t="s">
        <v>7128</v>
      </c>
    </row>
    <row r="3890" spans="1:5" x14ac:dyDescent="0.3">
      <c r="A3890" s="17" t="str">
        <f>"65091"</f>
        <v>65091</v>
      </c>
      <c r="B3890" s="5" t="s">
        <v>4045</v>
      </c>
      <c r="C3890" s="17">
        <v>19900101</v>
      </c>
      <c r="D3890" s="17">
        <v>22991231</v>
      </c>
      <c r="E3890" s="25">
        <v>1420.59</v>
      </c>
    </row>
    <row r="3891" spans="1:5" ht="26" x14ac:dyDescent="0.3">
      <c r="A3891" s="17" t="str">
        <f>"65093"</f>
        <v>65093</v>
      </c>
      <c r="B3891" s="5" t="s">
        <v>4046</v>
      </c>
      <c r="C3891" s="17">
        <v>19900101</v>
      </c>
      <c r="D3891" s="17">
        <v>22991231</v>
      </c>
      <c r="E3891" s="25">
        <v>1420.59</v>
      </c>
    </row>
    <row r="3892" spans="1:5" x14ac:dyDescent="0.3">
      <c r="A3892" s="17" t="str">
        <f>"65101"</f>
        <v>65101</v>
      </c>
      <c r="B3892" s="5" t="s">
        <v>4047</v>
      </c>
      <c r="C3892" s="17">
        <v>19900101</v>
      </c>
      <c r="D3892" s="17">
        <v>22991231</v>
      </c>
      <c r="E3892" s="25">
        <v>1420.59</v>
      </c>
    </row>
    <row r="3893" spans="1:5" x14ac:dyDescent="0.3">
      <c r="A3893" s="17" t="str">
        <f>"65103"</f>
        <v>65103</v>
      </c>
      <c r="B3893" s="5" t="s">
        <v>4048</v>
      </c>
      <c r="C3893" s="17">
        <v>19900101</v>
      </c>
      <c r="D3893" s="17">
        <v>22991231</v>
      </c>
      <c r="E3893" s="25">
        <v>1420.59</v>
      </c>
    </row>
    <row r="3894" spans="1:5" ht="26" x14ac:dyDescent="0.3">
      <c r="A3894" s="17" t="str">
        <f>"65105"</f>
        <v>65105</v>
      </c>
      <c r="B3894" s="5" t="s">
        <v>4049</v>
      </c>
      <c r="C3894" s="17">
        <v>19900101</v>
      </c>
      <c r="D3894" s="17">
        <v>22991231</v>
      </c>
      <c r="E3894" s="25">
        <v>1420.59</v>
      </c>
    </row>
    <row r="3895" spans="1:5" x14ac:dyDescent="0.3">
      <c r="A3895" s="17" t="str">
        <f>"65110"</f>
        <v>65110</v>
      </c>
      <c r="B3895" s="5" t="s">
        <v>4050</v>
      </c>
      <c r="C3895" s="17">
        <v>19900101</v>
      </c>
      <c r="D3895" s="17">
        <v>22991231</v>
      </c>
      <c r="E3895" s="25">
        <v>1420.59</v>
      </c>
    </row>
    <row r="3896" spans="1:5" ht="26" x14ac:dyDescent="0.3">
      <c r="A3896" s="17" t="str">
        <f>"65112"</f>
        <v>65112</v>
      </c>
      <c r="B3896" s="5" t="s">
        <v>4051</v>
      </c>
      <c r="C3896" s="17">
        <v>19900101</v>
      </c>
      <c r="D3896" s="17">
        <v>22991231</v>
      </c>
      <c r="E3896" s="25">
        <v>1420.59</v>
      </c>
    </row>
    <row r="3897" spans="1:5" ht="26" x14ac:dyDescent="0.3">
      <c r="A3897" s="17" t="str">
        <f>"65114"</f>
        <v>65114</v>
      </c>
      <c r="B3897" s="5" t="s">
        <v>4052</v>
      </c>
      <c r="C3897" s="17">
        <v>19900101</v>
      </c>
      <c r="D3897" s="17">
        <v>22991231</v>
      </c>
      <c r="E3897" s="25">
        <v>1420.59</v>
      </c>
    </row>
    <row r="3898" spans="1:5" x14ac:dyDescent="0.3">
      <c r="A3898" s="17" t="str">
        <f>"65125"</f>
        <v>65125</v>
      </c>
      <c r="B3898" s="5" t="s">
        <v>4053</v>
      </c>
      <c r="C3898" s="17">
        <v>19920115</v>
      </c>
      <c r="D3898" s="17">
        <v>22991231</v>
      </c>
      <c r="E3898" s="25">
        <v>934.62</v>
      </c>
    </row>
    <row r="3899" spans="1:5" ht="26" x14ac:dyDescent="0.3">
      <c r="A3899" s="17" t="str">
        <f>"65130"</f>
        <v>65130</v>
      </c>
      <c r="B3899" s="5" t="s">
        <v>4054</v>
      </c>
      <c r="C3899" s="17">
        <v>19900101</v>
      </c>
      <c r="D3899" s="17">
        <v>22991231</v>
      </c>
      <c r="E3899" s="25">
        <v>1420.59</v>
      </c>
    </row>
    <row r="3900" spans="1:5" x14ac:dyDescent="0.3">
      <c r="A3900" s="17" t="str">
        <f>"65135"</f>
        <v>65135</v>
      </c>
      <c r="B3900" s="5" t="s">
        <v>4055</v>
      </c>
      <c r="C3900" s="17">
        <v>19900101</v>
      </c>
      <c r="D3900" s="17">
        <v>22991231</v>
      </c>
      <c r="E3900" s="25">
        <v>1834.14</v>
      </c>
    </row>
    <row r="3901" spans="1:5" ht="26" x14ac:dyDescent="0.3">
      <c r="A3901" s="17" t="str">
        <f>"65140"</f>
        <v>65140</v>
      </c>
      <c r="B3901" s="5" t="s">
        <v>4056</v>
      </c>
      <c r="C3901" s="17">
        <v>19900101</v>
      </c>
      <c r="D3901" s="17">
        <v>22991231</v>
      </c>
      <c r="E3901" s="25">
        <v>1420.59</v>
      </c>
    </row>
    <row r="3902" spans="1:5" x14ac:dyDescent="0.3">
      <c r="A3902" s="17" t="str">
        <f>"65150"</f>
        <v>65150</v>
      </c>
      <c r="B3902" s="5" t="s">
        <v>4057</v>
      </c>
      <c r="C3902" s="17">
        <v>19900101</v>
      </c>
      <c r="D3902" s="17">
        <v>22991231</v>
      </c>
      <c r="E3902" s="25">
        <v>1420.59</v>
      </c>
    </row>
    <row r="3903" spans="1:5" ht="26" x14ac:dyDescent="0.3">
      <c r="A3903" s="17" t="str">
        <f>"65155"</f>
        <v>65155</v>
      </c>
      <c r="B3903" s="5" t="s">
        <v>4058</v>
      </c>
      <c r="C3903" s="17">
        <v>19900101</v>
      </c>
      <c r="D3903" s="17">
        <v>22991231</v>
      </c>
      <c r="E3903" s="25">
        <v>1420.59</v>
      </c>
    </row>
    <row r="3904" spans="1:5" x14ac:dyDescent="0.3">
      <c r="A3904" s="17" t="str">
        <f>"65175"</f>
        <v>65175</v>
      </c>
      <c r="B3904" s="5" t="s">
        <v>4059</v>
      </c>
      <c r="C3904" s="17">
        <v>19900101</v>
      </c>
      <c r="D3904" s="17">
        <v>22991231</v>
      </c>
      <c r="E3904" s="25">
        <v>1420.59</v>
      </c>
    </row>
    <row r="3905" spans="1:5" ht="26" x14ac:dyDescent="0.3">
      <c r="A3905" s="17" t="str">
        <f>"65205"</f>
        <v>65205</v>
      </c>
      <c r="B3905" s="5" t="s">
        <v>4060</v>
      </c>
      <c r="C3905" s="17">
        <v>19900101</v>
      </c>
      <c r="D3905" s="17">
        <v>22991231</v>
      </c>
      <c r="E3905" s="25">
        <v>0</v>
      </c>
    </row>
    <row r="3906" spans="1:5" ht="26" x14ac:dyDescent="0.3">
      <c r="A3906" s="17" t="str">
        <f>"65210"</f>
        <v>65210</v>
      </c>
      <c r="B3906" s="5" t="s">
        <v>4061</v>
      </c>
      <c r="C3906" s="17">
        <v>19900101</v>
      </c>
      <c r="D3906" s="17">
        <v>22991231</v>
      </c>
      <c r="E3906" s="25">
        <v>0</v>
      </c>
    </row>
    <row r="3907" spans="1:5" x14ac:dyDescent="0.3">
      <c r="A3907" s="17" t="str">
        <f>"65220"</f>
        <v>65220</v>
      </c>
      <c r="B3907" s="5" t="s">
        <v>4062</v>
      </c>
      <c r="C3907" s="17">
        <v>19900101</v>
      </c>
      <c r="D3907" s="17">
        <v>22991231</v>
      </c>
      <c r="E3907" s="25">
        <v>0</v>
      </c>
    </row>
    <row r="3908" spans="1:5" ht="26" x14ac:dyDescent="0.3">
      <c r="A3908" s="17" t="str">
        <f>"65222"</f>
        <v>65222</v>
      </c>
      <c r="B3908" s="5" t="s">
        <v>4063</v>
      </c>
      <c r="C3908" s="17">
        <v>19900101</v>
      </c>
      <c r="D3908" s="17">
        <v>22991231</v>
      </c>
      <c r="E3908" s="25">
        <v>0</v>
      </c>
    </row>
    <row r="3909" spans="1:5" x14ac:dyDescent="0.3">
      <c r="A3909" s="17" t="str">
        <f>"65235"</f>
        <v>65235</v>
      </c>
      <c r="B3909" s="5" t="s">
        <v>4064</v>
      </c>
      <c r="C3909" s="17">
        <v>19900101</v>
      </c>
      <c r="D3909" s="17">
        <v>22991231</v>
      </c>
      <c r="E3909" s="25">
        <v>1130.6099999999999</v>
      </c>
    </row>
    <row r="3910" spans="1:5" x14ac:dyDescent="0.3">
      <c r="A3910" s="17" t="str">
        <f>"65260"</f>
        <v>65260</v>
      </c>
      <c r="B3910" s="5" t="s">
        <v>4065</v>
      </c>
      <c r="C3910" s="17">
        <v>19900101</v>
      </c>
      <c r="D3910" s="17">
        <v>22991231</v>
      </c>
      <c r="E3910" s="25">
        <v>1130.6099999999999</v>
      </c>
    </row>
    <row r="3911" spans="1:5" x14ac:dyDescent="0.3">
      <c r="A3911" s="17" t="str">
        <f>"65265"</f>
        <v>65265</v>
      </c>
      <c r="B3911" s="5" t="s">
        <v>4066</v>
      </c>
      <c r="C3911" s="17">
        <v>19900101</v>
      </c>
      <c r="D3911" s="17">
        <v>22991231</v>
      </c>
      <c r="E3911" s="25">
        <v>1130.6099999999999</v>
      </c>
    </row>
    <row r="3912" spans="1:5" x14ac:dyDescent="0.3">
      <c r="A3912" s="17" t="str">
        <f>"65270"</f>
        <v>65270</v>
      </c>
      <c r="B3912" s="5" t="s">
        <v>4067</v>
      </c>
      <c r="C3912" s="17">
        <v>19900101</v>
      </c>
      <c r="D3912" s="17">
        <v>22991231</v>
      </c>
      <c r="E3912" s="25">
        <v>934.62</v>
      </c>
    </row>
    <row r="3913" spans="1:5" ht="26" x14ac:dyDescent="0.3">
      <c r="A3913" s="17" t="str">
        <f>"65272"</f>
        <v>65272</v>
      </c>
      <c r="B3913" s="5" t="s">
        <v>4068</v>
      </c>
      <c r="C3913" s="17">
        <v>19900101</v>
      </c>
      <c r="D3913" s="17">
        <v>22991231</v>
      </c>
      <c r="E3913" s="25">
        <v>934.62</v>
      </c>
    </row>
    <row r="3914" spans="1:5" x14ac:dyDescent="0.3">
      <c r="A3914" s="17" t="str">
        <f>"65275"</f>
        <v>65275</v>
      </c>
      <c r="B3914" s="5" t="s">
        <v>4069</v>
      </c>
      <c r="C3914" s="17">
        <v>19900101</v>
      </c>
      <c r="D3914" s="17">
        <v>22991231</v>
      </c>
      <c r="E3914" s="25">
        <v>1420.59</v>
      </c>
    </row>
    <row r="3915" spans="1:5" ht="26" x14ac:dyDescent="0.3">
      <c r="A3915" s="17" t="str">
        <f>"65280"</f>
        <v>65280</v>
      </c>
      <c r="B3915" s="5" t="s">
        <v>4070</v>
      </c>
      <c r="C3915" s="17">
        <v>19900101</v>
      </c>
      <c r="D3915" s="17">
        <v>22991231</v>
      </c>
      <c r="E3915" s="25">
        <v>2469.58</v>
      </c>
    </row>
    <row r="3916" spans="1:5" ht="26" x14ac:dyDescent="0.3">
      <c r="A3916" s="17" t="str">
        <f>"65285"</f>
        <v>65285</v>
      </c>
      <c r="B3916" s="5" t="s">
        <v>4071</v>
      </c>
      <c r="C3916" s="17">
        <v>19900101</v>
      </c>
      <c r="D3916" s="17">
        <v>22991231</v>
      </c>
      <c r="E3916" s="25">
        <v>2469.58</v>
      </c>
    </row>
    <row r="3917" spans="1:5" ht="26" x14ac:dyDescent="0.3">
      <c r="A3917" s="17" t="str">
        <f>"65286"</f>
        <v>65286</v>
      </c>
      <c r="B3917" s="5" t="s">
        <v>4072</v>
      </c>
      <c r="C3917" s="17">
        <v>19900101</v>
      </c>
      <c r="D3917" s="17">
        <v>22991231</v>
      </c>
      <c r="E3917" s="25">
        <v>427.53</v>
      </c>
    </row>
    <row r="3918" spans="1:5" x14ac:dyDescent="0.3">
      <c r="A3918" s="17" t="str">
        <f>"65290"</f>
        <v>65290</v>
      </c>
      <c r="B3918" s="5" t="s">
        <v>4073</v>
      </c>
      <c r="C3918" s="17">
        <v>19900101</v>
      </c>
      <c r="D3918" s="17">
        <v>22991231</v>
      </c>
      <c r="E3918" s="25">
        <v>1420.59</v>
      </c>
    </row>
    <row r="3919" spans="1:5" x14ac:dyDescent="0.3">
      <c r="A3919" s="17" t="str">
        <f>"65400"</f>
        <v>65400</v>
      </c>
      <c r="B3919" s="5" t="s">
        <v>4074</v>
      </c>
      <c r="C3919" s="17">
        <v>19900101</v>
      </c>
      <c r="D3919" s="17">
        <v>22991231</v>
      </c>
      <c r="E3919" s="25">
        <v>501.63</v>
      </c>
    </row>
    <row r="3920" spans="1:5" x14ac:dyDescent="0.3">
      <c r="A3920" s="17" t="str">
        <f>"65410"</f>
        <v>65410</v>
      </c>
      <c r="B3920" s="5" t="s">
        <v>4075</v>
      </c>
      <c r="C3920" s="17">
        <v>19900101</v>
      </c>
      <c r="D3920" s="17">
        <v>22991231</v>
      </c>
      <c r="E3920" s="25">
        <v>934.62</v>
      </c>
    </row>
    <row r="3921" spans="1:5" x14ac:dyDescent="0.3">
      <c r="A3921" s="17" t="str">
        <f>"65420"</f>
        <v>65420</v>
      </c>
      <c r="B3921" s="5" t="s">
        <v>4076</v>
      </c>
      <c r="C3921" s="17">
        <v>19900101</v>
      </c>
      <c r="D3921" s="17">
        <v>22991231</v>
      </c>
      <c r="E3921" s="25">
        <v>934.62</v>
      </c>
    </row>
    <row r="3922" spans="1:5" ht="26" x14ac:dyDescent="0.3">
      <c r="A3922" s="17" t="str">
        <f>"65426"</f>
        <v>65426</v>
      </c>
      <c r="B3922" s="5" t="s">
        <v>4077</v>
      </c>
      <c r="C3922" s="17">
        <v>19900101</v>
      </c>
      <c r="D3922" s="17">
        <v>22991231</v>
      </c>
      <c r="E3922" s="25">
        <v>934.62</v>
      </c>
    </row>
    <row r="3923" spans="1:5" x14ac:dyDescent="0.3">
      <c r="A3923" s="17" t="str">
        <f>"65430"</f>
        <v>65430</v>
      </c>
      <c r="B3923" s="5" t="s">
        <v>4078</v>
      </c>
      <c r="C3923" s="17">
        <v>19900101</v>
      </c>
      <c r="D3923" s="17">
        <v>22991231</v>
      </c>
      <c r="E3923" s="25">
        <v>0</v>
      </c>
    </row>
    <row r="3924" spans="1:5" x14ac:dyDescent="0.3">
      <c r="A3924" s="17" t="str">
        <f>"65435"</f>
        <v>65435</v>
      </c>
      <c r="B3924" s="5" t="s">
        <v>4079</v>
      </c>
      <c r="C3924" s="17">
        <v>19900101</v>
      </c>
      <c r="D3924" s="17">
        <v>22991231</v>
      </c>
      <c r="E3924" s="25">
        <v>45.97</v>
      </c>
    </row>
    <row r="3925" spans="1:5" ht="26" x14ac:dyDescent="0.3">
      <c r="A3925" s="17" t="str">
        <f>"65436"</f>
        <v>65436</v>
      </c>
      <c r="B3925" s="5" t="s">
        <v>4080</v>
      </c>
      <c r="C3925" s="17">
        <v>19900101</v>
      </c>
      <c r="D3925" s="17">
        <v>22991231</v>
      </c>
      <c r="E3925" s="25">
        <v>199.23</v>
      </c>
    </row>
    <row r="3926" spans="1:5" x14ac:dyDescent="0.3">
      <c r="A3926" s="17" t="str">
        <f>"65450"</f>
        <v>65450</v>
      </c>
      <c r="B3926" s="5" t="s">
        <v>4081</v>
      </c>
      <c r="C3926" s="17">
        <v>19900101</v>
      </c>
      <c r="D3926" s="17">
        <v>22991231</v>
      </c>
      <c r="E3926" s="25">
        <v>144.33000000000001</v>
      </c>
    </row>
    <row r="3927" spans="1:5" x14ac:dyDescent="0.3">
      <c r="A3927" s="17" t="str">
        <f>"65600"</f>
        <v>65600</v>
      </c>
      <c r="B3927" s="5" t="s">
        <v>4082</v>
      </c>
      <c r="C3927" s="17">
        <v>19900101</v>
      </c>
      <c r="D3927" s="17">
        <v>22991231</v>
      </c>
      <c r="E3927" s="25">
        <v>267.72000000000003</v>
      </c>
    </row>
    <row r="3928" spans="1:5" ht="26" x14ac:dyDescent="0.3">
      <c r="A3928" s="17" t="str">
        <f>"65710"</f>
        <v>65710</v>
      </c>
      <c r="B3928" s="5" t="s">
        <v>4083</v>
      </c>
      <c r="C3928" s="17">
        <v>19900101</v>
      </c>
      <c r="D3928" s="17">
        <v>22991231</v>
      </c>
      <c r="E3928" s="25">
        <v>2469.58</v>
      </c>
    </row>
    <row r="3929" spans="1:5" ht="39" x14ac:dyDescent="0.3">
      <c r="A3929" s="17" t="str">
        <f>"65730"</f>
        <v>65730</v>
      </c>
      <c r="B3929" s="5" t="s">
        <v>4084</v>
      </c>
      <c r="C3929" s="17">
        <v>19900101</v>
      </c>
      <c r="D3929" s="17">
        <v>22991231</v>
      </c>
      <c r="E3929" s="25">
        <v>1953.31</v>
      </c>
    </row>
    <row r="3930" spans="1:5" ht="26" x14ac:dyDescent="0.3">
      <c r="A3930" s="17" t="str">
        <f>"65750"</f>
        <v>65750</v>
      </c>
      <c r="B3930" s="5" t="s">
        <v>4085</v>
      </c>
      <c r="C3930" s="17">
        <v>19900101</v>
      </c>
      <c r="D3930" s="17">
        <v>22991231</v>
      </c>
      <c r="E3930" s="25">
        <v>2469.58</v>
      </c>
    </row>
    <row r="3931" spans="1:5" ht="26" x14ac:dyDescent="0.3">
      <c r="A3931" s="17" t="str">
        <f>"65755"</f>
        <v>65755</v>
      </c>
      <c r="B3931" s="5" t="s">
        <v>4086</v>
      </c>
      <c r="C3931" s="17">
        <v>19910401</v>
      </c>
      <c r="D3931" s="17">
        <v>22991231</v>
      </c>
      <c r="E3931" s="25">
        <v>1953.31</v>
      </c>
    </row>
    <row r="3932" spans="1:5" x14ac:dyDescent="0.3">
      <c r="A3932" s="17" t="str">
        <f>"65756"</f>
        <v>65756</v>
      </c>
      <c r="B3932" s="5" t="s">
        <v>4087</v>
      </c>
      <c r="C3932" s="17">
        <v>20090101</v>
      </c>
      <c r="D3932" s="17">
        <v>22991231</v>
      </c>
      <c r="E3932" s="25">
        <v>1953.31</v>
      </c>
    </row>
    <row r="3933" spans="1:5" x14ac:dyDescent="0.3">
      <c r="A3933" s="17" t="str">
        <f>"65757"</f>
        <v>65757</v>
      </c>
      <c r="B3933" s="5" t="s">
        <v>4088</v>
      </c>
      <c r="C3933" s="17">
        <v>20090101</v>
      </c>
      <c r="D3933" s="17">
        <v>22991231</v>
      </c>
      <c r="E3933" s="25">
        <v>0</v>
      </c>
    </row>
    <row r="3934" spans="1:5" x14ac:dyDescent="0.3">
      <c r="A3934" s="17" t="str">
        <f>"65760"</f>
        <v>65760</v>
      </c>
      <c r="B3934" s="5" t="s">
        <v>4089</v>
      </c>
      <c r="C3934" s="17">
        <v>19900101</v>
      </c>
      <c r="D3934" s="17">
        <v>22991231</v>
      </c>
      <c r="E3934" s="24" t="s">
        <v>7128</v>
      </c>
    </row>
    <row r="3935" spans="1:5" x14ac:dyDescent="0.3">
      <c r="A3935" s="17" t="str">
        <f>"65765"</f>
        <v>65765</v>
      </c>
      <c r="B3935" s="5" t="s">
        <v>4090</v>
      </c>
      <c r="C3935" s="17">
        <v>19900101</v>
      </c>
      <c r="D3935" s="17">
        <v>22991231</v>
      </c>
      <c r="E3935" s="24" t="s">
        <v>7128</v>
      </c>
    </row>
    <row r="3936" spans="1:5" x14ac:dyDescent="0.3">
      <c r="A3936" s="17" t="str">
        <f>"65767"</f>
        <v>65767</v>
      </c>
      <c r="B3936" s="5" t="s">
        <v>4091</v>
      </c>
      <c r="C3936" s="17">
        <v>19900101</v>
      </c>
      <c r="D3936" s="17">
        <v>22991231</v>
      </c>
      <c r="E3936" s="24" t="s">
        <v>7128</v>
      </c>
    </row>
    <row r="3937" spans="1:5" x14ac:dyDescent="0.3">
      <c r="A3937" s="17" t="str">
        <f>"65770"</f>
        <v>65770</v>
      </c>
      <c r="B3937" s="5" t="s">
        <v>4092</v>
      </c>
      <c r="C3937" s="17">
        <v>19900101</v>
      </c>
      <c r="D3937" s="17">
        <v>22991231</v>
      </c>
      <c r="E3937" s="25">
        <v>10280.450000000001</v>
      </c>
    </row>
    <row r="3938" spans="1:5" x14ac:dyDescent="0.3">
      <c r="A3938" s="17" t="str">
        <f>"65772"</f>
        <v>65772</v>
      </c>
      <c r="B3938" s="5" t="s">
        <v>4093</v>
      </c>
      <c r="C3938" s="17">
        <v>19900101</v>
      </c>
      <c r="D3938" s="17">
        <v>22991231</v>
      </c>
      <c r="E3938" s="25">
        <v>501.63</v>
      </c>
    </row>
    <row r="3939" spans="1:5" x14ac:dyDescent="0.3">
      <c r="A3939" s="17" t="str">
        <f>"65775"</f>
        <v>65775</v>
      </c>
      <c r="B3939" s="5" t="s">
        <v>4094</v>
      </c>
      <c r="C3939" s="17">
        <v>19900101</v>
      </c>
      <c r="D3939" s="17">
        <v>22991231</v>
      </c>
      <c r="E3939" s="25">
        <v>934.62</v>
      </c>
    </row>
    <row r="3940" spans="1:5" ht="26" x14ac:dyDescent="0.3">
      <c r="A3940" s="17" t="str">
        <f>"65778"</f>
        <v>65778</v>
      </c>
      <c r="B3940" s="5" t="s">
        <v>4095</v>
      </c>
      <c r="C3940" s="17">
        <v>20110101</v>
      </c>
      <c r="D3940" s="17">
        <v>22991231</v>
      </c>
      <c r="E3940" s="25">
        <v>0</v>
      </c>
    </row>
    <row r="3941" spans="1:5" ht="26" x14ac:dyDescent="0.3">
      <c r="A3941" s="17" t="str">
        <f>"65779"</f>
        <v>65779</v>
      </c>
      <c r="B3941" s="5" t="s">
        <v>4096</v>
      </c>
      <c r="C3941" s="17">
        <v>20110101</v>
      </c>
      <c r="D3941" s="17">
        <v>22991231</v>
      </c>
      <c r="E3941" s="25">
        <v>0</v>
      </c>
    </row>
    <row r="3942" spans="1:5" x14ac:dyDescent="0.3">
      <c r="A3942" s="17" t="str">
        <f>"65780"</f>
        <v>65780</v>
      </c>
      <c r="B3942" s="5" t="s">
        <v>4097</v>
      </c>
      <c r="C3942" s="17">
        <v>20051001</v>
      </c>
      <c r="D3942" s="17">
        <v>22991231</v>
      </c>
      <c r="E3942" s="25">
        <v>1420.59</v>
      </c>
    </row>
    <row r="3943" spans="1:5" x14ac:dyDescent="0.3">
      <c r="A3943" s="17" t="str">
        <f>"65781"</f>
        <v>65781</v>
      </c>
      <c r="B3943" s="5" t="s">
        <v>4098</v>
      </c>
      <c r="C3943" s="17">
        <v>20051001</v>
      </c>
      <c r="D3943" s="17">
        <v>22991231</v>
      </c>
      <c r="E3943" s="25">
        <v>3658.21</v>
      </c>
    </row>
    <row r="3944" spans="1:5" ht="26" x14ac:dyDescent="0.3">
      <c r="A3944" s="17" t="str">
        <f>"65782"</f>
        <v>65782</v>
      </c>
      <c r="B3944" s="5" t="s">
        <v>4099</v>
      </c>
      <c r="C3944" s="17">
        <v>20051001</v>
      </c>
      <c r="D3944" s="17">
        <v>22991231</v>
      </c>
      <c r="E3944" s="25">
        <v>1420.59</v>
      </c>
    </row>
    <row r="3945" spans="1:5" x14ac:dyDescent="0.3">
      <c r="A3945" s="17" t="str">
        <f>"65785"</f>
        <v>65785</v>
      </c>
      <c r="B3945" s="5" t="s">
        <v>4100</v>
      </c>
      <c r="C3945" s="17">
        <v>20230101</v>
      </c>
      <c r="D3945" s="17">
        <v>22991231</v>
      </c>
      <c r="E3945" s="25">
        <v>1805.85</v>
      </c>
    </row>
    <row r="3946" spans="1:5" x14ac:dyDescent="0.3">
      <c r="A3946" s="17" t="str">
        <f>"65800"</f>
        <v>65800</v>
      </c>
      <c r="B3946" s="5" t="s">
        <v>4101</v>
      </c>
      <c r="C3946" s="17">
        <v>19970801</v>
      </c>
      <c r="D3946" s="17">
        <v>22991231</v>
      </c>
      <c r="E3946" s="25">
        <v>1130.6099999999999</v>
      </c>
    </row>
    <row r="3947" spans="1:5" x14ac:dyDescent="0.3">
      <c r="A3947" s="17" t="str">
        <f>"65810"</f>
        <v>65810</v>
      </c>
      <c r="B3947" s="5" t="s">
        <v>4102</v>
      </c>
      <c r="C3947" s="17">
        <v>19900101</v>
      </c>
      <c r="D3947" s="17">
        <v>22991231</v>
      </c>
      <c r="E3947" s="25">
        <v>1130.6099999999999</v>
      </c>
    </row>
    <row r="3948" spans="1:5" x14ac:dyDescent="0.3">
      <c r="A3948" s="17" t="str">
        <f>"65815"</f>
        <v>65815</v>
      </c>
      <c r="B3948" s="5" t="s">
        <v>4103</v>
      </c>
      <c r="C3948" s="17">
        <v>19900101</v>
      </c>
      <c r="D3948" s="17">
        <v>22991231</v>
      </c>
      <c r="E3948" s="25">
        <v>1130.6099999999999</v>
      </c>
    </row>
    <row r="3949" spans="1:5" x14ac:dyDescent="0.3">
      <c r="A3949" s="17" t="str">
        <f>"65820"</f>
        <v>65820</v>
      </c>
      <c r="B3949" s="5" t="s">
        <v>4104</v>
      </c>
      <c r="C3949" s="17">
        <v>19900101</v>
      </c>
      <c r="D3949" s="17">
        <v>22991231</v>
      </c>
      <c r="E3949" s="25">
        <v>1953.31</v>
      </c>
    </row>
    <row r="3950" spans="1:5" x14ac:dyDescent="0.3">
      <c r="A3950" s="17" t="str">
        <f>"65850"</f>
        <v>65850</v>
      </c>
      <c r="B3950" s="5" t="s">
        <v>4105</v>
      </c>
      <c r="C3950" s="17">
        <v>19900101</v>
      </c>
      <c r="D3950" s="17">
        <v>22991231</v>
      </c>
      <c r="E3950" s="25">
        <v>1130.6099999999999</v>
      </c>
    </row>
    <row r="3951" spans="1:5" x14ac:dyDescent="0.3">
      <c r="A3951" s="17" t="str">
        <f>"65855"</f>
        <v>65855</v>
      </c>
      <c r="B3951" s="5" t="s">
        <v>4106</v>
      </c>
      <c r="C3951" s="17">
        <v>19900101</v>
      </c>
      <c r="D3951" s="17">
        <v>22991231</v>
      </c>
      <c r="E3951" s="25">
        <v>127.29</v>
      </c>
    </row>
    <row r="3952" spans="1:5" x14ac:dyDescent="0.3">
      <c r="A3952" s="17" t="str">
        <f>"65860"</f>
        <v>65860</v>
      </c>
      <c r="B3952" s="5" t="s">
        <v>4107</v>
      </c>
      <c r="C3952" s="17">
        <v>20230101</v>
      </c>
      <c r="D3952" s="17">
        <v>22991231</v>
      </c>
      <c r="E3952" s="25">
        <v>165.76</v>
      </c>
    </row>
    <row r="3953" spans="1:5" x14ac:dyDescent="0.3">
      <c r="A3953" s="17" t="str">
        <f>"65865"</f>
        <v>65865</v>
      </c>
      <c r="B3953" s="5" t="s">
        <v>4108</v>
      </c>
      <c r="C3953" s="17">
        <v>19900101</v>
      </c>
      <c r="D3953" s="17">
        <v>22991231</v>
      </c>
      <c r="E3953" s="25">
        <v>1130.6099999999999</v>
      </c>
    </row>
    <row r="3954" spans="1:5" ht="26" x14ac:dyDescent="0.3">
      <c r="A3954" s="17" t="str">
        <f>"65870"</f>
        <v>65870</v>
      </c>
      <c r="B3954" s="5" t="s">
        <v>4109</v>
      </c>
      <c r="C3954" s="17">
        <v>19900101</v>
      </c>
      <c r="D3954" s="17">
        <v>22991231</v>
      </c>
      <c r="E3954" s="25">
        <v>1130.6099999999999</v>
      </c>
    </row>
    <row r="3955" spans="1:5" ht="26" x14ac:dyDescent="0.3">
      <c r="A3955" s="17" t="str">
        <f>"65875"</f>
        <v>65875</v>
      </c>
      <c r="B3955" s="5" t="s">
        <v>4110</v>
      </c>
      <c r="C3955" s="17">
        <v>19900101</v>
      </c>
      <c r="D3955" s="17">
        <v>22991231</v>
      </c>
      <c r="E3955" s="25">
        <v>1130.6099999999999</v>
      </c>
    </row>
    <row r="3956" spans="1:5" x14ac:dyDescent="0.3">
      <c r="A3956" s="17" t="str">
        <f>"65880"</f>
        <v>65880</v>
      </c>
      <c r="B3956" s="5" t="s">
        <v>4111</v>
      </c>
      <c r="C3956" s="17">
        <v>19900101</v>
      </c>
      <c r="D3956" s="17">
        <v>22991231</v>
      </c>
      <c r="E3956" s="25">
        <v>1953.31</v>
      </c>
    </row>
    <row r="3957" spans="1:5" x14ac:dyDescent="0.3">
      <c r="A3957" s="17" t="str">
        <f>"65900"</f>
        <v>65900</v>
      </c>
      <c r="B3957" s="5" t="s">
        <v>4112</v>
      </c>
      <c r="C3957" s="17">
        <v>19900101</v>
      </c>
      <c r="D3957" s="17">
        <v>22991231</v>
      </c>
      <c r="E3957" s="25">
        <v>1130.6099999999999</v>
      </c>
    </row>
    <row r="3958" spans="1:5" x14ac:dyDescent="0.3">
      <c r="A3958" s="17" t="str">
        <f>"65920"</f>
        <v>65920</v>
      </c>
      <c r="B3958" s="5" t="s">
        <v>4113</v>
      </c>
      <c r="C3958" s="17">
        <v>19900101</v>
      </c>
      <c r="D3958" s="17">
        <v>22991231</v>
      </c>
      <c r="E3958" s="25">
        <v>1130.6099999999999</v>
      </c>
    </row>
    <row r="3959" spans="1:5" x14ac:dyDescent="0.3">
      <c r="A3959" s="17" t="str">
        <f>"65930"</f>
        <v>65930</v>
      </c>
      <c r="B3959" s="5" t="s">
        <v>4114</v>
      </c>
      <c r="C3959" s="17">
        <v>19900101</v>
      </c>
      <c r="D3959" s="17">
        <v>22991231</v>
      </c>
      <c r="E3959" s="25">
        <v>1130.6099999999999</v>
      </c>
    </row>
    <row r="3960" spans="1:5" x14ac:dyDescent="0.3">
      <c r="A3960" s="17">
        <v>66020</v>
      </c>
      <c r="B3960" s="5" t="s">
        <v>4115</v>
      </c>
      <c r="C3960" s="17">
        <v>20230101</v>
      </c>
      <c r="D3960" s="17">
        <v>22991231</v>
      </c>
      <c r="E3960" s="25">
        <v>1130.6099999999999</v>
      </c>
    </row>
    <row r="3961" spans="1:5" x14ac:dyDescent="0.3">
      <c r="A3961" s="17" t="str">
        <f>"66030"</f>
        <v>66030</v>
      </c>
      <c r="B3961" s="5" t="s">
        <v>4116</v>
      </c>
      <c r="C3961" s="17">
        <v>19970801</v>
      </c>
      <c r="D3961" s="17">
        <v>22991231</v>
      </c>
      <c r="E3961" s="25">
        <v>1130.6099999999999</v>
      </c>
    </row>
    <row r="3962" spans="1:5" x14ac:dyDescent="0.3">
      <c r="A3962" s="17" t="str">
        <f>"66130"</f>
        <v>66130</v>
      </c>
      <c r="B3962" s="5" t="s">
        <v>4117</v>
      </c>
      <c r="C3962" s="17">
        <v>19900101</v>
      </c>
      <c r="D3962" s="17">
        <v>22991231</v>
      </c>
      <c r="E3962" s="25">
        <v>934.62</v>
      </c>
    </row>
    <row r="3963" spans="1:5" ht="26" x14ac:dyDescent="0.3">
      <c r="A3963" s="17" t="str">
        <f>"66150"</f>
        <v>66150</v>
      </c>
      <c r="B3963" s="5" t="s">
        <v>4118</v>
      </c>
      <c r="C3963" s="17">
        <v>19900101</v>
      </c>
      <c r="D3963" s="17">
        <v>22991231</v>
      </c>
      <c r="E3963" s="25">
        <v>1953.31</v>
      </c>
    </row>
    <row r="3964" spans="1:5" ht="26" x14ac:dyDescent="0.3">
      <c r="A3964" s="17" t="str">
        <f>"66155"</f>
        <v>66155</v>
      </c>
      <c r="B3964" s="5" t="s">
        <v>4119</v>
      </c>
      <c r="C3964" s="17">
        <v>19900101</v>
      </c>
      <c r="D3964" s="17">
        <v>22991231</v>
      </c>
      <c r="E3964" s="25">
        <v>2690.29</v>
      </c>
    </row>
    <row r="3965" spans="1:5" ht="26" x14ac:dyDescent="0.3">
      <c r="A3965" s="17" t="str">
        <f>"66160"</f>
        <v>66160</v>
      </c>
      <c r="B3965" s="5" t="s">
        <v>4120</v>
      </c>
      <c r="C3965" s="17">
        <v>19900101</v>
      </c>
      <c r="D3965" s="17">
        <v>22991231</v>
      </c>
      <c r="E3965" s="25">
        <v>1130.6099999999999</v>
      </c>
    </row>
    <row r="3966" spans="1:5" ht="26" x14ac:dyDescent="0.3">
      <c r="A3966" s="17" t="str">
        <f>"66170"</f>
        <v>66170</v>
      </c>
      <c r="B3966" s="5" t="s">
        <v>4121</v>
      </c>
      <c r="C3966" s="17">
        <v>19900101</v>
      </c>
      <c r="D3966" s="17">
        <v>22991231</v>
      </c>
      <c r="E3966" s="25">
        <v>1130.6099999999999</v>
      </c>
    </row>
    <row r="3967" spans="1:5" ht="26" x14ac:dyDescent="0.3">
      <c r="A3967" s="17" t="str">
        <f>"66172"</f>
        <v>66172</v>
      </c>
      <c r="B3967" s="5" t="s">
        <v>4122</v>
      </c>
      <c r="C3967" s="17">
        <v>19940101</v>
      </c>
      <c r="D3967" s="17">
        <v>22991231</v>
      </c>
      <c r="E3967" s="25">
        <v>1130.6099999999999</v>
      </c>
    </row>
    <row r="3968" spans="1:5" x14ac:dyDescent="0.3">
      <c r="A3968" s="17" t="str">
        <f>"66174"</f>
        <v>66174</v>
      </c>
      <c r="B3968" s="5" t="s">
        <v>4123</v>
      </c>
      <c r="C3968" s="17">
        <v>20110101</v>
      </c>
      <c r="D3968" s="17">
        <v>22991231</v>
      </c>
      <c r="E3968" s="25">
        <v>1953.31</v>
      </c>
    </row>
    <row r="3969" spans="1:5" ht="26" x14ac:dyDescent="0.3">
      <c r="A3969" s="17" t="str">
        <f>"66175"</f>
        <v>66175</v>
      </c>
      <c r="B3969" s="5" t="s">
        <v>4124</v>
      </c>
      <c r="C3969" s="17">
        <v>20110101</v>
      </c>
      <c r="D3969" s="17">
        <v>22991231</v>
      </c>
      <c r="E3969" s="25">
        <v>3401.34</v>
      </c>
    </row>
    <row r="3970" spans="1:5" x14ac:dyDescent="0.3">
      <c r="A3970" s="17" t="str">
        <f>"66179"</f>
        <v>66179</v>
      </c>
      <c r="B3970" s="5" t="s">
        <v>4125</v>
      </c>
      <c r="C3970" s="17">
        <v>20230101</v>
      </c>
      <c r="D3970" s="17">
        <v>22991231</v>
      </c>
      <c r="E3970" s="25">
        <v>3114.73</v>
      </c>
    </row>
    <row r="3971" spans="1:5" ht="26" x14ac:dyDescent="0.3">
      <c r="A3971" s="17" t="str">
        <f>"66180"</f>
        <v>66180</v>
      </c>
      <c r="B3971" s="5" t="s">
        <v>4126</v>
      </c>
      <c r="C3971" s="17">
        <v>19910401</v>
      </c>
      <c r="D3971" s="17">
        <v>22991231</v>
      </c>
      <c r="E3971" s="25">
        <v>2508.04</v>
      </c>
    </row>
    <row r="3972" spans="1:5" x14ac:dyDescent="0.3">
      <c r="A3972" s="17" t="str">
        <f>"66183"</f>
        <v>66183</v>
      </c>
      <c r="B3972" s="5" t="s">
        <v>4127</v>
      </c>
      <c r="C3972" s="17">
        <v>20230101</v>
      </c>
      <c r="D3972" s="17">
        <v>22991231</v>
      </c>
      <c r="E3972" s="25">
        <v>2789.01</v>
      </c>
    </row>
    <row r="3973" spans="1:5" x14ac:dyDescent="0.3">
      <c r="A3973" s="17" t="str">
        <f>"66184"</f>
        <v>66184</v>
      </c>
      <c r="B3973" s="5" t="s">
        <v>4128</v>
      </c>
      <c r="C3973" s="17">
        <v>20230101</v>
      </c>
      <c r="D3973" s="17">
        <v>22991231</v>
      </c>
      <c r="E3973" s="25">
        <v>1130.6099999999999</v>
      </c>
    </row>
    <row r="3974" spans="1:5" x14ac:dyDescent="0.3">
      <c r="A3974" s="17" t="str">
        <f>"66185"</f>
        <v>66185</v>
      </c>
      <c r="B3974" s="5" t="s">
        <v>4129</v>
      </c>
      <c r="C3974" s="17">
        <v>19910401</v>
      </c>
      <c r="D3974" s="17">
        <v>22991231</v>
      </c>
      <c r="E3974" s="25">
        <v>1130.6099999999999</v>
      </c>
    </row>
    <row r="3975" spans="1:5" ht="26" x14ac:dyDescent="0.3">
      <c r="A3975" s="17" t="str">
        <f>"66225"</f>
        <v>66225</v>
      </c>
      <c r="B3975" s="5" t="s">
        <v>4130</v>
      </c>
      <c r="C3975" s="17">
        <v>19900101</v>
      </c>
      <c r="D3975" s="17">
        <v>22991231</v>
      </c>
      <c r="E3975" s="25">
        <v>3110.18</v>
      </c>
    </row>
    <row r="3976" spans="1:5" x14ac:dyDescent="0.3">
      <c r="A3976" s="17" t="str">
        <f>"66250"</f>
        <v>66250</v>
      </c>
      <c r="B3976" s="5" t="s">
        <v>4131</v>
      </c>
      <c r="C3976" s="17">
        <v>19900101</v>
      </c>
      <c r="D3976" s="17">
        <v>22991231</v>
      </c>
      <c r="E3976" s="25">
        <v>934.62</v>
      </c>
    </row>
    <row r="3977" spans="1:5" x14ac:dyDescent="0.3">
      <c r="A3977" s="17" t="str">
        <f>"66500"</f>
        <v>66500</v>
      </c>
      <c r="B3977" s="5" t="s">
        <v>4132</v>
      </c>
      <c r="C3977" s="17">
        <v>19900101</v>
      </c>
      <c r="D3977" s="17">
        <v>22991231</v>
      </c>
      <c r="E3977" s="25">
        <v>1130.6099999999999</v>
      </c>
    </row>
    <row r="3978" spans="1:5" ht="26" x14ac:dyDescent="0.3">
      <c r="A3978" s="17" t="str">
        <f>"66505"</f>
        <v>66505</v>
      </c>
      <c r="B3978" s="5" t="s">
        <v>4133</v>
      </c>
      <c r="C3978" s="17">
        <v>19900101</v>
      </c>
      <c r="D3978" s="17">
        <v>22991231</v>
      </c>
      <c r="E3978" s="25">
        <v>1130.6099999999999</v>
      </c>
    </row>
    <row r="3979" spans="1:5" x14ac:dyDescent="0.3">
      <c r="A3979" s="17" t="str">
        <f>"66600"</f>
        <v>66600</v>
      </c>
      <c r="B3979" s="5" t="s">
        <v>4134</v>
      </c>
      <c r="C3979" s="17">
        <v>19900101</v>
      </c>
      <c r="D3979" s="17">
        <v>22991231</v>
      </c>
      <c r="E3979" s="25">
        <v>1953.31</v>
      </c>
    </row>
    <row r="3980" spans="1:5" ht="39" x14ac:dyDescent="0.3">
      <c r="A3980" s="17" t="str">
        <f>"66605"</f>
        <v>66605</v>
      </c>
      <c r="B3980" s="5" t="s">
        <v>4135</v>
      </c>
      <c r="C3980" s="17">
        <v>19900101</v>
      </c>
      <c r="D3980" s="17">
        <v>22991231</v>
      </c>
      <c r="E3980" s="25">
        <v>1130.6099999999999</v>
      </c>
    </row>
    <row r="3981" spans="1:5" ht="26" x14ac:dyDescent="0.3">
      <c r="A3981" s="17" t="str">
        <f>"66625"</f>
        <v>66625</v>
      </c>
      <c r="B3981" s="5" t="s">
        <v>4136</v>
      </c>
      <c r="C3981" s="17">
        <v>19900101</v>
      </c>
      <c r="D3981" s="17">
        <v>22991231</v>
      </c>
      <c r="E3981" s="25">
        <v>1130.6099999999999</v>
      </c>
    </row>
    <row r="3982" spans="1:5" ht="26" x14ac:dyDescent="0.3">
      <c r="A3982" s="17" t="str">
        <f>"66630"</f>
        <v>66630</v>
      </c>
      <c r="B3982" s="5" t="s">
        <v>4137</v>
      </c>
      <c r="C3982" s="17">
        <v>19900101</v>
      </c>
      <c r="D3982" s="17">
        <v>22991231</v>
      </c>
      <c r="E3982" s="25">
        <v>1130.6099999999999</v>
      </c>
    </row>
    <row r="3983" spans="1:5" ht="26" x14ac:dyDescent="0.3">
      <c r="A3983" s="17" t="str">
        <f>"66635"</f>
        <v>66635</v>
      </c>
      <c r="B3983" s="5" t="s">
        <v>4138</v>
      </c>
      <c r="C3983" s="17">
        <v>19900101</v>
      </c>
      <c r="D3983" s="17">
        <v>22991231</v>
      </c>
      <c r="E3983" s="25">
        <v>1130.6099999999999</v>
      </c>
    </row>
    <row r="3984" spans="1:5" x14ac:dyDescent="0.3">
      <c r="A3984" s="17" t="str">
        <f>"66680"</f>
        <v>66680</v>
      </c>
      <c r="B3984" s="5" t="s">
        <v>4139</v>
      </c>
      <c r="C3984" s="17">
        <v>19900101</v>
      </c>
      <c r="D3984" s="17">
        <v>22991231</v>
      </c>
      <c r="E3984" s="25">
        <v>1130.6099999999999</v>
      </c>
    </row>
    <row r="3985" spans="1:5" x14ac:dyDescent="0.3">
      <c r="A3985" s="17" t="str">
        <f>"66682"</f>
        <v>66682</v>
      </c>
      <c r="B3985" s="5" t="s">
        <v>4140</v>
      </c>
      <c r="C3985" s="17">
        <v>19900101</v>
      </c>
      <c r="D3985" s="17">
        <v>22991231</v>
      </c>
      <c r="E3985" s="25">
        <v>1130.6099999999999</v>
      </c>
    </row>
    <row r="3986" spans="1:5" x14ac:dyDescent="0.3">
      <c r="A3986" s="17" t="str">
        <f>"66700"</f>
        <v>66700</v>
      </c>
      <c r="B3986" s="5" t="s">
        <v>4141</v>
      </c>
      <c r="C3986" s="17">
        <v>20230101</v>
      </c>
      <c r="D3986" s="17">
        <v>22991231</v>
      </c>
      <c r="E3986" s="25">
        <v>1130.6099999999999</v>
      </c>
    </row>
    <row r="3987" spans="1:5" x14ac:dyDescent="0.3">
      <c r="A3987" s="17" t="str">
        <f>"66710"</f>
        <v>66710</v>
      </c>
      <c r="B3987" s="5" t="s">
        <v>4142</v>
      </c>
      <c r="C3987" s="17">
        <v>19920115</v>
      </c>
      <c r="D3987" s="17">
        <v>22991231</v>
      </c>
      <c r="E3987" s="25">
        <v>934.62</v>
      </c>
    </row>
    <row r="3988" spans="1:5" ht="26" x14ac:dyDescent="0.3">
      <c r="A3988" s="17" t="str">
        <f>"66711"</f>
        <v>66711</v>
      </c>
      <c r="B3988" s="5" t="s">
        <v>4143</v>
      </c>
      <c r="C3988" s="17">
        <v>20200101</v>
      </c>
      <c r="D3988" s="17">
        <v>22991231</v>
      </c>
      <c r="E3988" s="25">
        <v>1130.6099999999999</v>
      </c>
    </row>
    <row r="3989" spans="1:5" x14ac:dyDescent="0.3">
      <c r="A3989" s="17" t="str">
        <f>"66720"</f>
        <v>66720</v>
      </c>
      <c r="B3989" s="5" t="s">
        <v>4144</v>
      </c>
      <c r="C3989" s="17">
        <v>19900101</v>
      </c>
      <c r="D3989" s="17">
        <v>22991231</v>
      </c>
      <c r="E3989" s="25">
        <v>934.62</v>
      </c>
    </row>
    <row r="3990" spans="1:5" x14ac:dyDescent="0.3">
      <c r="A3990" s="17" t="str">
        <f>"66740"</f>
        <v>66740</v>
      </c>
      <c r="B3990" s="5" t="s">
        <v>4145</v>
      </c>
      <c r="C3990" s="17">
        <v>19900101</v>
      </c>
      <c r="D3990" s="17">
        <v>22991231</v>
      </c>
      <c r="E3990" s="25">
        <v>934.62</v>
      </c>
    </row>
    <row r="3991" spans="1:5" ht="26" x14ac:dyDescent="0.3">
      <c r="A3991" s="17" t="str">
        <f>"66761"</f>
        <v>66761</v>
      </c>
      <c r="B3991" s="5" t="s">
        <v>4146</v>
      </c>
      <c r="C3991" s="17">
        <v>19900101</v>
      </c>
      <c r="D3991" s="17">
        <v>22991231</v>
      </c>
      <c r="E3991" s="25">
        <v>177.95</v>
      </c>
    </row>
    <row r="3992" spans="1:5" ht="26" x14ac:dyDescent="0.3">
      <c r="A3992" s="17" t="str">
        <f>"66762"</f>
        <v>66762</v>
      </c>
      <c r="B3992" s="5" t="s">
        <v>4147</v>
      </c>
      <c r="C3992" s="17">
        <v>19900101</v>
      </c>
      <c r="D3992" s="17">
        <v>22991231</v>
      </c>
      <c r="E3992" s="25">
        <v>264.60000000000002</v>
      </c>
    </row>
    <row r="3993" spans="1:5" x14ac:dyDescent="0.3">
      <c r="A3993" s="17" t="str">
        <f>"66770"</f>
        <v>66770</v>
      </c>
      <c r="B3993" s="5" t="s">
        <v>4148</v>
      </c>
      <c r="C3993" s="17">
        <v>19900101</v>
      </c>
      <c r="D3993" s="17">
        <v>22991231</v>
      </c>
      <c r="E3993" s="25">
        <v>288</v>
      </c>
    </row>
    <row r="3994" spans="1:5" ht="26" x14ac:dyDescent="0.3">
      <c r="A3994" s="17" t="str">
        <f>"66820"</f>
        <v>66820</v>
      </c>
      <c r="B3994" s="5" t="s">
        <v>4149</v>
      </c>
      <c r="C3994" s="17">
        <v>19900101</v>
      </c>
      <c r="D3994" s="17">
        <v>22991231</v>
      </c>
      <c r="E3994" s="25">
        <v>1130.6099999999999</v>
      </c>
    </row>
    <row r="3995" spans="1:5" ht="26" x14ac:dyDescent="0.3">
      <c r="A3995" s="17" t="str">
        <f>"66821"</f>
        <v>66821</v>
      </c>
      <c r="B3995" s="5" t="s">
        <v>4150</v>
      </c>
      <c r="C3995" s="17">
        <v>19900101</v>
      </c>
      <c r="D3995" s="17">
        <v>22991231</v>
      </c>
      <c r="E3995" s="25">
        <v>288</v>
      </c>
    </row>
    <row r="3996" spans="1:5" x14ac:dyDescent="0.3">
      <c r="A3996" s="17" t="str">
        <f>"66825"</f>
        <v>66825</v>
      </c>
      <c r="B3996" s="5" t="s">
        <v>4151</v>
      </c>
      <c r="C3996" s="17">
        <v>19930101</v>
      </c>
      <c r="D3996" s="17">
        <v>22991231</v>
      </c>
      <c r="E3996" s="25">
        <v>1130.6099999999999</v>
      </c>
    </row>
    <row r="3997" spans="1:5" ht="26" x14ac:dyDescent="0.3">
      <c r="A3997" s="17" t="str">
        <f>"66830"</f>
        <v>66830</v>
      </c>
      <c r="B3997" s="5" t="s">
        <v>4152</v>
      </c>
      <c r="C3997" s="17">
        <v>19900101</v>
      </c>
      <c r="D3997" s="17">
        <v>22991231</v>
      </c>
      <c r="E3997" s="25">
        <v>1130.6099999999999</v>
      </c>
    </row>
    <row r="3998" spans="1:5" x14ac:dyDescent="0.3">
      <c r="A3998" s="17" t="str">
        <f>"66840"</f>
        <v>66840</v>
      </c>
      <c r="B3998" s="5" t="s">
        <v>4153</v>
      </c>
      <c r="C3998" s="17">
        <v>19900101</v>
      </c>
      <c r="D3998" s="17">
        <v>22991231</v>
      </c>
      <c r="E3998" s="25">
        <v>1130.6099999999999</v>
      </c>
    </row>
    <row r="3999" spans="1:5" ht="26" x14ac:dyDescent="0.3">
      <c r="A3999" s="17" t="str">
        <f>"66850"</f>
        <v>66850</v>
      </c>
      <c r="B3999" s="5" t="s">
        <v>4154</v>
      </c>
      <c r="C3999" s="17">
        <v>19900101</v>
      </c>
      <c r="D3999" s="17">
        <v>22991231</v>
      </c>
      <c r="E3999" s="25">
        <v>1130.6099999999999</v>
      </c>
    </row>
    <row r="4000" spans="1:5" x14ac:dyDescent="0.3">
      <c r="A4000" s="17" t="str">
        <f>"66852"</f>
        <v>66852</v>
      </c>
      <c r="B4000" s="5" t="s">
        <v>4155</v>
      </c>
      <c r="C4000" s="17">
        <v>19910401</v>
      </c>
      <c r="D4000" s="17">
        <v>22991231</v>
      </c>
      <c r="E4000" s="25">
        <v>1953.31</v>
      </c>
    </row>
    <row r="4001" spans="1:5" x14ac:dyDescent="0.3">
      <c r="A4001" s="17" t="str">
        <f>"66920"</f>
        <v>66920</v>
      </c>
      <c r="B4001" s="5" t="s">
        <v>4156</v>
      </c>
      <c r="C4001" s="17">
        <v>19900101</v>
      </c>
      <c r="D4001" s="17">
        <v>22991231</v>
      </c>
      <c r="E4001" s="25">
        <v>1130.6099999999999</v>
      </c>
    </row>
    <row r="4002" spans="1:5" ht="26" x14ac:dyDescent="0.3">
      <c r="A4002" s="17" t="str">
        <f>"66930"</f>
        <v>66930</v>
      </c>
      <c r="B4002" s="5" t="s">
        <v>4157</v>
      </c>
      <c r="C4002" s="17">
        <v>19900101</v>
      </c>
      <c r="D4002" s="17">
        <v>22991231</v>
      </c>
      <c r="E4002" s="25">
        <v>1953.31</v>
      </c>
    </row>
    <row r="4003" spans="1:5" ht="26" x14ac:dyDescent="0.3">
      <c r="A4003" s="17" t="str">
        <f>"66940"</f>
        <v>66940</v>
      </c>
      <c r="B4003" s="5" t="s">
        <v>4158</v>
      </c>
      <c r="C4003" s="17">
        <v>19900101</v>
      </c>
      <c r="D4003" s="17">
        <v>22991231</v>
      </c>
      <c r="E4003" s="25">
        <v>1130.6099999999999</v>
      </c>
    </row>
    <row r="4004" spans="1:5" ht="26" x14ac:dyDescent="0.3">
      <c r="A4004" s="17" t="str">
        <f>"66982"</f>
        <v>66982</v>
      </c>
      <c r="B4004" s="5" t="s">
        <v>4159</v>
      </c>
      <c r="C4004" s="17">
        <v>20010101</v>
      </c>
      <c r="D4004" s="17">
        <v>22991231</v>
      </c>
      <c r="E4004" s="25">
        <v>1130.6099999999999</v>
      </c>
    </row>
    <row r="4005" spans="1:5" ht="26" x14ac:dyDescent="0.3">
      <c r="A4005" s="17" t="str">
        <f>"66983"</f>
        <v>66983</v>
      </c>
      <c r="B4005" s="5" t="s">
        <v>4160</v>
      </c>
      <c r="C4005" s="17">
        <v>19900101</v>
      </c>
      <c r="D4005" s="17">
        <v>22991231</v>
      </c>
      <c r="E4005" s="25">
        <v>1130.6099999999999</v>
      </c>
    </row>
    <row r="4006" spans="1:5" ht="26" x14ac:dyDescent="0.3">
      <c r="A4006" s="17" t="str">
        <f>"66984"</f>
        <v>66984</v>
      </c>
      <c r="B4006" s="5" t="s">
        <v>4161</v>
      </c>
      <c r="C4006" s="17">
        <v>19900101</v>
      </c>
      <c r="D4006" s="17">
        <v>22991231</v>
      </c>
      <c r="E4006" s="25">
        <v>1130.6099999999999</v>
      </c>
    </row>
    <row r="4007" spans="1:5" x14ac:dyDescent="0.3">
      <c r="A4007" s="17" t="str">
        <f>"66985"</f>
        <v>66985</v>
      </c>
      <c r="B4007" s="5" t="s">
        <v>4162</v>
      </c>
      <c r="C4007" s="17">
        <v>19900101</v>
      </c>
      <c r="D4007" s="17">
        <v>22991231</v>
      </c>
      <c r="E4007" s="25">
        <v>1130.6099999999999</v>
      </c>
    </row>
    <row r="4008" spans="1:5" x14ac:dyDescent="0.3">
      <c r="A4008" s="17" t="str">
        <f>"66986"</f>
        <v>66986</v>
      </c>
      <c r="B4008" s="5" t="s">
        <v>4163</v>
      </c>
      <c r="C4008" s="17">
        <v>19920115</v>
      </c>
      <c r="D4008" s="17">
        <v>22991231</v>
      </c>
      <c r="E4008" s="25">
        <v>1130.6099999999999</v>
      </c>
    </row>
    <row r="4009" spans="1:5" ht="39" x14ac:dyDescent="0.3">
      <c r="A4009" s="17" t="str">
        <f>"66987"</f>
        <v>66987</v>
      </c>
      <c r="B4009" s="5" t="s">
        <v>4164</v>
      </c>
      <c r="C4009" s="17">
        <v>20200101</v>
      </c>
      <c r="D4009" s="17">
        <v>22991231</v>
      </c>
      <c r="E4009" s="25">
        <v>1953.31</v>
      </c>
    </row>
    <row r="4010" spans="1:5" ht="39" x14ac:dyDescent="0.3">
      <c r="A4010" s="17" t="str">
        <f>"66988"</f>
        <v>66988</v>
      </c>
      <c r="B4010" s="5" t="s">
        <v>4165</v>
      </c>
      <c r="C4010" s="17">
        <v>20200101</v>
      </c>
      <c r="D4010" s="17">
        <v>22991231</v>
      </c>
      <c r="E4010" s="25">
        <v>1953.31</v>
      </c>
    </row>
    <row r="4011" spans="1:5" ht="39" x14ac:dyDescent="0.3">
      <c r="A4011" s="17" t="str">
        <f>"66989"</f>
        <v>66989</v>
      </c>
      <c r="B4011" s="5" t="s">
        <v>4166</v>
      </c>
      <c r="C4011" s="17">
        <v>20220101</v>
      </c>
      <c r="D4011" s="17">
        <v>22991231</v>
      </c>
      <c r="E4011" s="25">
        <v>3500.77</v>
      </c>
    </row>
    <row r="4012" spans="1:5" x14ac:dyDescent="0.3">
      <c r="A4012" s="17" t="str">
        <f>"66990"</f>
        <v>66990</v>
      </c>
      <c r="B4012" s="5" t="s">
        <v>4167</v>
      </c>
      <c r="C4012" s="17">
        <v>20230101</v>
      </c>
      <c r="D4012" s="17">
        <v>22991231</v>
      </c>
      <c r="E4012" s="25">
        <v>0</v>
      </c>
    </row>
    <row r="4013" spans="1:5" ht="39" x14ac:dyDescent="0.3">
      <c r="A4013" s="17" t="str">
        <f>"66991"</f>
        <v>66991</v>
      </c>
      <c r="B4013" s="5" t="s">
        <v>4168</v>
      </c>
      <c r="C4013" s="17">
        <v>20220101</v>
      </c>
      <c r="D4013" s="17">
        <v>22991231</v>
      </c>
      <c r="E4013" s="25">
        <v>3565.23</v>
      </c>
    </row>
    <row r="4014" spans="1:5" x14ac:dyDescent="0.3">
      <c r="A4014" s="17" t="str">
        <f>"66999"</f>
        <v>66999</v>
      </c>
      <c r="B4014" s="5" t="s">
        <v>4169</v>
      </c>
      <c r="C4014" s="17">
        <v>19900101</v>
      </c>
      <c r="D4014" s="17">
        <v>22991231</v>
      </c>
      <c r="E4014" s="24" t="s">
        <v>7128</v>
      </c>
    </row>
    <row r="4015" spans="1:5" ht="26" x14ac:dyDescent="0.3">
      <c r="A4015" s="17" t="str">
        <f>"67005"</f>
        <v>67005</v>
      </c>
      <c r="B4015" s="5" t="s">
        <v>4170</v>
      </c>
      <c r="C4015" s="17">
        <v>19900101</v>
      </c>
      <c r="D4015" s="17">
        <v>22991231</v>
      </c>
      <c r="E4015" s="25">
        <v>1130.6099999999999</v>
      </c>
    </row>
    <row r="4016" spans="1:5" ht="26" x14ac:dyDescent="0.3">
      <c r="A4016" s="17" t="str">
        <f>"67010"</f>
        <v>67010</v>
      </c>
      <c r="B4016" s="5" t="s">
        <v>4171</v>
      </c>
      <c r="C4016" s="17">
        <v>19900101</v>
      </c>
      <c r="D4016" s="17">
        <v>22991231</v>
      </c>
      <c r="E4016" s="25">
        <v>1130.6099999999999</v>
      </c>
    </row>
    <row r="4017" spans="1:5" ht="26" x14ac:dyDescent="0.3">
      <c r="A4017" s="17" t="str">
        <f>"67015"</f>
        <v>67015</v>
      </c>
      <c r="B4017" s="5" t="s">
        <v>4172</v>
      </c>
      <c r="C4017" s="17">
        <v>19900101</v>
      </c>
      <c r="D4017" s="17">
        <v>22991231</v>
      </c>
      <c r="E4017" s="25">
        <v>1130.6099999999999</v>
      </c>
    </row>
    <row r="4018" spans="1:5" x14ac:dyDescent="0.3">
      <c r="A4018" s="17" t="str">
        <f>"67025"</f>
        <v>67025</v>
      </c>
      <c r="B4018" s="5" t="s">
        <v>4173</v>
      </c>
      <c r="C4018" s="17">
        <v>19900101</v>
      </c>
      <c r="D4018" s="17">
        <v>22991231</v>
      </c>
      <c r="E4018" s="25">
        <v>1130.6099999999999</v>
      </c>
    </row>
    <row r="4019" spans="1:5" x14ac:dyDescent="0.3">
      <c r="A4019" s="17" t="str">
        <f>"67027"</f>
        <v>67027</v>
      </c>
      <c r="B4019" s="5" t="s">
        <v>4174</v>
      </c>
      <c r="C4019" s="17">
        <v>19980101</v>
      </c>
      <c r="D4019" s="17">
        <v>22991231</v>
      </c>
      <c r="E4019" s="25">
        <v>1929.52</v>
      </c>
    </row>
    <row r="4020" spans="1:5" x14ac:dyDescent="0.3">
      <c r="A4020" s="17" t="str">
        <f>"67028"</f>
        <v>67028</v>
      </c>
      <c r="B4020" s="5" t="s">
        <v>4175</v>
      </c>
      <c r="C4020" s="17">
        <v>19910401</v>
      </c>
      <c r="D4020" s="17">
        <v>22991231</v>
      </c>
      <c r="E4020" s="25">
        <v>56.92</v>
      </c>
    </row>
    <row r="4021" spans="1:5" ht="26" x14ac:dyDescent="0.3">
      <c r="A4021" s="17" t="str">
        <f>"67030"</f>
        <v>67030</v>
      </c>
      <c r="B4021" s="5" t="s">
        <v>4176</v>
      </c>
      <c r="C4021" s="17">
        <v>19900101</v>
      </c>
      <c r="D4021" s="17">
        <v>22991231</v>
      </c>
      <c r="E4021" s="25">
        <v>1130.6099999999999</v>
      </c>
    </row>
    <row r="4022" spans="1:5" ht="26" x14ac:dyDescent="0.3">
      <c r="A4022" s="17" t="str">
        <f>"67031"</f>
        <v>67031</v>
      </c>
      <c r="B4022" s="5" t="s">
        <v>4177</v>
      </c>
      <c r="C4022" s="17">
        <v>19900101</v>
      </c>
      <c r="D4022" s="17">
        <v>22991231</v>
      </c>
      <c r="E4022" s="25">
        <v>288</v>
      </c>
    </row>
    <row r="4023" spans="1:5" ht="26" x14ac:dyDescent="0.3">
      <c r="A4023" s="17" t="str">
        <f>"67036"</f>
        <v>67036</v>
      </c>
      <c r="B4023" s="5" t="s">
        <v>4178</v>
      </c>
      <c r="C4023" s="17">
        <v>19900101</v>
      </c>
      <c r="D4023" s="17">
        <v>22991231</v>
      </c>
      <c r="E4023" s="25">
        <v>1953.31</v>
      </c>
    </row>
    <row r="4024" spans="1:5" ht="26" x14ac:dyDescent="0.3">
      <c r="A4024" s="17" t="str">
        <f>"67039"</f>
        <v>67039</v>
      </c>
      <c r="B4024" s="5" t="s">
        <v>4179</v>
      </c>
      <c r="C4024" s="17">
        <v>19910401</v>
      </c>
      <c r="D4024" s="17">
        <v>22991231</v>
      </c>
      <c r="E4024" s="25">
        <v>1953.31</v>
      </c>
    </row>
    <row r="4025" spans="1:5" ht="26" x14ac:dyDescent="0.3">
      <c r="A4025" s="17" t="str">
        <f>"67040"</f>
        <v>67040</v>
      </c>
      <c r="B4025" s="5" t="s">
        <v>4180</v>
      </c>
      <c r="C4025" s="17">
        <v>19900101</v>
      </c>
      <c r="D4025" s="17">
        <v>22991231</v>
      </c>
      <c r="E4025" s="25">
        <v>1953.31</v>
      </c>
    </row>
    <row r="4026" spans="1:5" x14ac:dyDescent="0.3">
      <c r="A4026" s="17" t="str">
        <f>"67041"</f>
        <v>67041</v>
      </c>
      <c r="B4026" s="5" t="s">
        <v>4181</v>
      </c>
      <c r="C4026" s="17">
        <v>20080101</v>
      </c>
      <c r="D4026" s="17">
        <v>22991231</v>
      </c>
      <c r="E4026" s="25">
        <v>1953.31</v>
      </c>
    </row>
    <row r="4027" spans="1:5" ht="26" x14ac:dyDescent="0.3">
      <c r="A4027" s="17" t="str">
        <f>"67042"</f>
        <v>67042</v>
      </c>
      <c r="B4027" s="5" t="s">
        <v>4182</v>
      </c>
      <c r="C4027" s="17">
        <v>20080101</v>
      </c>
      <c r="D4027" s="17">
        <v>22991231</v>
      </c>
      <c r="E4027" s="25">
        <v>1953.31</v>
      </c>
    </row>
    <row r="4028" spans="1:5" ht="26" x14ac:dyDescent="0.3">
      <c r="A4028" s="17" t="str">
        <f>"67043"</f>
        <v>67043</v>
      </c>
      <c r="B4028" s="5" t="s">
        <v>4183</v>
      </c>
      <c r="C4028" s="17">
        <v>20080101</v>
      </c>
      <c r="D4028" s="17">
        <v>22991231</v>
      </c>
      <c r="E4028" s="25">
        <v>1953.31</v>
      </c>
    </row>
    <row r="4029" spans="1:5" x14ac:dyDescent="0.3">
      <c r="A4029" s="17" t="str">
        <f>"67101"</f>
        <v>67101</v>
      </c>
      <c r="B4029" s="5" t="s">
        <v>4184</v>
      </c>
      <c r="C4029" s="17">
        <v>19900101</v>
      </c>
      <c r="D4029" s="17">
        <v>22991231</v>
      </c>
      <c r="E4029" s="25">
        <v>194.85</v>
      </c>
    </row>
    <row r="4030" spans="1:5" x14ac:dyDescent="0.3">
      <c r="A4030" s="17" t="str">
        <f>"67105"</f>
        <v>67105</v>
      </c>
      <c r="B4030" s="5" t="s">
        <v>4185</v>
      </c>
      <c r="C4030" s="17">
        <v>19900101</v>
      </c>
      <c r="D4030" s="17">
        <v>22991231</v>
      </c>
      <c r="E4030" s="25">
        <v>162.32</v>
      </c>
    </row>
    <row r="4031" spans="1:5" ht="26" x14ac:dyDescent="0.3">
      <c r="A4031" s="17" t="str">
        <f>"67107"</f>
        <v>67107</v>
      </c>
      <c r="B4031" s="5" t="s">
        <v>4186</v>
      </c>
      <c r="C4031" s="17">
        <v>19900101</v>
      </c>
      <c r="D4031" s="17">
        <v>22991231</v>
      </c>
      <c r="E4031" s="25">
        <v>1953.31</v>
      </c>
    </row>
    <row r="4032" spans="1:5" ht="26" x14ac:dyDescent="0.3">
      <c r="A4032" s="17" t="str">
        <f>"67108"</f>
        <v>67108</v>
      </c>
      <c r="B4032" s="5" t="s">
        <v>4187</v>
      </c>
      <c r="C4032" s="17">
        <v>19900101</v>
      </c>
      <c r="D4032" s="17">
        <v>22991231</v>
      </c>
      <c r="E4032" s="25">
        <v>1953.31</v>
      </c>
    </row>
    <row r="4033" spans="1:5" ht="26" x14ac:dyDescent="0.3">
      <c r="A4033" s="17" t="str">
        <f>"67110"</f>
        <v>67110</v>
      </c>
      <c r="B4033" s="5" t="s">
        <v>4188</v>
      </c>
      <c r="C4033" s="17">
        <v>19910401</v>
      </c>
      <c r="D4033" s="17">
        <v>22991231</v>
      </c>
      <c r="E4033" s="25">
        <v>483.53</v>
      </c>
    </row>
    <row r="4034" spans="1:5" ht="26" x14ac:dyDescent="0.3">
      <c r="A4034" s="17" t="str">
        <f>"67113"</f>
        <v>67113</v>
      </c>
      <c r="B4034" s="5" t="s">
        <v>4189</v>
      </c>
      <c r="C4034" s="17">
        <v>20080101</v>
      </c>
      <c r="D4034" s="17">
        <v>22991231</v>
      </c>
      <c r="E4034" s="25">
        <v>2469.58</v>
      </c>
    </row>
    <row r="4035" spans="1:5" x14ac:dyDescent="0.3">
      <c r="A4035" s="17" t="str">
        <f>"67115"</f>
        <v>67115</v>
      </c>
      <c r="B4035" s="5" t="s">
        <v>4190</v>
      </c>
      <c r="C4035" s="17">
        <v>19900101</v>
      </c>
      <c r="D4035" s="17">
        <v>22991231</v>
      </c>
      <c r="E4035" s="25">
        <v>1953.31</v>
      </c>
    </row>
    <row r="4036" spans="1:5" x14ac:dyDescent="0.3">
      <c r="A4036" s="17" t="str">
        <f>"67120"</f>
        <v>67120</v>
      </c>
      <c r="B4036" s="5" t="s">
        <v>4191</v>
      </c>
      <c r="C4036" s="17">
        <v>19900101</v>
      </c>
      <c r="D4036" s="17">
        <v>22991231</v>
      </c>
      <c r="E4036" s="25">
        <v>1130.6099999999999</v>
      </c>
    </row>
    <row r="4037" spans="1:5" x14ac:dyDescent="0.3">
      <c r="A4037" s="17" t="str">
        <f>"67121"</f>
        <v>67121</v>
      </c>
      <c r="B4037" s="5" t="s">
        <v>4192</v>
      </c>
      <c r="C4037" s="17">
        <v>19900101</v>
      </c>
      <c r="D4037" s="17">
        <v>22991231</v>
      </c>
      <c r="E4037" s="25">
        <v>1130.6099999999999</v>
      </c>
    </row>
    <row r="4038" spans="1:5" ht="26" x14ac:dyDescent="0.3">
      <c r="A4038" s="17" t="str">
        <f>"67141"</f>
        <v>67141</v>
      </c>
      <c r="B4038" s="5" t="s">
        <v>4193</v>
      </c>
      <c r="C4038" s="17">
        <v>19900101</v>
      </c>
      <c r="D4038" s="17">
        <v>22991231</v>
      </c>
      <c r="E4038" s="25">
        <v>144.33000000000001</v>
      </c>
    </row>
    <row r="4039" spans="1:5" ht="26" x14ac:dyDescent="0.3">
      <c r="A4039" s="17" t="str">
        <f>"67145"</f>
        <v>67145</v>
      </c>
      <c r="B4039" s="5" t="s">
        <v>4194</v>
      </c>
      <c r="C4039" s="17">
        <v>19900101</v>
      </c>
      <c r="D4039" s="17">
        <v>22991231</v>
      </c>
      <c r="E4039" s="25">
        <v>141.68</v>
      </c>
    </row>
    <row r="4040" spans="1:5" ht="26" x14ac:dyDescent="0.3">
      <c r="A4040" s="17" t="str">
        <f>"67208"</f>
        <v>67208</v>
      </c>
      <c r="B4040" s="5" t="s">
        <v>4195</v>
      </c>
      <c r="C4040" s="17">
        <v>19900101</v>
      </c>
      <c r="D4040" s="17">
        <v>22991231</v>
      </c>
      <c r="E4040" s="25">
        <v>144.33000000000001</v>
      </c>
    </row>
    <row r="4041" spans="1:5" x14ac:dyDescent="0.3">
      <c r="A4041" s="17" t="str">
        <f>"67210"</f>
        <v>67210</v>
      </c>
      <c r="B4041" s="5" t="s">
        <v>4196</v>
      </c>
      <c r="C4041" s="17">
        <v>19900101</v>
      </c>
      <c r="D4041" s="17">
        <v>22991231</v>
      </c>
      <c r="E4041" s="25">
        <v>265.22000000000003</v>
      </c>
    </row>
    <row r="4042" spans="1:5" ht="26" x14ac:dyDescent="0.3">
      <c r="A4042" s="17" t="str">
        <f>"67218"</f>
        <v>67218</v>
      </c>
      <c r="B4042" s="5" t="s">
        <v>4197</v>
      </c>
      <c r="C4042" s="17">
        <v>19900101</v>
      </c>
      <c r="D4042" s="17">
        <v>22991231</v>
      </c>
      <c r="E4042" s="25">
        <v>1420.59</v>
      </c>
    </row>
    <row r="4043" spans="1:5" ht="26" x14ac:dyDescent="0.3">
      <c r="A4043" s="17" t="str">
        <f>"67220"</f>
        <v>67220</v>
      </c>
      <c r="B4043" s="5" t="s">
        <v>4198</v>
      </c>
      <c r="C4043" s="17">
        <v>19990101</v>
      </c>
      <c r="D4043" s="17">
        <v>22991231</v>
      </c>
      <c r="E4043" s="25">
        <v>279.60000000000002</v>
      </c>
    </row>
    <row r="4044" spans="1:5" ht="26" x14ac:dyDescent="0.3">
      <c r="A4044" s="17" t="str">
        <f>"67221"</f>
        <v>67221</v>
      </c>
      <c r="B4044" s="5" t="s">
        <v>4199</v>
      </c>
      <c r="C4044" s="17">
        <v>20010101</v>
      </c>
      <c r="D4044" s="17">
        <v>22991231</v>
      </c>
      <c r="E4044" s="25">
        <v>136.66999999999999</v>
      </c>
    </row>
    <row r="4045" spans="1:5" ht="39" x14ac:dyDescent="0.3">
      <c r="A4045" s="17" t="str">
        <f>"67225"</f>
        <v>67225</v>
      </c>
      <c r="B4045" s="5" t="s">
        <v>4200</v>
      </c>
      <c r="C4045" s="17">
        <v>20230101</v>
      </c>
      <c r="D4045" s="17">
        <v>22991231</v>
      </c>
      <c r="E4045" s="25">
        <v>0</v>
      </c>
    </row>
    <row r="4046" spans="1:5" x14ac:dyDescent="0.3">
      <c r="A4046" s="17" t="str">
        <f>"67227"</f>
        <v>67227</v>
      </c>
      <c r="B4046" s="5" t="s">
        <v>4201</v>
      </c>
      <c r="C4046" s="17">
        <v>19900101</v>
      </c>
      <c r="D4046" s="17">
        <v>22991231</v>
      </c>
      <c r="E4046" s="25">
        <v>157.31</v>
      </c>
    </row>
    <row r="4047" spans="1:5" ht="26" x14ac:dyDescent="0.3">
      <c r="A4047" s="17" t="str">
        <f>"67228"</f>
        <v>67228</v>
      </c>
      <c r="B4047" s="5" t="s">
        <v>4202</v>
      </c>
      <c r="C4047" s="17">
        <v>19900101</v>
      </c>
      <c r="D4047" s="17">
        <v>22991231</v>
      </c>
      <c r="E4047" s="25">
        <v>167.95</v>
      </c>
    </row>
    <row r="4048" spans="1:5" ht="26" x14ac:dyDescent="0.3">
      <c r="A4048" s="17" t="str">
        <f>"67229"</f>
        <v>67229</v>
      </c>
      <c r="B4048" s="5" t="s">
        <v>4203</v>
      </c>
      <c r="C4048" s="17">
        <v>20080101</v>
      </c>
      <c r="D4048" s="17">
        <v>22991231</v>
      </c>
      <c r="E4048" s="25">
        <v>288</v>
      </c>
    </row>
    <row r="4049" spans="1:5" x14ac:dyDescent="0.3">
      <c r="A4049" s="17" t="str">
        <f>"67250"</f>
        <v>67250</v>
      </c>
      <c r="B4049" s="5" t="s">
        <v>4204</v>
      </c>
      <c r="C4049" s="17">
        <v>19900101</v>
      </c>
      <c r="D4049" s="17">
        <v>22991231</v>
      </c>
      <c r="E4049" s="25">
        <v>934.62</v>
      </c>
    </row>
    <row r="4050" spans="1:5" x14ac:dyDescent="0.3">
      <c r="A4050" s="17" t="str">
        <f>"67255"</f>
        <v>67255</v>
      </c>
      <c r="B4050" s="5" t="s">
        <v>4205</v>
      </c>
      <c r="C4050" s="17">
        <v>19900101</v>
      </c>
      <c r="D4050" s="17">
        <v>22991231</v>
      </c>
      <c r="E4050" s="25">
        <v>1953.31</v>
      </c>
    </row>
    <row r="4051" spans="1:5" x14ac:dyDescent="0.3">
      <c r="A4051" s="17" t="str">
        <f>"67311"</f>
        <v>67311</v>
      </c>
      <c r="B4051" s="5" t="s">
        <v>4206</v>
      </c>
      <c r="C4051" s="17">
        <v>19900101</v>
      </c>
      <c r="D4051" s="17">
        <v>22991231</v>
      </c>
      <c r="E4051" s="25">
        <v>934.62</v>
      </c>
    </row>
    <row r="4052" spans="1:5" ht="26" x14ac:dyDescent="0.3">
      <c r="A4052" s="17" t="str">
        <f>"67312"</f>
        <v>67312</v>
      </c>
      <c r="B4052" s="5" t="s">
        <v>4207</v>
      </c>
      <c r="C4052" s="17">
        <v>19900101</v>
      </c>
      <c r="D4052" s="17">
        <v>22991231</v>
      </c>
      <c r="E4052" s="25">
        <v>1420.59</v>
      </c>
    </row>
    <row r="4053" spans="1:5" x14ac:dyDescent="0.3">
      <c r="A4053" s="17" t="str">
        <f>"67314"</f>
        <v>67314</v>
      </c>
      <c r="B4053" s="5" t="s">
        <v>4208</v>
      </c>
      <c r="C4053" s="17">
        <v>19910401</v>
      </c>
      <c r="D4053" s="17">
        <v>22991231</v>
      </c>
      <c r="E4053" s="25">
        <v>934.62</v>
      </c>
    </row>
    <row r="4054" spans="1:5" x14ac:dyDescent="0.3">
      <c r="A4054" s="17" t="str">
        <f>"67316"</f>
        <v>67316</v>
      </c>
      <c r="B4054" s="5" t="s">
        <v>4209</v>
      </c>
      <c r="C4054" s="17">
        <v>19910401</v>
      </c>
      <c r="D4054" s="17">
        <v>22991231</v>
      </c>
      <c r="E4054" s="25">
        <v>934.62</v>
      </c>
    </row>
    <row r="4055" spans="1:5" ht="26" x14ac:dyDescent="0.3">
      <c r="A4055" s="17" t="str">
        <f>"67318"</f>
        <v>67318</v>
      </c>
      <c r="B4055" s="5" t="s">
        <v>4210</v>
      </c>
      <c r="C4055" s="17">
        <v>19910401</v>
      </c>
      <c r="D4055" s="17">
        <v>22991231</v>
      </c>
      <c r="E4055" s="25">
        <v>934.62</v>
      </c>
    </row>
    <row r="4056" spans="1:5" x14ac:dyDescent="0.3">
      <c r="A4056" s="17" t="str">
        <f>"67320"</f>
        <v>67320</v>
      </c>
      <c r="B4056" s="5" t="s">
        <v>4211</v>
      </c>
      <c r="C4056" s="17">
        <v>19900101</v>
      </c>
      <c r="D4056" s="17">
        <v>22991231</v>
      </c>
      <c r="E4056" s="25">
        <v>0</v>
      </c>
    </row>
    <row r="4057" spans="1:5" ht="26" x14ac:dyDescent="0.3">
      <c r="A4057" s="17" t="str">
        <f>"67331"</f>
        <v>67331</v>
      </c>
      <c r="B4057" s="5" t="s">
        <v>4212</v>
      </c>
      <c r="C4057" s="17">
        <v>19900101</v>
      </c>
      <c r="D4057" s="17">
        <v>22991231</v>
      </c>
      <c r="E4057" s="25">
        <v>0</v>
      </c>
    </row>
    <row r="4058" spans="1:5" ht="26" x14ac:dyDescent="0.3">
      <c r="A4058" s="17" t="str">
        <f>"67332"</f>
        <v>67332</v>
      </c>
      <c r="B4058" s="5" t="s">
        <v>4213</v>
      </c>
      <c r="C4058" s="17">
        <v>19900101</v>
      </c>
      <c r="D4058" s="17">
        <v>22991231</v>
      </c>
      <c r="E4058" s="25">
        <v>0</v>
      </c>
    </row>
    <row r="4059" spans="1:5" x14ac:dyDescent="0.3">
      <c r="A4059" s="17" t="str">
        <f>"67334"</f>
        <v>67334</v>
      </c>
      <c r="B4059" s="5" t="s">
        <v>4214</v>
      </c>
      <c r="C4059" s="17">
        <v>19900101</v>
      </c>
      <c r="D4059" s="17">
        <v>22991231</v>
      </c>
      <c r="E4059" s="25">
        <v>0</v>
      </c>
    </row>
    <row r="4060" spans="1:5" ht="26" x14ac:dyDescent="0.3">
      <c r="A4060" s="17" t="str">
        <f>"67335"</f>
        <v>67335</v>
      </c>
      <c r="B4060" s="5" t="s">
        <v>4215</v>
      </c>
      <c r="C4060" s="17">
        <v>19900101</v>
      </c>
      <c r="D4060" s="17">
        <v>22991231</v>
      </c>
      <c r="E4060" s="25">
        <v>0</v>
      </c>
    </row>
    <row r="4061" spans="1:5" x14ac:dyDescent="0.3">
      <c r="A4061" s="17" t="str">
        <f>"67340"</f>
        <v>67340</v>
      </c>
      <c r="B4061" s="5" t="s">
        <v>4216</v>
      </c>
      <c r="C4061" s="17">
        <v>19910401</v>
      </c>
      <c r="D4061" s="17">
        <v>22991231</v>
      </c>
      <c r="E4061" s="25">
        <v>0</v>
      </c>
    </row>
    <row r="4062" spans="1:5" x14ac:dyDescent="0.3">
      <c r="A4062" s="17" t="str">
        <f>"67343"</f>
        <v>67343</v>
      </c>
      <c r="B4062" s="5" t="s">
        <v>4217</v>
      </c>
      <c r="C4062" s="17">
        <v>19910401</v>
      </c>
      <c r="D4062" s="17">
        <v>22991231</v>
      </c>
      <c r="E4062" s="25">
        <v>934.62</v>
      </c>
    </row>
    <row r="4063" spans="1:5" ht="26" x14ac:dyDescent="0.3">
      <c r="A4063" s="17" t="str">
        <f>"67345"</f>
        <v>67345</v>
      </c>
      <c r="B4063" s="5" t="s">
        <v>4218</v>
      </c>
      <c r="C4063" s="17">
        <v>20230101</v>
      </c>
      <c r="D4063" s="17">
        <v>22991231</v>
      </c>
      <c r="E4063" s="25">
        <v>119.16</v>
      </c>
    </row>
    <row r="4064" spans="1:5" x14ac:dyDescent="0.3">
      <c r="A4064" s="17" t="str">
        <f>"67346"</f>
        <v>67346</v>
      </c>
      <c r="B4064" s="5" t="s">
        <v>4219</v>
      </c>
      <c r="C4064" s="17">
        <v>20070101</v>
      </c>
      <c r="D4064" s="17">
        <v>22991231</v>
      </c>
      <c r="E4064" s="25">
        <v>1420.59</v>
      </c>
    </row>
    <row r="4065" spans="1:5" x14ac:dyDescent="0.3">
      <c r="A4065" s="17" t="str">
        <f>"67400"</f>
        <v>67400</v>
      </c>
      <c r="B4065" s="5" t="s">
        <v>4220</v>
      </c>
      <c r="C4065" s="17">
        <v>19900101</v>
      </c>
      <c r="D4065" s="17">
        <v>22991231</v>
      </c>
      <c r="E4065" s="25">
        <v>1420.59</v>
      </c>
    </row>
    <row r="4066" spans="1:5" x14ac:dyDescent="0.3">
      <c r="A4066" s="17" t="str">
        <f>"67405"</f>
        <v>67405</v>
      </c>
      <c r="B4066" s="5" t="s">
        <v>4221</v>
      </c>
      <c r="C4066" s="17">
        <v>19900101</v>
      </c>
      <c r="D4066" s="17">
        <v>22991231</v>
      </c>
      <c r="E4066" s="25">
        <v>934.62</v>
      </c>
    </row>
    <row r="4067" spans="1:5" x14ac:dyDescent="0.3">
      <c r="A4067" s="17" t="str">
        <f>"67412"</f>
        <v>67412</v>
      </c>
      <c r="B4067" s="5" t="s">
        <v>4222</v>
      </c>
      <c r="C4067" s="17">
        <v>19900101</v>
      </c>
      <c r="D4067" s="17">
        <v>22991231</v>
      </c>
      <c r="E4067" s="25">
        <v>934.62</v>
      </c>
    </row>
    <row r="4068" spans="1:5" x14ac:dyDescent="0.3">
      <c r="A4068" s="17" t="str">
        <f>"67413"</f>
        <v>67413</v>
      </c>
      <c r="B4068" s="5" t="s">
        <v>4223</v>
      </c>
      <c r="C4068" s="17">
        <v>19900101</v>
      </c>
      <c r="D4068" s="17">
        <v>22991231</v>
      </c>
      <c r="E4068" s="25">
        <v>934.62</v>
      </c>
    </row>
    <row r="4069" spans="1:5" ht="26" x14ac:dyDescent="0.3">
      <c r="A4069" s="17" t="str">
        <f>"67414"</f>
        <v>67414</v>
      </c>
      <c r="B4069" s="5" t="s">
        <v>4224</v>
      </c>
      <c r="C4069" s="17">
        <v>19920115</v>
      </c>
      <c r="D4069" s="17">
        <v>22991231</v>
      </c>
      <c r="E4069" s="25">
        <v>1420.59</v>
      </c>
    </row>
    <row r="4070" spans="1:5" x14ac:dyDescent="0.3">
      <c r="A4070" s="17" t="str">
        <f>"67415"</f>
        <v>67415</v>
      </c>
      <c r="B4070" s="5" t="s">
        <v>4225</v>
      </c>
      <c r="C4070" s="17">
        <v>19900101</v>
      </c>
      <c r="D4070" s="17">
        <v>22991231</v>
      </c>
      <c r="E4070" s="25">
        <v>934.62</v>
      </c>
    </row>
    <row r="4071" spans="1:5" ht="26" x14ac:dyDescent="0.3">
      <c r="A4071" s="17" t="str">
        <f>"67420"</f>
        <v>67420</v>
      </c>
      <c r="B4071" s="5" t="s">
        <v>4226</v>
      </c>
      <c r="C4071" s="17">
        <v>19900101</v>
      </c>
      <c r="D4071" s="17">
        <v>22991231</v>
      </c>
      <c r="E4071" s="25">
        <v>1420.59</v>
      </c>
    </row>
    <row r="4072" spans="1:5" ht="26" x14ac:dyDescent="0.3">
      <c r="A4072" s="17" t="str">
        <f>"67430"</f>
        <v>67430</v>
      </c>
      <c r="B4072" s="5" t="s">
        <v>4227</v>
      </c>
      <c r="C4072" s="17">
        <v>19900101</v>
      </c>
      <c r="D4072" s="17">
        <v>22991231</v>
      </c>
      <c r="E4072" s="25">
        <v>1420.59</v>
      </c>
    </row>
    <row r="4073" spans="1:5" ht="26" x14ac:dyDescent="0.3">
      <c r="A4073" s="17" t="str">
        <f>"67440"</f>
        <v>67440</v>
      </c>
      <c r="B4073" s="5" t="s">
        <v>4228</v>
      </c>
      <c r="C4073" s="17">
        <v>19900101</v>
      </c>
      <c r="D4073" s="17">
        <v>22991231</v>
      </c>
      <c r="E4073" s="25">
        <v>1789.09</v>
      </c>
    </row>
    <row r="4074" spans="1:5" ht="26" x14ac:dyDescent="0.3">
      <c r="A4074" s="17" t="str">
        <f>"67445"</f>
        <v>67445</v>
      </c>
      <c r="B4074" s="5" t="s">
        <v>4229</v>
      </c>
      <c r="C4074" s="17">
        <v>19920115</v>
      </c>
      <c r="D4074" s="17">
        <v>22991231</v>
      </c>
      <c r="E4074" s="25">
        <v>1420.59</v>
      </c>
    </row>
    <row r="4075" spans="1:5" x14ac:dyDescent="0.3">
      <c r="A4075" s="17" t="str">
        <f>"67450"</f>
        <v>67450</v>
      </c>
      <c r="B4075" s="5" t="s">
        <v>4230</v>
      </c>
      <c r="C4075" s="17">
        <v>19900101</v>
      </c>
      <c r="D4075" s="17">
        <v>22991231</v>
      </c>
      <c r="E4075" s="25">
        <v>1420.59</v>
      </c>
    </row>
    <row r="4076" spans="1:5" x14ac:dyDescent="0.3">
      <c r="A4076" s="17" t="str">
        <f>"67500"</f>
        <v>67500</v>
      </c>
      <c r="B4076" s="5" t="s">
        <v>4231</v>
      </c>
      <c r="C4076" s="17">
        <v>19900101</v>
      </c>
      <c r="D4076" s="17">
        <v>22991231</v>
      </c>
      <c r="E4076" s="25">
        <v>32.22</v>
      </c>
    </row>
    <row r="4077" spans="1:5" x14ac:dyDescent="0.3">
      <c r="A4077" s="17" t="str">
        <f>"67505"</f>
        <v>67505</v>
      </c>
      <c r="B4077" s="5" t="s">
        <v>4232</v>
      </c>
      <c r="C4077" s="17">
        <v>19900101</v>
      </c>
      <c r="D4077" s="17">
        <v>22991231</v>
      </c>
      <c r="E4077" s="25">
        <v>40.35</v>
      </c>
    </row>
    <row r="4078" spans="1:5" ht="26" x14ac:dyDescent="0.3">
      <c r="A4078" s="17" t="str">
        <f>"67515"</f>
        <v>67515</v>
      </c>
      <c r="B4078" s="5" t="s">
        <v>4233</v>
      </c>
      <c r="C4078" s="17">
        <v>19900101</v>
      </c>
      <c r="D4078" s="17">
        <v>22991231</v>
      </c>
      <c r="E4078" s="25">
        <v>22.52</v>
      </c>
    </row>
    <row r="4079" spans="1:5" ht="26" x14ac:dyDescent="0.3">
      <c r="A4079" s="17" t="str">
        <f>"67516"</f>
        <v>67516</v>
      </c>
      <c r="B4079" s="5" t="s">
        <v>4234</v>
      </c>
      <c r="C4079" s="17">
        <v>20240101</v>
      </c>
      <c r="D4079" s="17">
        <v>22991231</v>
      </c>
      <c r="E4079" s="25">
        <v>60.37</v>
      </c>
    </row>
    <row r="4080" spans="1:5" x14ac:dyDescent="0.3">
      <c r="A4080" s="17" t="str">
        <f>"67550"</f>
        <v>67550</v>
      </c>
      <c r="B4080" s="5" t="s">
        <v>4235</v>
      </c>
      <c r="C4080" s="17">
        <v>19900101</v>
      </c>
      <c r="D4080" s="17">
        <v>22991231</v>
      </c>
      <c r="E4080" s="25">
        <v>1420.59</v>
      </c>
    </row>
    <row r="4081" spans="1:5" ht="26" x14ac:dyDescent="0.3">
      <c r="A4081" s="17" t="str">
        <f>"67560"</f>
        <v>67560</v>
      </c>
      <c r="B4081" s="5" t="s">
        <v>4236</v>
      </c>
      <c r="C4081" s="17">
        <v>19900101</v>
      </c>
      <c r="D4081" s="17">
        <v>22991231</v>
      </c>
      <c r="E4081" s="25">
        <v>1420.59</v>
      </c>
    </row>
    <row r="4082" spans="1:5" x14ac:dyDescent="0.3">
      <c r="A4082" s="17" t="str">
        <f>"67570"</f>
        <v>67570</v>
      </c>
      <c r="B4082" s="5" t="s">
        <v>4237</v>
      </c>
      <c r="C4082" s="17">
        <v>19920115</v>
      </c>
      <c r="D4082" s="17">
        <v>22991231</v>
      </c>
      <c r="E4082" s="25">
        <v>1420.59</v>
      </c>
    </row>
    <row r="4083" spans="1:5" x14ac:dyDescent="0.3">
      <c r="A4083" s="17" t="str">
        <f>"67700"</f>
        <v>67700</v>
      </c>
      <c r="B4083" s="5" t="s">
        <v>4238</v>
      </c>
      <c r="C4083" s="17">
        <v>19900101</v>
      </c>
      <c r="D4083" s="17">
        <v>22991231</v>
      </c>
      <c r="E4083" s="25">
        <v>144.33000000000001</v>
      </c>
    </row>
    <row r="4084" spans="1:5" ht="26" x14ac:dyDescent="0.3">
      <c r="A4084" s="17" t="str">
        <f>"67710"</f>
        <v>67710</v>
      </c>
      <c r="B4084" s="5" t="s">
        <v>4239</v>
      </c>
      <c r="C4084" s="17">
        <v>19900101</v>
      </c>
      <c r="D4084" s="17">
        <v>22991231</v>
      </c>
      <c r="E4084" s="25">
        <v>190.47</v>
      </c>
    </row>
    <row r="4085" spans="1:5" x14ac:dyDescent="0.3">
      <c r="A4085" s="17" t="str">
        <f>"67715"</f>
        <v>67715</v>
      </c>
      <c r="B4085" s="5" t="s">
        <v>4240</v>
      </c>
      <c r="C4085" s="17">
        <v>19900101</v>
      </c>
      <c r="D4085" s="17">
        <v>22991231</v>
      </c>
      <c r="E4085" s="25">
        <v>934.62</v>
      </c>
    </row>
    <row r="4086" spans="1:5" x14ac:dyDescent="0.3">
      <c r="A4086" s="17" t="str">
        <f>"67800"</f>
        <v>67800</v>
      </c>
      <c r="B4086" s="5" t="s">
        <v>4241</v>
      </c>
      <c r="C4086" s="17">
        <v>19900101</v>
      </c>
      <c r="D4086" s="17">
        <v>22991231</v>
      </c>
      <c r="E4086" s="25">
        <v>73.180000000000007</v>
      </c>
    </row>
    <row r="4087" spans="1:5" ht="26" x14ac:dyDescent="0.3">
      <c r="A4087" s="17" t="str">
        <f>"67801"</f>
        <v>67801</v>
      </c>
      <c r="B4087" s="5" t="s">
        <v>4242</v>
      </c>
      <c r="C4087" s="17">
        <v>19900101</v>
      </c>
      <c r="D4087" s="17">
        <v>22991231</v>
      </c>
      <c r="E4087" s="25">
        <v>88.2</v>
      </c>
    </row>
    <row r="4088" spans="1:5" ht="26" x14ac:dyDescent="0.3">
      <c r="A4088" s="17" t="str">
        <f>"67805"</f>
        <v>67805</v>
      </c>
      <c r="B4088" s="5" t="s">
        <v>4243</v>
      </c>
      <c r="C4088" s="17">
        <v>19900101</v>
      </c>
      <c r="D4088" s="17">
        <v>22991231</v>
      </c>
      <c r="E4088" s="25">
        <v>114.16</v>
      </c>
    </row>
    <row r="4089" spans="1:5" ht="26" x14ac:dyDescent="0.3">
      <c r="A4089" s="17" t="str">
        <f>"67808"</f>
        <v>67808</v>
      </c>
      <c r="B4089" s="5" t="s">
        <v>4244</v>
      </c>
      <c r="C4089" s="17">
        <v>19900101</v>
      </c>
      <c r="D4089" s="17">
        <v>22991231</v>
      </c>
      <c r="E4089" s="25">
        <v>934.62</v>
      </c>
    </row>
    <row r="4090" spans="1:5" x14ac:dyDescent="0.3">
      <c r="A4090" s="17" t="str">
        <f>"67810"</f>
        <v>67810</v>
      </c>
      <c r="B4090" s="5" t="s">
        <v>4245</v>
      </c>
      <c r="C4090" s="17">
        <v>19900101</v>
      </c>
      <c r="D4090" s="17">
        <v>22991231</v>
      </c>
      <c r="E4090" s="25">
        <v>131.66999999999999</v>
      </c>
    </row>
    <row r="4091" spans="1:5" x14ac:dyDescent="0.3">
      <c r="A4091" s="17" t="str">
        <f>"67820"</f>
        <v>67820</v>
      </c>
      <c r="B4091" s="5" t="s">
        <v>4246</v>
      </c>
      <c r="C4091" s="17">
        <v>19900101</v>
      </c>
      <c r="D4091" s="17">
        <v>22991231</v>
      </c>
      <c r="E4091" s="25">
        <v>0</v>
      </c>
    </row>
    <row r="4092" spans="1:5" x14ac:dyDescent="0.3">
      <c r="A4092" s="17" t="str">
        <f>"67825"</f>
        <v>67825</v>
      </c>
      <c r="B4092" s="5" t="s">
        <v>4247</v>
      </c>
      <c r="C4092" s="17">
        <v>19900101</v>
      </c>
      <c r="D4092" s="17">
        <v>22991231</v>
      </c>
      <c r="E4092" s="25">
        <v>77.87</v>
      </c>
    </row>
    <row r="4093" spans="1:5" x14ac:dyDescent="0.3">
      <c r="A4093" s="17" t="str">
        <f>"67830"</f>
        <v>67830</v>
      </c>
      <c r="B4093" s="5" t="s">
        <v>4248</v>
      </c>
      <c r="C4093" s="17">
        <v>19900101</v>
      </c>
      <c r="D4093" s="17">
        <v>22991231</v>
      </c>
      <c r="E4093" s="25">
        <v>501.63</v>
      </c>
    </row>
    <row r="4094" spans="1:5" x14ac:dyDescent="0.3">
      <c r="A4094" s="17" t="str">
        <f>"67835"</f>
        <v>67835</v>
      </c>
      <c r="B4094" s="5" t="s">
        <v>4249</v>
      </c>
      <c r="C4094" s="17">
        <v>19900101</v>
      </c>
      <c r="D4094" s="17">
        <v>22991231</v>
      </c>
      <c r="E4094" s="25">
        <v>934.62</v>
      </c>
    </row>
    <row r="4095" spans="1:5" x14ac:dyDescent="0.3">
      <c r="A4095" s="17" t="str">
        <f>"67840"</f>
        <v>67840</v>
      </c>
      <c r="B4095" s="5" t="s">
        <v>4250</v>
      </c>
      <c r="C4095" s="17">
        <v>19900101</v>
      </c>
      <c r="D4095" s="17">
        <v>22991231</v>
      </c>
      <c r="E4095" s="25">
        <v>191.1</v>
      </c>
    </row>
    <row r="4096" spans="1:5" ht="26" x14ac:dyDescent="0.3">
      <c r="A4096" s="17" t="str">
        <f>"67850"</f>
        <v>67850</v>
      </c>
      <c r="B4096" s="5" t="s">
        <v>4251</v>
      </c>
      <c r="C4096" s="17">
        <v>19900101</v>
      </c>
      <c r="D4096" s="17">
        <v>22991231</v>
      </c>
      <c r="E4096" s="25">
        <v>142.93</v>
      </c>
    </row>
    <row r="4097" spans="1:5" x14ac:dyDescent="0.3">
      <c r="A4097" s="17" t="str">
        <f>"67875"</f>
        <v>67875</v>
      </c>
      <c r="B4097" s="5" t="s">
        <v>4252</v>
      </c>
      <c r="C4097" s="17">
        <v>19910401</v>
      </c>
      <c r="D4097" s="17">
        <v>22991231</v>
      </c>
      <c r="E4097" s="25">
        <v>501.63</v>
      </c>
    </row>
    <row r="4098" spans="1:5" x14ac:dyDescent="0.3">
      <c r="A4098" s="17" t="str">
        <f>"67880"</f>
        <v>67880</v>
      </c>
      <c r="B4098" s="5" t="s">
        <v>4253</v>
      </c>
      <c r="C4098" s="17">
        <v>19900101</v>
      </c>
      <c r="D4098" s="17">
        <v>22991231</v>
      </c>
      <c r="E4098" s="25">
        <v>934.62</v>
      </c>
    </row>
    <row r="4099" spans="1:5" ht="26" x14ac:dyDescent="0.3">
      <c r="A4099" s="17" t="str">
        <f>"67882"</f>
        <v>67882</v>
      </c>
      <c r="B4099" s="5" t="s">
        <v>4254</v>
      </c>
      <c r="C4099" s="17">
        <v>19900101</v>
      </c>
      <c r="D4099" s="17">
        <v>22991231</v>
      </c>
      <c r="E4099" s="25">
        <v>934.62</v>
      </c>
    </row>
    <row r="4100" spans="1:5" x14ac:dyDescent="0.3">
      <c r="A4100" s="17" t="str">
        <f>"67900"</f>
        <v>67900</v>
      </c>
      <c r="B4100" s="5" t="s">
        <v>4255</v>
      </c>
      <c r="C4100" s="17">
        <v>19990101</v>
      </c>
      <c r="D4100" s="17">
        <v>22991231</v>
      </c>
      <c r="E4100" s="25">
        <v>934.62</v>
      </c>
    </row>
    <row r="4101" spans="1:5" ht="26" x14ac:dyDescent="0.3">
      <c r="A4101" s="17" t="str">
        <f>"67901"</f>
        <v>67901</v>
      </c>
      <c r="B4101" s="5" t="s">
        <v>4256</v>
      </c>
      <c r="C4101" s="17">
        <v>19900101</v>
      </c>
      <c r="D4101" s="17">
        <v>22991231</v>
      </c>
      <c r="E4101" s="25">
        <v>934.62</v>
      </c>
    </row>
    <row r="4102" spans="1:5" ht="26" x14ac:dyDescent="0.3">
      <c r="A4102" s="17" t="str">
        <f>"67902"</f>
        <v>67902</v>
      </c>
      <c r="B4102" s="5" t="s">
        <v>4257</v>
      </c>
      <c r="C4102" s="17">
        <v>19900101</v>
      </c>
      <c r="D4102" s="17">
        <v>22991231</v>
      </c>
      <c r="E4102" s="25">
        <v>1420.59</v>
      </c>
    </row>
    <row r="4103" spans="1:5" ht="26" x14ac:dyDescent="0.3">
      <c r="A4103" s="17" t="str">
        <f>"67903"</f>
        <v>67903</v>
      </c>
      <c r="B4103" s="5" t="s">
        <v>4258</v>
      </c>
      <c r="C4103" s="17">
        <v>19900101</v>
      </c>
      <c r="D4103" s="17">
        <v>22991231</v>
      </c>
      <c r="E4103" s="25">
        <v>934.62</v>
      </c>
    </row>
    <row r="4104" spans="1:5" x14ac:dyDescent="0.3">
      <c r="A4104" s="17" t="str">
        <f>"67904"</f>
        <v>67904</v>
      </c>
      <c r="B4104" s="5" t="s">
        <v>4259</v>
      </c>
      <c r="C4104" s="17">
        <v>19900101</v>
      </c>
      <c r="D4104" s="17">
        <v>22991231</v>
      </c>
      <c r="E4104" s="25">
        <v>934.62</v>
      </c>
    </row>
    <row r="4105" spans="1:5" ht="26" x14ac:dyDescent="0.3">
      <c r="A4105" s="17" t="str">
        <f>"67906"</f>
        <v>67906</v>
      </c>
      <c r="B4105" s="5" t="s">
        <v>4260</v>
      </c>
      <c r="C4105" s="17">
        <v>19900101</v>
      </c>
      <c r="D4105" s="17">
        <v>22991231</v>
      </c>
      <c r="E4105" s="25">
        <v>1420.59</v>
      </c>
    </row>
    <row r="4106" spans="1:5" ht="26" x14ac:dyDescent="0.3">
      <c r="A4106" s="17" t="str">
        <f>"67908"</f>
        <v>67908</v>
      </c>
      <c r="B4106" s="5" t="s">
        <v>4261</v>
      </c>
      <c r="C4106" s="17">
        <v>19900101</v>
      </c>
      <c r="D4106" s="17">
        <v>22991231</v>
      </c>
      <c r="E4106" s="25">
        <v>934.62</v>
      </c>
    </row>
    <row r="4107" spans="1:5" ht="26" x14ac:dyDescent="0.3">
      <c r="A4107" s="17" t="str">
        <f>"67909"</f>
        <v>67909</v>
      </c>
      <c r="B4107" s="5" t="s">
        <v>4262</v>
      </c>
      <c r="C4107" s="17">
        <v>19900101</v>
      </c>
      <c r="D4107" s="17">
        <v>22991231</v>
      </c>
      <c r="E4107" s="25">
        <v>934.62</v>
      </c>
    </row>
    <row r="4108" spans="1:5" x14ac:dyDescent="0.3">
      <c r="A4108" s="17" t="str">
        <f>"67911"</f>
        <v>67911</v>
      </c>
      <c r="B4108" s="5" t="s">
        <v>4263</v>
      </c>
      <c r="C4108" s="17">
        <v>19900101</v>
      </c>
      <c r="D4108" s="17">
        <v>22991231</v>
      </c>
      <c r="E4108" s="25">
        <v>934.62</v>
      </c>
    </row>
    <row r="4109" spans="1:5" ht="26" x14ac:dyDescent="0.3">
      <c r="A4109" s="17" t="str">
        <f>"67912"</f>
        <v>67912</v>
      </c>
      <c r="B4109" s="5" t="s">
        <v>4264</v>
      </c>
      <c r="C4109" s="17">
        <v>20051001</v>
      </c>
      <c r="D4109" s="17">
        <v>22991231</v>
      </c>
      <c r="E4109" s="25">
        <v>934.62</v>
      </c>
    </row>
    <row r="4110" spans="1:5" ht="26" x14ac:dyDescent="0.3">
      <c r="A4110" s="17" t="str">
        <f>"67914"</f>
        <v>67914</v>
      </c>
      <c r="B4110" s="5" t="s">
        <v>4265</v>
      </c>
      <c r="C4110" s="17">
        <v>19900101</v>
      </c>
      <c r="D4110" s="17">
        <v>22991231</v>
      </c>
      <c r="E4110" s="25">
        <v>934.62</v>
      </c>
    </row>
    <row r="4111" spans="1:5" ht="26" x14ac:dyDescent="0.3">
      <c r="A4111" s="17" t="str">
        <f>"67915"</f>
        <v>67915</v>
      </c>
      <c r="B4111" s="5" t="s">
        <v>4266</v>
      </c>
      <c r="C4111" s="17">
        <v>19900101</v>
      </c>
      <c r="D4111" s="17">
        <v>22991231</v>
      </c>
      <c r="E4111" s="25">
        <v>227.69</v>
      </c>
    </row>
    <row r="4112" spans="1:5" x14ac:dyDescent="0.3">
      <c r="A4112" s="17" t="str">
        <f>"67916"</f>
        <v>67916</v>
      </c>
      <c r="B4112" s="5" t="s">
        <v>4267</v>
      </c>
      <c r="C4112" s="17">
        <v>19900101</v>
      </c>
      <c r="D4112" s="17">
        <v>22991231</v>
      </c>
      <c r="E4112" s="25">
        <v>934.62</v>
      </c>
    </row>
    <row r="4113" spans="1:5" ht="26" x14ac:dyDescent="0.3">
      <c r="A4113" s="17" t="str">
        <f>"67917"</f>
        <v>67917</v>
      </c>
      <c r="B4113" s="5" t="s">
        <v>4268</v>
      </c>
      <c r="C4113" s="17">
        <v>19900101</v>
      </c>
      <c r="D4113" s="17">
        <v>22991231</v>
      </c>
      <c r="E4113" s="25">
        <v>934.62</v>
      </c>
    </row>
    <row r="4114" spans="1:5" x14ac:dyDescent="0.3">
      <c r="A4114" s="17" t="str">
        <f>"67921"</f>
        <v>67921</v>
      </c>
      <c r="B4114" s="5" t="s">
        <v>4269</v>
      </c>
      <c r="C4114" s="17">
        <v>19900101</v>
      </c>
      <c r="D4114" s="17">
        <v>22991231</v>
      </c>
      <c r="E4114" s="25">
        <v>934.62</v>
      </c>
    </row>
    <row r="4115" spans="1:5" ht="26" x14ac:dyDescent="0.3">
      <c r="A4115" s="17" t="str">
        <f>"67922"</f>
        <v>67922</v>
      </c>
      <c r="B4115" s="5" t="s">
        <v>4270</v>
      </c>
      <c r="C4115" s="17">
        <v>19900101</v>
      </c>
      <c r="D4115" s="17">
        <v>22991231</v>
      </c>
      <c r="E4115" s="25">
        <v>219.25</v>
      </c>
    </row>
    <row r="4116" spans="1:5" x14ac:dyDescent="0.3">
      <c r="A4116" s="17" t="str">
        <f>"67923"</f>
        <v>67923</v>
      </c>
      <c r="B4116" s="5" t="s">
        <v>4271</v>
      </c>
      <c r="C4116" s="17">
        <v>19900101</v>
      </c>
      <c r="D4116" s="17">
        <v>22991231</v>
      </c>
      <c r="E4116" s="25">
        <v>934.62</v>
      </c>
    </row>
    <row r="4117" spans="1:5" x14ac:dyDescent="0.3">
      <c r="A4117" s="17" t="str">
        <f>"67924"</f>
        <v>67924</v>
      </c>
      <c r="B4117" s="5" t="s">
        <v>4272</v>
      </c>
      <c r="C4117" s="17">
        <v>19900101</v>
      </c>
      <c r="D4117" s="17">
        <v>22991231</v>
      </c>
      <c r="E4117" s="25">
        <v>934.62</v>
      </c>
    </row>
    <row r="4118" spans="1:5" x14ac:dyDescent="0.3">
      <c r="A4118" s="17" t="str">
        <f>"67930"</f>
        <v>67930</v>
      </c>
      <c r="B4118" s="5" t="s">
        <v>4273</v>
      </c>
      <c r="C4118" s="17">
        <v>19900101</v>
      </c>
      <c r="D4118" s="17">
        <v>22991231</v>
      </c>
      <c r="E4118" s="25">
        <v>223</v>
      </c>
    </row>
    <row r="4119" spans="1:5" x14ac:dyDescent="0.3">
      <c r="A4119" s="17" t="str">
        <f>"67935"</f>
        <v>67935</v>
      </c>
      <c r="B4119" s="5" t="s">
        <v>4274</v>
      </c>
      <c r="C4119" s="17">
        <v>19900101</v>
      </c>
      <c r="D4119" s="17">
        <v>22991231</v>
      </c>
      <c r="E4119" s="25">
        <v>934.62</v>
      </c>
    </row>
    <row r="4120" spans="1:5" x14ac:dyDescent="0.3">
      <c r="A4120" s="17" t="str">
        <f>"67938"</f>
        <v>67938</v>
      </c>
      <c r="B4120" s="5" t="s">
        <v>4275</v>
      </c>
      <c r="C4120" s="17">
        <v>19900101</v>
      </c>
      <c r="D4120" s="17">
        <v>22991231</v>
      </c>
      <c r="E4120" s="25">
        <v>144.33000000000001</v>
      </c>
    </row>
    <row r="4121" spans="1:5" x14ac:dyDescent="0.3">
      <c r="A4121" s="17" t="str">
        <f>"67950"</f>
        <v>67950</v>
      </c>
      <c r="B4121" s="5" t="s">
        <v>4276</v>
      </c>
      <c r="C4121" s="17">
        <v>19900101</v>
      </c>
      <c r="D4121" s="17">
        <v>22991231</v>
      </c>
      <c r="E4121" s="25">
        <v>934.62</v>
      </c>
    </row>
    <row r="4122" spans="1:5" ht="26" x14ac:dyDescent="0.3">
      <c r="A4122" s="17" t="str">
        <f>"67961"</f>
        <v>67961</v>
      </c>
      <c r="B4122" s="5" t="s">
        <v>4277</v>
      </c>
      <c r="C4122" s="17">
        <v>19900101</v>
      </c>
      <c r="D4122" s="17">
        <v>22991231</v>
      </c>
      <c r="E4122" s="25">
        <v>934.62</v>
      </c>
    </row>
    <row r="4123" spans="1:5" ht="26" x14ac:dyDescent="0.3">
      <c r="A4123" s="17" t="str">
        <f>"67966"</f>
        <v>67966</v>
      </c>
      <c r="B4123" s="5" t="s">
        <v>4278</v>
      </c>
      <c r="C4123" s="17">
        <v>19900101</v>
      </c>
      <c r="D4123" s="17">
        <v>22991231</v>
      </c>
      <c r="E4123" s="25">
        <v>934.62</v>
      </c>
    </row>
    <row r="4124" spans="1:5" ht="26" x14ac:dyDescent="0.3">
      <c r="A4124" s="17" t="str">
        <f>"67971"</f>
        <v>67971</v>
      </c>
      <c r="B4124" s="5" t="s">
        <v>4279</v>
      </c>
      <c r="C4124" s="17">
        <v>19900101</v>
      </c>
      <c r="D4124" s="17">
        <v>22991231</v>
      </c>
      <c r="E4124" s="25">
        <v>934.62</v>
      </c>
    </row>
    <row r="4125" spans="1:5" ht="26" x14ac:dyDescent="0.3">
      <c r="A4125" s="17" t="str">
        <f>"67973"</f>
        <v>67973</v>
      </c>
      <c r="B4125" s="5" t="s">
        <v>4280</v>
      </c>
      <c r="C4125" s="17">
        <v>19900101</v>
      </c>
      <c r="D4125" s="17">
        <v>22991231</v>
      </c>
      <c r="E4125" s="25">
        <v>934.62</v>
      </c>
    </row>
    <row r="4126" spans="1:5" ht="26" x14ac:dyDescent="0.3">
      <c r="A4126" s="17" t="str">
        <f>"67974"</f>
        <v>67974</v>
      </c>
      <c r="B4126" s="5" t="s">
        <v>4281</v>
      </c>
      <c r="C4126" s="17">
        <v>19900101</v>
      </c>
      <c r="D4126" s="17">
        <v>22991231</v>
      </c>
      <c r="E4126" s="25">
        <v>1420.59</v>
      </c>
    </row>
    <row r="4127" spans="1:5" ht="26" x14ac:dyDescent="0.3">
      <c r="A4127" s="17" t="str">
        <f>"67975"</f>
        <v>67975</v>
      </c>
      <c r="B4127" s="5" t="s">
        <v>4282</v>
      </c>
      <c r="C4127" s="17">
        <v>19900101</v>
      </c>
      <c r="D4127" s="17">
        <v>22991231</v>
      </c>
      <c r="E4127" s="25">
        <v>934.62</v>
      </c>
    </row>
    <row r="4128" spans="1:5" x14ac:dyDescent="0.3">
      <c r="A4128" s="17" t="str">
        <f>"68020"</f>
        <v>68020</v>
      </c>
      <c r="B4128" s="5" t="s">
        <v>4283</v>
      </c>
      <c r="C4128" s="17">
        <v>19900101</v>
      </c>
      <c r="D4128" s="17">
        <v>22991231</v>
      </c>
      <c r="E4128" s="25">
        <v>65.989999999999995</v>
      </c>
    </row>
    <row r="4129" spans="1:5" ht="26" x14ac:dyDescent="0.3">
      <c r="A4129" s="17" t="str">
        <f>"68040"</f>
        <v>68040</v>
      </c>
      <c r="B4129" s="5" t="s">
        <v>4284</v>
      </c>
      <c r="C4129" s="17">
        <v>19900101</v>
      </c>
      <c r="D4129" s="17">
        <v>22991231</v>
      </c>
      <c r="E4129" s="25">
        <v>30.34</v>
      </c>
    </row>
    <row r="4130" spans="1:5" x14ac:dyDescent="0.3">
      <c r="A4130" s="17" t="str">
        <f>"68100"</f>
        <v>68100</v>
      </c>
      <c r="B4130" s="5" t="s">
        <v>4285</v>
      </c>
      <c r="C4130" s="17">
        <v>19900101</v>
      </c>
      <c r="D4130" s="17">
        <v>22991231</v>
      </c>
      <c r="E4130" s="25">
        <v>122.29</v>
      </c>
    </row>
    <row r="4131" spans="1:5" ht="26" x14ac:dyDescent="0.3">
      <c r="A4131" s="17" t="str">
        <f>"68110"</f>
        <v>68110</v>
      </c>
      <c r="B4131" s="5" t="s">
        <v>4286</v>
      </c>
      <c r="C4131" s="17">
        <v>19900101</v>
      </c>
      <c r="D4131" s="17">
        <v>22991231</v>
      </c>
      <c r="E4131" s="25">
        <v>159.82</v>
      </c>
    </row>
    <row r="4132" spans="1:5" ht="26" x14ac:dyDescent="0.3">
      <c r="A4132" s="17" t="str">
        <f>"68115"</f>
        <v>68115</v>
      </c>
      <c r="B4132" s="5" t="s">
        <v>4287</v>
      </c>
      <c r="C4132" s="17">
        <v>19900101</v>
      </c>
      <c r="D4132" s="17">
        <v>22991231</v>
      </c>
      <c r="E4132" s="25">
        <v>934.62</v>
      </c>
    </row>
    <row r="4133" spans="1:5" x14ac:dyDescent="0.3">
      <c r="A4133" s="17" t="str">
        <f>"68130"</f>
        <v>68130</v>
      </c>
      <c r="B4133" s="5" t="s">
        <v>4288</v>
      </c>
      <c r="C4133" s="17">
        <v>19900101</v>
      </c>
      <c r="D4133" s="17">
        <v>22991231</v>
      </c>
      <c r="E4133" s="25">
        <v>934.62</v>
      </c>
    </row>
    <row r="4134" spans="1:5" x14ac:dyDescent="0.3">
      <c r="A4134" s="17" t="str">
        <f>"68135"</f>
        <v>68135</v>
      </c>
      <c r="B4134" s="5" t="s">
        <v>4289</v>
      </c>
      <c r="C4134" s="17">
        <v>19900101</v>
      </c>
      <c r="D4134" s="17">
        <v>22991231</v>
      </c>
      <c r="E4134" s="25">
        <v>83.51</v>
      </c>
    </row>
    <row r="4135" spans="1:5" x14ac:dyDescent="0.3">
      <c r="A4135" s="17" t="str">
        <f>"68200"</f>
        <v>68200</v>
      </c>
      <c r="B4135" s="5" t="s">
        <v>4290</v>
      </c>
      <c r="C4135" s="17">
        <v>19900101</v>
      </c>
      <c r="D4135" s="17">
        <v>22991231</v>
      </c>
      <c r="E4135" s="25">
        <v>0</v>
      </c>
    </row>
    <row r="4136" spans="1:5" ht="26" x14ac:dyDescent="0.3">
      <c r="A4136" s="17" t="str">
        <f>"68320"</f>
        <v>68320</v>
      </c>
      <c r="B4136" s="5" t="s">
        <v>4291</v>
      </c>
      <c r="C4136" s="17">
        <v>19900101</v>
      </c>
      <c r="D4136" s="17">
        <v>22991231</v>
      </c>
      <c r="E4136" s="25">
        <v>934.62</v>
      </c>
    </row>
    <row r="4137" spans="1:5" ht="26" x14ac:dyDescent="0.3">
      <c r="A4137" s="17" t="str">
        <f>"68325"</f>
        <v>68325</v>
      </c>
      <c r="B4137" s="5" t="s">
        <v>4292</v>
      </c>
      <c r="C4137" s="17">
        <v>19900101</v>
      </c>
      <c r="D4137" s="17">
        <v>22991231</v>
      </c>
      <c r="E4137" s="25">
        <v>1420.59</v>
      </c>
    </row>
    <row r="4138" spans="1:5" ht="26" x14ac:dyDescent="0.3">
      <c r="A4138" s="17" t="str">
        <f>"68326"</f>
        <v>68326</v>
      </c>
      <c r="B4138" s="5" t="s">
        <v>4293</v>
      </c>
      <c r="C4138" s="17">
        <v>19900101</v>
      </c>
      <c r="D4138" s="17">
        <v>22991231</v>
      </c>
      <c r="E4138" s="25">
        <v>1420.59</v>
      </c>
    </row>
    <row r="4139" spans="1:5" ht="26" x14ac:dyDescent="0.3">
      <c r="A4139" s="17" t="str">
        <f>"68328"</f>
        <v>68328</v>
      </c>
      <c r="B4139" s="5" t="s">
        <v>4294</v>
      </c>
      <c r="C4139" s="17">
        <v>19900101</v>
      </c>
      <c r="D4139" s="17">
        <v>22991231</v>
      </c>
      <c r="E4139" s="25">
        <v>934.62</v>
      </c>
    </row>
    <row r="4140" spans="1:5" x14ac:dyDescent="0.3">
      <c r="A4140" s="17" t="str">
        <f>"68330"</f>
        <v>68330</v>
      </c>
      <c r="B4140" s="5" t="s">
        <v>4295</v>
      </c>
      <c r="C4140" s="17">
        <v>19900101</v>
      </c>
      <c r="D4140" s="17">
        <v>22991231</v>
      </c>
      <c r="E4140" s="25">
        <v>1130.6099999999999</v>
      </c>
    </row>
    <row r="4141" spans="1:5" x14ac:dyDescent="0.3">
      <c r="A4141" s="17" t="str">
        <f>"68335"</f>
        <v>68335</v>
      </c>
      <c r="B4141" s="5" t="s">
        <v>4296</v>
      </c>
      <c r="C4141" s="17">
        <v>19900101</v>
      </c>
      <c r="D4141" s="17">
        <v>22991231</v>
      </c>
      <c r="E4141" s="25">
        <v>1420.59</v>
      </c>
    </row>
    <row r="4142" spans="1:5" x14ac:dyDescent="0.3">
      <c r="A4142" s="17" t="str">
        <f>"68340"</f>
        <v>68340</v>
      </c>
      <c r="B4142" s="5" t="s">
        <v>4297</v>
      </c>
      <c r="C4142" s="17">
        <v>19900101</v>
      </c>
      <c r="D4142" s="17">
        <v>22991231</v>
      </c>
      <c r="E4142" s="25">
        <v>934.62</v>
      </c>
    </row>
    <row r="4143" spans="1:5" x14ac:dyDescent="0.3">
      <c r="A4143" s="17" t="str">
        <f>"68360"</f>
        <v>68360</v>
      </c>
      <c r="B4143" s="5" t="s">
        <v>4298</v>
      </c>
      <c r="C4143" s="17">
        <v>19900101</v>
      </c>
      <c r="D4143" s="17">
        <v>22991231</v>
      </c>
      <c r="E4143" s="25">
        <v>1420.59</v>
      </c>
    </row>
    <row r="4144" spans="1:5" x14ac:dyDescent="0.3">
      <c r="A4144" s="17" t="str">
        <f>"68362"</f>
        <v>68362</v>
      </c>
      <c r="B4144" s="5" t="s">
        <v>4299</v>
      </c>
      <c r="C4144" s="17">
        <v>19900101</v>
      </c>
      <c r="D4144" s="17">
        <v>22991231</v>
      </c>
      <c r="E4144" s="25">
        <v>934.62</v>
      </c>
    </row>
    <row r="4145" spans="1:5" x14ac:dyDescent="0.3">
      <c r="A4145" s="17" t="str">
        <f>"68371"</f>
        <v>68371</v>
      </c>
      <c r="B4145" s="5" t="s">
        <v>4300</v>
      </c>
      <c r="C4145" s="17">
        <v>20051001</v>
      </c>
      <c r="D4145" s="17">
        <v>22991231</v>
      </c>
      <c r="E4145" s="25">
        <v>934.62</v>
      </c>
    </row>
    <row r="4146" spans="1:5" x14ac:dyDescent="0.3">
      <c r="A4146" s="17" t="str">
        <f>"68399"</f>
        <v>68399</v>
      </c>
      <c r="B4146" s="5" t="s">
        <v>4301</v>
      </c>
      <c r="C4146" s="17">
        <v>19900101</v>
      </c>
      <c r="D4146" s="17">
        <v>22991231</v>
      </c>
      <c r="E4146" s="24" t="s">
        <v>7128</v>
      </c>
    </row>
    <row r="4147" spans="1:5" x14ac:dyDescent="0.3">
      <c r="A4147" s="17" t="str">
        <f>"68400"</f>
        <v>68400</v>
      </c>
      <c r="B4147" s="5" t="s">
        <v>4302</v>
      </c>
      <c r="C4147" s="17">
        <v>19900101</v>
      </c>
      <c r="D4147" s="17">
        <v>22991231</v>
      </c>
      <c r="E4147" s="25">
        <v>218.93</v>
      </c>
    </row>
    <row r="4148" spans="1:5" x14ac:dyDescent="0.3">
      <c r="A4148" s="17" t="str">
        <f>"68420"</f>
        <v>68420</v>
      </c>
      <c r="B4148" s="5" t="s">
        <v>4303</v>
      </c>
      <c r="C4148" s="17">
        <v>19900101</v>
      </c>
      <c r="D4148" s="17">
        <v>22991231</v>
      </c>
      <c r="E4148" s="25">
        <v>230.19</v>
      </c>
    </row>
    <row r="4149" spans="1:5" x14ac:dyDescent="0.3">
      <c r="A4149" s="17" t="str">
        <f>"68440"</f>
        <v>68440</v>
      </c>
      <c r="B4149" s="5" t="s">
        <v>4304</v>
      </c>
      <c r="C4149" s="17">
        <v>19900101</v>
      </c>
      <c r="D4149" s="17">
        <v>22991231</v>
      </c>
      <c r="E4149" s="25">
        <v>64.739999999999995</v>
      </c>
    </row>
    <row r="4150" spans="1:5" x14ac:dyDescent="0.3">
      <c r="A4150" s="17" t="str">
        <f>"68500"</f>
        <v>68500</v>
      </c>
      <c r="B4150" s="5" t="s">
        <v>4305</v>
      </c>
      <c r="C4150" s="17">
        <v>19900101</v>
      </c>
      <c r="D4150" s="17">
        <v>22991231</v>
      </c>
      <c r="E4150" s="25">
        <v>1420.59</v>
      </c>
    </row>
    <row r="4151" spans="1:5" x14ac:dyDescent="0.3">
      <c r="A4151" s="17" t="str">
        <f>"68505"</f>
        <v>68505</v>
      </c>
      <c r="B4151" s="5" t="s">
        <v>4306</v>
      </c>
      <c r="C4151" s="17">
        <v>19900101</v>
      </c>
      <c r="D4151" s="17">
        <v>22991231</v>
      </c>
      <c r="E4151" s="25">
        <v>1420.59</v>
      </c>
    </row>
    <row r="4152" spans="1:5" x14ac:dyDescent="0.3">
      <c r="A4152" s="17" t="str">
        <f>"68510"</f>
        <v>68510</v>
      </c>
      <c r="B4152" s="5" t="s">
        <v>4307</v>
      </c>
      <c r="C4152" s="17">
        <v>19900101</v>
      </c>
      <c r="D4152" s="17">
        <v>22991231</v>
      </c>
      <c r="E4152" s="25">
        <v>934.62</v>
      </c>
    </row>
    <row r="4153" spans="1:5" x14ac:dyDescent="0.3">
      <c r="A4153" s="17" t="str">
        <f>"68520"</f>
        <v>68520</v>
      </c>
      <c r="B4153" s="5" t="s">
        <v>4308</v>
      </c>
      <c r="C4153" s="17">
        <v>19900101</v>
      </c>
      <c r="D4153" s="17">
        <v>22991231</v>
      </c>
      <c r="E4153" s="25">
        <v>1420.59</v>
      </c>
    </row>
    <row r="4154" spans="1:5" x14ac:dyDescent="0.3">
      <c r="A4154" s="17" t="str">
        <f>"68525"</f>
        <v>68525</v>
      </c>
      <c r="B4154" s="5" t="s">
        <v>4309</v>
      </c>
      <c r="C4154" s="17">
        <v>19900101</v>
      </c>
      <c r="D4154" s="17">
        <v>22991231</v>
      </c>
      <c r="E4154" s="25">
        <v>934.62</v>
      </c>
    </row>
    <row r="4155" spans="1:5" ht="26" x14ac:dyDescent="0.3">
      <c r="A4155" s="17" t="str">
        <f>"68530"</f>
        <v>68530</v>
      </c>
      <c r="B4155" s="5" t="s">
        <v>4310</v>
      </c>
      <c r="C4155" s="17">
        <v>19900101</v>
      </c>
      <c r="D4155" s="17">
        <v>22991231</v>
      </c>
      <c r="E4155" s="25">
        <v>144.33000000000001</v>
      </c>
    </row>
    <row r="4156" spans="1:5" x14ac:dyDescent="0.3">
      <c r="A4156" s="17" t="str">
        <f>"68540"</f>
        <v>68540</v>
      </c>
      <c r="B4156" s="5" t="s">
        <v>4311</v>
      </c>
      <c r="C4156" s="17">
        <v>19900101</v>
      </c>
      <c r="D4156" s="17">
        <v>22991231</v>
      </c>
      <c r="E4156" s="25">
        <v>934.62</v>
      </c>
    </row>
    <row r="4157" spans="1:5" ht="26" x14ac:dyDescent="0.3">
      <c r="A4157" s="17" t="str">
        <f>"68550"</f>
        <v>68550</v>
      </c>
      <c r="B4157" s="5" t="s">
        <v>4312</v>
      </c>
      <c r="C4157" s="17">
        <v>19900101</v>
      </c>
      <c r="D4157" s="17">
        <v>22991231</v>
      </c>
      <c r="E4157" s="25">
        <v>1420.59</v>
      </c>
    </row>
    <row r="4158" spans="1:5" x14ac:dyDescent="0.3">
      <c r="A4158" s="17" t="str">
        <f>"68700"</f>
        <v>68700</v>
      </c>
      <c r="B4158" s="5" t="s">
        <v>4313</v>
      </c>
      <c r="C4158" s="17">
        <v>19900101</v>
      </c>
      <c r="D4158" s="17">
        <v>22991231</v>
      </c>
      <c r="E4158" s="25">
        <v>934.62</v>
      </c>
    </row>
    <row r="4159" spans="1:5" x14ac:dyDescent="0.3">
      <c r="A4159" s="17" t="str">
        <f>"68705"</f>
        <v>68705</v>
      </c>
      <c r="B4159" s="5" t="s">
        <v>4314</v>
      </c>
      <c r="C4159" s="17">
        <v>19900101</v>
      </c>
      <c r="D4159" s="17">
        <v>22991231</v>
      </c>
      <c r="E4159" s="25">
        <v>144.33000000000001</v>
      </c>
    </row>
    <row r="4160" spans="1:5" ht="26" x14ac:dyDescent="0.3">
      <c r="A4160" s="17" t="str">
        <f>"68720"</f>
        <v>68720</v>
      </c>
      <c r="B4160" s="5" t="s">
        <v>4315</v>
      </c>
      <c r="C4160" s="17">
        <v>19900101</v>
      </c>
      <c r="D4160" s="17">
        <v>22991231</v>
      </c>
      <c r="E4160" s="25">
        <v>1420.59</v>
      </c>
    </row>
    <row r="4161" spans="1:5" x14ac:dyDescent="0.3">
      <c r="A4161" s="17" t="str">
        <f>"68745"</f>
        <v>68745</v>
      </c>
      <c r="B4161" s="5" t="s">
        <v>4316</v>
      </c>
      <c r="C4161" s="17">
        <v>19900101</v>
      </c>
      <c r="D4161" s="17">
        <v>22991231</v>
      </c>
      <c r="E4161" s="25">
        <v>1420.59</v>
      </c>
    </row>
    <row r="4162" spans="1:5" ht="26" x14ac:dyDescent="0.3">
      <c r="A4162" s="17" t="str">
        <f>"68750"</f>
        <v>68750</v>
      </c>
      <c r="B4162" s="5" t="s">
        <v>4317</v>
      </c>
      <c r="C4162" s="17">
        <v>19900101</v>
      </c>
      <c r="D4162" s="17">
        <v>22991231</v>
      </c>
      <c r="E4162" s="25">
        <v>1420.59</v>
      </c>
    </row>
    <row r="4163" spans="1:5" ht="26" x14ac:dyDescent="0.3">
      <c r="A4163" s="17" t="str">
        <f>"68760"</f>
        <v>68760</v>
      </c>
      <c r="B4163" s="5" t="s">
        <v>4318</v>
      </c>
      <c r="C4163" s="17">
        <v>19900101</v>
      </c>
      <c r="D4163" s="17">
        <v>22991231</v>
      </c>
      <c r="E4163" s="25">
        <v>144.33000000000001</v>
      </c>
    </row>
    <row r="4164" spans="1:5" x14ac:dyDescent="0.3">
      <c r="A4164" s="17" t="str">
        <f>"68761"</f>
        <v>68761</v>
      </c>
      <c r="B4164" s="5" t="s">
        <v>4319</v>
      </c>
      <c r="C4164" s="17">
        <v>20230101</v>
      </c>
      <c r="D4164" s="17">
        <v>22991231</v>
      </c>
      <c r="E4164" s="25">
        <v>89.76</v>
      </c>
    </row>
    <row r="4165" spans="1:5" x14ac:dyDescent="0.3">
      <c r="A4165" s="17" t="str">
        <f>"68770"</f>
        <v>68770</v>
      </c>
      <c r="B4165" s="5" t="s">
        <v>4320</v>
      </c>
      <c r="C4165" s="17">
        <v>19900101</v>
      </c>
      <c r="D4165" s="17">
        <v>22991231</v>
      </c>
      <c r="E4165" s="25">
        <v>934.62</v>
      </c>
    </row>
    <row r="4166" spans="1:5" x14ac:dyDescent="0.3">
      <c r="A4166" s="17" t="str">
        <f>"68801"</f>
        <v>68801</v>
      </c>
      <c r="B4166" s="5" t="s">
        <v>4321</v>
      </c>
      <c r="C4166" s="17">
        <v>19970101</v>
      </c>
      <c r="D4166" s="17">
        <v>22991231</v>
      </c>
      <c r="E4166" s="25">
        <v>0</v>
      </c>
    </row>
    <row r="4167" spans="1:5" x14ac:dyDescent="0.3">
      <c r="A4167" s="17" t="str">
        <f>"68810"</f>
        <v>68810</v>
      </c>
      <c r="B4167" s="5" t="s">
        <v>4322</v>
      </c>
      <c r="C4167" s="17">
        <v>19970101</v>
      </c>
      <c r="D4167" s="17">
        <v>22991231</v>
      </c>
      <c r="E4167" s="25">
        <v>144.33000000000001</v>
      </c>
    </row>
    <row r="4168" spans="1:5" ht="26" x14ac:dyDescent="0.3">
      <c r="A4168" s="17" t="str">
        <f>"68811"</f>
        <v>68811</v>
      </c>
      <c r="B4168" s="5" t="s">
        <v>4323</v>
      </c>
      <c r="C4168" s="17">
        <v>19970101</v>
      </c>
      <c r="D4168" s="17">
        <v>22991231</v>
      </c>
      <c r="E4168" s="25">
        <v>934.62</v>
      </c>
    </row>
    <row r="4169" spans="1:5" ht="26" x14ac:dyDescent="0.3">
      <c r="A4169" s="17" t="str">
        <f>"68815"</f>
        <v>68815</v>
      </c>
      <c r="B4169" s="5" t="s">
        <v>4324</v>
      </c>
      <c r="C4169" s="17">
        <v>19970101</v>
      </c>
      <c r="D4169" s="17">
        <v>22991231</v>
      </c>
      <c r="E4169" s="25">
        <v>934.62</v>
      </c>
    </row>
    <row r="4170" spans="1:5" ht="26" x14ac:dyDescent="0.3">
      <c r="A4170" s="17" t="str">
        <f>"68816"</f>
        <v>68816</v>
      </c>
      <c r="B4170" s="5" t="s">
        <v>4325</v>
      </c>
      <c r="C4170" s="17">
        <v>20080101</v>
      </c>
      <c r="D4170" s="17">
        <v>22991231</v>
      </c>
      <c r="E4170" s="25">
        <v>1199.98</v>
      </c>
    </row>
    <row r="4171" spans="1:5" x14ac:dyDescent="0.3">
      <c r="A4171" s="17" t="str">
        <f>"68840"</f>
        <v>68840</v>
      </c>
      <c r="B4171" s="5" t="s">
        <v>4326</v>
      </c>
      <c r="C4171" s="17">
        <v>19900101</v>
      </c>
      <c r="D4171" s="17">
        <v>22991231</v>
      </c>
      <c r="E4171" s="25">
        <v>81.010000000000005</v>
      </c>
    </row>
    <row r="4172" spans="1:5" ht="26" x14ac:dyDescent="0.3">
      <c r="A4172" s="17" t="str">
        <f>"68841"</f>
        <v>68841</v>
      </c>
      <c r="B4172" s="5" t="s">
        <v>4327</v>
      </c>
      <c r="C4172" s="17">
        <v>20240101</v>
      </c>
      <c r="D4172" s="17">
        <v>22991231</v>
      </c>
      <c r="E4172" s="25">
        <v>0</v>
      </c>
    </row>
    <row r="4173" spans="1:5" x14ac:dyDescent="0.3">
      <c r="A4173" s="17" t="str">
        <f>"68850"</f>
        <v>68850</v>
      </c>
      <c r="B4173" s="5" t="s">
        <v>4328</v>
      </c>
      <c r="C4173" s="17">
        <v>19900101</v>
      </c>
      <c r="D4173" s="17">
        <v>22991231</v>
      </c>
      <c r="E4173" s="25">
        <v>0</v>
      </c>
    </row>
    <row r="4174" spans="1:5" ht="26" x14ac:dyDescent="0.3">
      <c r="A4174" s="17" t="str">
        <f>"68899"</f>
        <v>68899</v>
      </c>
      <c r="B4174" s="5" t="s">
        <v>4329</v>
      </c>
      <c r="C4174" s="17">
        <v>19900101</v>
      </c>
      <c r="D4174" s="17">
        <v>22991231</v>
      </c>
      <c r="E4174" s="24" t="s">
        <v>7128</v>
      </c>
    </row>
    <row r="4175" spans="1:5" ht="26" x14ac:dyDescent="0.3">
      <c r="A4175" s="17" t="str">
        <f>"69000"</f>
        <v>69000</v>
      </c>
      <c r="B4175" s="5" t="s">
        <v>4330</v>
      </c>
      <c r="C4175" s="17">
        <v>19900101</v>
      </c>
      <c r="D4175" s="17">
        <v>22991231</v>
      </c>
      <c r="E4175" s="25">
        <v>121.66</v>
      </c>
    </row>
    <row r="4176" spans="1:5" ht="26" x14ac:dyDescent="0.3">
      <c r="A4176" s="17" t="str">
        <f>"69005"</f>
        <v>69005</v>
      </c>
      <c r="B4176" s="5" t="s">
        <v>4331</v>
      </c>
      <c r="C4176" s="17">
        <v>19900101</v>
      </c>
      <c r="D4176" s="17">
        <v>22991231</v>
      </c>
      <c r="E4176" s="25">
        <v>129.47999999999999</v>
      </c>
    </row>
    <row r="4177" spans="1:5" x14ac:dyDescent="0.3">
      <c r="A4177" s="17" t="str">
        <f>"69020"</f>
        <v>69020</v>
      </c>
      <c r="B4177" s="5" t="s">
        <v>4332</v>
      </c>
      <c r="C4177" s="17">
        <v>19900101</v>
      </c>
      <c r="D4177" s="17">
        <v>22991231</v>
      </c>
      <c r="E4177" s="25">
        <v>164.51</v>
      </c>
    </row>
    <row r="4178" spans="1:5" x14ac:dyDescent="0.3">
      <c r="A4178" s="17" t="str">
        <f>"69100"</f>
        <v>69100</v>
      </c>
      <c r="B4178" s="5" t="s">
        <v>4333</v>
      </c>
      <c r="C4178" s="17">
        <v>19900101</v>
      </c>
      <c r="D4178" s="17">
        <v>22991231</v>
      </c>
      <c r="E4178" s="25">
        <v>61.62</v>
      </c>
    </row>
    <row r="4179" spans="1:5" x14ac:dyDescent="0.3">
      <c r="A4179" s="17" t="str">
        <f>"69105"</f>
        <v>69105</v>
      </c>
      <c r="B4179" s="5" t="s">
        <v>4334</v>
      </c>
      <c r="C4179" s="17">
        <v>19900101</v>
      </c>
      <c r="D4179" s="17">
        <v>22991231</v>
      </c>
      <c r="E4179" s="25">
        <v>105.72</v>
      </c>
    </row>
    <row r="4180" spans="1:5" ht="26" x14ac:dyDescent="0.3">
      <c r="A4180" s="17" t="str">
        <f>"69110"</f>
        <v>69110</v>
      </c>
      <c r="B4180" s="5" t="s">
        <v>4335</v>
      </c>
      <c r="C4180" s="17">
        <v>19900101</v>
      </c>
      <c r="D4180" s="17">
        <v>22991231</v>
      </c>
      <c r="E4180" s="25">
        <v>1105.24</v>
      </c>
    </row>
    <row r="4181" spans="1:5" x14ac:dyDescent="0.3">
      <c r="A4181" s="17" t="str">
        <f>"69120"</f>
        <v>69120</v>
      </c>
      <c r="B4181" s="5" t="s">
        <v>4336</v>
      </c>
      <c r="C4181" s="17">
        <v>19900101</v>
      </c>
      <c r="D4181" s="17">
        <v>22991231</v>
      </c>
      <c r="E4181" s="25">
        <v>2637</v>
      </c>
    </row>
    <row r="4182" spans="1:5" x14ac:dyDescent="0.3">
      <c r="A4182" s="17" t="str">
        <f>"69140"</f>
        <v>69140</v>
      </c>
      <c r="B4182" s="5" t="s">
        <v>4337</v>
      </c>
      <c r="C4182" s="17">
        <v>19900101</v>
      </c>
      <c r="D4182" s="17">
        <v>22991231</v>
      </c>
      <c r="E4182" s="25">
        <v>2637</v>
      </c>
    </row>
    <row r="4183" spans="1:5" x14ac:dyDescent="0.3">
      <c r="A4183" s="17" t="str">
        <f>"69145"</f>
        <v>69145</v>
      </c>
      <c r="B4183" s="5" t="s">
        <v>4338</v>
      </c>
      <c r="C4183" s="17">
        <v>19900101</v>
      </c>
      <c r="D4183" s="17">
        <v>22991231</v>
      </c>
      <c r="E4183" s="25">
        <v>1105.24</v>
      </c>
    </row>
    <row r="4184" spans="1:5" x14ac:dyDescent="0.3">
      <c r="A4184" s="17" t="str">
        <f>"69150"</f>
        <v>69150</v>
      </c>
      <c r="B4184" s="5" t="s">
        <v>4339</v>
      </c>
      <c r="C4184" s="17">
        <v>19900101</v>
      </c>
      <c r="D4184" s="17">
        <v>22991231</v>
      </c>
      <c r="E4184" s="25">
        <v>2637</v>
      </c>
    </row>
    <row r="4185" spans="1:5" x14ac:dyDescent="0.3">
      <c r="A4185" s="17" t="str">
        <f>"69200"</f>
        <v>69200</v>
      </c>
      <c r="B4185" s="5" t="s">
        <v>4340</v>
      </c>
      <c r="C4185" s="17">
        <v>19900101</v>
      </c>
      <c r="D4185" s="17">
        <v>22991231</v>
      </c>
      <c r="E4185" s="25">
        <v>0</v>
      </c>
    </row>
    <row r="4186" spans="1:5" ht="26" x14ac:dyDescent="0.3">
      <c r="A4186" s="17" t="str">
        <f>"69205"</f>
        <v>69205</v>
      </c>
      <c r="B4186" s="5" t="s">
        <v>4341</v>
      </c>
      <c r="C4186" s="17">
        <v>19900101</v>
      </c>
      <c r="D4186" s="17">
        <v>22991231</v>
      </c>
      <c r="E4186" s="25">
        <v>652.27</v>
      </c>
    </row>
    <row r="4187" spans="1:5" x14ac:dyDescent="0.3">
      <c r="A4187" s="17" t="str">
        <f>"69209"</f>
        <v>69209</v>
      </c>
      <c r="B4187" s="5" t="s">
        <v>4342</v>
      </c>
      <c r="C4187" s="17">
        <v>20230101</v>
      </c>
      <c r="D4187" s="17">
        <v>22991231</v>
      </c>
      <c r="E4187" s="25">
        <v>0</v>
      </c>
    </row>
    <row r="4188" spans="1:5" x14ac:dyDescent="0.3">
      <c r="A4188" s="17" t="str">
        <f>"69210"</f>
        <v>69210</v>
      </c>
      <c r="B4188" s="5" t="s">
        <v>4343</v>
      </c>
      <c r="C4188" s="17">
        <v>19900101</v>
      </c>
      <c r="D4188" s="17">
        <v>22991231</v>
      </c>
      <c r="E4188" s="25">
        <v>0</v>
      </c>
    </row>
    <row r="4189" spans="1:5" ht="26" x14ac:dyDescent="0.3">
      <c r="A4189" s="17" t="str">
        <f>"69220"</f>
        <v>69220</v>
      </c>
      <c r="B4189" s="5" t="s">
        <v>4344</v>
      </c>
      <c r="C4189" s="17">
        <v>19900101</v>
      </c>
      <c r="D4189" s="17">
        <v>22991231</v>
      </c>
      <c r="E4189" s="25">
        <v>0</v>
      </c>
    </row>
    <row r="4190" spans="1:5" ht="26" x14ac:dyDescent="0.3">
      <c r="A4190" s="17" t="str">
        <f>"69222"</f>
        <v>69222</v>
      </c>
      <c r="B4190" s="5" t="s">
        <v>4345</v>
      </c>
      <c r="C4190" s="17">
        <v>19900101</v>
      </c>
      <c r="D4190" s="17">
        <v>22991231</v>
      </c>
      <c r="E4190" s="25">
        <v>152.31</v>
      </c>
    </row>
    <row r="4191" spans="1:5" x14ac:dyDescent="0.3">
      <c r="A4191" s="17" t="str">
        <f>"69300"</f>
        <v>69300</v>
      </c>
      <c r="B4191" s="5" t="s">
        <v>4346</v>
      </c>
      <c r="C4191" s="17">
        <v>19900101</v>
      </c>
      <c r="D4191" s="17">
        <v>22991231</v>
      </c>
      <c r="E4191" s="25">
        <v>1259.74</v>
      </c>
    </row>
    <row r="4192" spans="1:5" x14ac:dyDescent="0.3">
      <c r="A4192" s="17" t="str">
        <f>"69310"</f>
        <v>69310</v>
      </c>
      <c r="B4192" s="5" t="s">
        <v>4347</v>
      </c>
      <c r="C4192" s="17">
        <v>19900101</v>
      </c>
      <c r="D4192" s="17">
        <v>22991231</v>
      </c>
      <c r="E4192" s="25">
        <v>2637</v>
      </c>
    </row>
    <row r="4193" spans="1:5" x14ac:dyDescent="0.3">
      <c r="A4193" s="17" t="str">
        <f>"69320"</f>
        <v>69320</v>
      </c>
      <c r="B4193" s="5" t="s">
        <v>4348</v>
      </c>
      <c r="C4193" s="17">
        <v>19900101</v>
      </c>
      <c r="D4193" s="17">
        <v>22991231</v>
      </c>
      <c r="E4193" s="25">
        <v>2637</v>
      </c>
    </row>
    <row r="4194" spans="1:5" x14ac:dyDescent="0.3">
      <c r="A4194" s="17" t="str">
        <f>"69399"</f>
        <v>69399</v>
      </c>
      <c r="B4194" s="5" t="s">
        <v>4349</v>
      </c>
      <c r="C4194" s="17">
        <v>19900101</v>
      </c>
      <c r="D4194" s="17">
        <v>22991231</v>
      </c>
      <c r="E4194" s="24" t="s">
        <v>7128</v>
      </c>
    </row>
    <row r="4195" spans="1:5" x14ac:dyDescent="0.3">
      <c r="A4195" s="17" t="str">
        <f>"69420"</f>
        <v>69420</v>
      </c>
      <c r="B4195" s="5" t="s">
        <v>4350</v>
      </c>
      <c r="C4195" s="17">
        <v>19900101</v>
      </c>
      <c r="D4195" s="17">
        <v>22991231</v>
      </c>
      <c r="E4195" s="25">
        <v>121.03</v>
      </c>
    </row>
    <row r="4196" spans="1:5" ht="26" x14ac:dyDescent="0.3">
      <c r="A4196" s="17" t="str">
        <f>"69421"</f>
        <v>69421</v>
      </c>
      <c r="B4196" s="5" t="s">
        <v>4351</v>
      </c>
      <c r="C4196" s="17">
        <v>19900101</v>
      </c>
      <c r="D4196" s="17">
        <v>22991231</v>
      </c>
      <c r="E4196" s="25">
        <v>1259.74</v>
      </c>
    </row>
    <row r="4197" spans="1:5" ht="26" x14ac:dyDescent="0.3">
      <c r="A4197" s="17" t="str">
        <f>"69424"</f>
        <v>69424</v>
      </c>
      <c r="B4197" s="5" t="s">
        <v>4352</v>
      </c>
      <c r="C4197" s="17">
        <v>19900101</v>
      </c>
      <c r="D4197" s="17">
        <v>22991231</v>
      </c>
      <c r="E4197" s="25">
        <v>90.39</v>
      </c>
    </row>
    <row r="4198" spans="1:5" ht="26" x14ac:dyDescent="0.3">
      <c r="A4198" s="17" t="str">
        <f>"69433"</f>
        <v>69433</v>
      </c>
      <c r="B4198" s="5" t="s">
        <v>4353</v>
      </c>
      <c r="C4198" s="17">
        <v>19900101</v>
      </c>
      <c r="D4198" s="17">
        <v>22991231</v>
      </c>
      <c r="E4198" s="25">
        <v>134.80000000000001</v>
      </c>
    </row>
    <row r="4199" spans="1:5" ht="26" x14ac:dyDescent="0.3">
      <c r="A4199" s="17" t="str">
        <f>"69436"</f>
        <v>69436</v>
      </c>
      <c r="B4199" s="5" t="s">
        <v>4354</v>
      </c>
      <c r="C4199" s="17">
        <v>19900101</v>
      </c>
      <c r="D4199" s="17">
        <v>22991231</v>
      </c>
      <c r="E4199" s="25">
        <v>636.91999999999996</v>
      </c>
    </row>
    <row r="4200" spans="1:5" x14ac:dyDescent="0.3">
      <c r="A4200" s="17" t="str">
        <f>"69440"</f>
        <v>69440</v>
      </c>
      <c r="B4200" s="5" t="s">
        <v>4355</v>
      </c>
      <c r="C4200" s="17">
        <v>19900101</v>
      </c>
      <c r="D4200" s="17">
        <v>22991231</v>
      </c>
      <c r="E4200" s="25">
        <v>1259.74</v>
      </c>
    </row>
    <row r="4201" spans="1:5" x14ac:dyDescent="0.3">
      <c r="A4201" s="17" t="str">
        <f>"69450"</f>
        <v>69450</v>
      </c>
      <c r="B4201" s="5" t="s">
        <v>4356</v>
      </c>
      <c r="C4201" s="17">
        <v>19900101</v>
      </c>
      <c r="D4201" s="17">
        <v>22991231</v>
      </c>
      <c r="E4201" s="25">
        <v>1259.74</v>
      </c>
    </row>
    <row r="4202" spans="1:5" x14ac:dyDescent="0.3">
      <c r="A4202" s="17" t="str">
        <f>"69501"</f>
        <v>69501</v>
      </c>
      <c r="B4202" s="5" t="s">
        <v>4357</v>
      </c>
      <c r="C4202" s="17">
        <v>19900101</v>
      </c>
      <c r="D4202" s="17">
        <v>22991231</v>
      </c>
      <c r="E4202" s="25">
        <v>2637</v>
      </c>
    </row>
    <row r="4203" spans="1:5" x14ac:dyDescent="0.3">
      <c r="A4203" s="17" t="str">
        <f>"69502"</f>
        <v>69502</v>
      </c>
      <c r="B4203" s="5" t="s">
        <v>4358</v>
      </c>
      <c r="C4203" s="17">
        <v>19900101</v>
      </c>
      <c r="D4203" s="17">
        <v>22991231</v>
      </c>
      <c r="E4203" s="25">
        <v>2637</v>
      </c>
    </row>
    <row r="4204" spans="1:5" ht="26" x14ac:dyDescent="0.3">
      <c r="A4204" s="17" t="str">
        <f>"69505"</f>
        <v>69505</v>
      </c>
      <c r="B4204" s="5" t="s">
        <v>4359</v>
      </c>
      <c r="C4204" s="17">
        <v>19900101</v>
      </c>
      <c r="D4204" s="17">
        <v>22991231</v>
      </c>
      <c r="E4204" s="25">
        <v>2637</v>
      </c>
    </row>
    <row r="4205" spans="1:5" x14ac:dyDescent="0.3">
      <c r="A4205" s="17" t="str">
        <f>"69511"</f>
        <v>69511</v>
      </c>
      <c r="B4205" s="5" t="s">
        <v>4360</v>
      </c>
      <c r="C4205" s="17">
        <v>19900101</v>
      </c>
      <c r="D4205" s="17">
        <v>22991231</v>
      </c>
      <c r="E4205" s="25">
        <v>2637</v>
      </c>
    </row>
    <row r="4206" spans="1:5" ht="26" x14ac:dyDescent="0.3">
      <c r="A4206" s="17" t="str">
        <f>"69530"</f>
        <v>69530</v>
      </c>
      <c r="B4206" s="5" t="s">
        <v>4361</v>
      </c>
      <c r="C4206" s="17">
        <v>19900101</v>
      </c>
      <c r="D4206" s="17">
        <v>22991231</v>
      </c>
      <c r="E4206" s="25">
        <v>2637</v>
      </c>
    </row>
    <row r="4207" spans="1:5" x14ac:dyDescent="0.3">
      <c r="A4207" s="17" t="str">
        <f>"69540"</f>
        <v>69540</v>
      </c>
      <c r="B4207" s="5" t="s">
        <v>4362</v>
      </c>
      <c r="C4207" s="17">
        <v>19900101</v>
      </c>
      <c r="D4207" s="17">
        <v>22991231</v>
      </c>
      <c r="E4207" s="25">
        <v>154.51</v>
      </c>
    </row>
    <row r="4208" spans="1:5" ht="26" x14ac:dyDescent="0.3">
      <c r="A4208" s="17" t="str">
        <f>"69550"</f>
        <v>69550</v>
      </c>
      <c r="B4208" s="5" t="s">
        <v>4363</v>
      </c>
      <c r="C4208" s="17">
        <v>19900101</v>
      </c>
      <c r="D4208" s="17">
        <v>22991231</v>
      </c>
      <c r="E4208" s="25">
        <v>2637</v>
      </c>
    </row>
    <row r="4209" spans="1:5" ht="26" x14ac:dyDescent="0.3">
      <c r="A4209" s="17" t="str">
        <f>"69552"</f>
        <v>69552</v>
      </c>
      <c r="B4209" s="5" t="s">
        <v>4364</v>
      </c>
      <c r="C4209" s="17">
        <v>19900101</v>
      </c>
      <c r="D4209" s="17">
        <v>22991231</v>
      </c>
      <c r="E4209" s="25">
        <v>2637</v>
      </c>
    </row>
    <row r="4210" spans="1:5" ht="26" x14ac:dyDescent="0.3">
      <c r="A4210" s="17" t="str">
        <f>"69601"</f>
        <v>69601</v>
      </c>
      <c r="B4210" s="5" t="s">
        <v>4365</v>
      </c>
      <c r="C4210" s="17">
        <v>19900101</v>
      </c>
      <c r="D4210" s="17">
        <v>22991231</v>
      </c>
      <c r="E4210" s="25">
        <v>2637</v>
      </c>
    </row>
    <row r="4211" spans="1:5" x14ac:dyDescent="0.3">
      <c r="A4211" s="17" t="str">
        <f>"69602"</f>
        <v>69602</v>
      </c>
      <c r="B4211" s="5" t="s">
        <v>4366</v>
      </c>
      <c r="C4211" s="17">
        <v>19900101</v>
      </c>
      <c r="D4211" s="17">
        <v>22991231</v>
      </c>
      <c r="E4211" s="25">
        <v>2637</v>
      </c>
    </row>
    <row r="4212" spans="1:5" ht="26" x14ac:dyDescent="0.3">
      <c r="A4212" s="17" t="str">
        <f>"69603"</f>
        <v>69603</v>
      </c>
      <c r="B4212" s="5" t="s">
        <v>4367</v>
      </c>
      <c r="C4212" s="17">
        <v>19900101</v>
      </c>
      <c r="D4212" s="17">
        <v>22991231</v>
      </c>
      <c r="E4212" s="25">
        <v>2637</v>
      </c>
    </row>
    <row r="4213" spans="1:5" x14ac:dyDescent="0.3">
      <c r="A4213" s="17" t="str">
        <f>"69604"</f>
        <v>69604</v>
      </c>
      <c r="B4213" s="5" t="s">
        <v>4368</v>
      </c>
      <c r="C4213" s="17">
        <v>19900101</v>
      </c>
      <c r="D4213" s="17">
        <v>22991231</v>
      </c>
      <c r="E4213" s="25">
        <v>2637</v>
      </c>
    </row>
    <row r="4214" spans="1:5" x14ac:dyDescent="0.3">
      <c r="A4214" s="17" t="str">
        <f>"69610"</f>
        <v>69610</v>
      </c>
      <c r="B4214" s="5" t="s">
        <v>4369</v>
      </c>
      <c r="C4214" s="17">
        <v>19900101</v>
      </c>
      <c r="D4214" s="17">
        <v>22991231</v>
      </c>
      <c r="E4214" s="25">
        <v>201.73</v>
      </c>
    </row>
    <row r="4215" spans="1:5" x14ac:dyDescent="0.3">
      <c r="A4215" s="17" t="str">
        <f>"69620"</f>
        <v>69620</v>
      </c>
      <c r="B4215" s="5" t="s">
        <v>4370</v>
      </c>
      <c r="C4215" s="17">
        <v>19900101</v>
      </c>
      <c r="D4215" s="17">
        <v>22991231</v>
      </c>
      <c r="E4215" s="25">
        <v>1259.74</v>
      </c>
    </row>
    <row r="4216" spans="1:5" ht="26" x14ac:dyDescent="0.3">
      <c r="A4216" s="17" t="str">
        <f>"69631"</f>
        <v>69631</v>
      </c>
      <c r="B4216" s="5" t="s">
        <v>4371</v>
      </c>
      <c r="C4216" s="17">
        <v>19900101</v>
      </c>
      <c r="D4216" s="17">
        <v>22991231</v>
      </c>
      <c r="E4216" s="25">
        <v>2637</v>
      </c>
    </row>
    <row r="4217" spans="1:5" x14ac:dyDescent="0.3">
      <c r="A4217" s="17" t="str">
        <f>"69632"</f>
        <v>69632</v>
      </c>
      <c r="B4217" s="5" t="s">
        <v>4372</v>
      </c>
      <c r="C4217" s="17">
        <v>19900101</v>
      </c>
      <c r="D4217" s="17">
        <v>22991231</v>
      </c>
      <c r="E4217" s="25">
        <v>2637</v>
      </c>
    </row>
    <row r="4218" spans="1:5" ht="26" x14ac:dyDescent="0.3">
      <c r="A4218" s="17" t="str">
        <f>"69633"</f>
        <v>69633</v>
      </c>
      <c r="B4218" s="5" t="s">
        <v>4373</v>
      </c>
      <c r="C4218" s="17">
        <v>19900101</v>
      </c>
      <c r="D4218" s="17">
        <v>22991231</v>
      </c>
      <c r="E4218" s="25">
        <v>2637</v>
      </c>
    </row>
    <row r="4219" spans="1:5" ht="26" x14ac:dyDescent="0.3">
      <c r="A4219" s="17" t="str">
        <f>"69635"</f>
        <v>69635</v>
      </c>
      <c r="B4219" s="5" t="s">
        <v>4374</v>
      </c>
      <c r="C4219" s="17">
        <v>19900101</v>
      </c>
      <c r="D4219" s="17">
        <v>22991231</v>
      </c>
      <c r="E4219" s="25">
        <v>2637</v>
      </c>
    </row>
    <row r="4220" spans="1:5" ht="26" x14ac:dyDescent="0.3">
      <c r="A4220" s="17" t="str">
        <f>"69636"</f>
        <v>69636</v>
      </c>
      <c r="B4220" s="5" t="s">
        <v>4375</v>
      </c>
      <c r="C4220" s="17">
        <v>19900101</v>
      </c>
      <c r="D4220" s="17">
        <v>22991231</v>
      </c>
      <c r="E4220" s="25">
        <v>2637</v>
      </c>
    </row>
    <row r="4221" spans="1:5" ht="26" x14ac:dyDescent="0.3">
      <c r="A4221" s="17" t="str">
        <f>"69637"</f>
        <v>69637</v>
      </c>
      <c r="B4221" s="5" t="s">
        <v>4376</v>
      </c>
      <c r="C4221" s="17">
        <v>19900101</v>
      </c>
      <c r="D4221" s="17">
        <v>22991231</v>
      </c>
      <c r="E4221" s="25">
        <v>2637</v>
      </c>
    </row>
    <row r="4222" spans="1:5" ht="26" x14ac:dyDescent="0.3">
      <c r="A4222" s="17" t="str">
        <f>"69641"</f>
        <v>69641</v>
      </c>
      <c r="B4222" s="5" t="s">
        <v>4377</v>
      </c>
      <c r="C4222" s="17">
        <v>19900101</v>
      </c>
      <c r="D4222" s="17">
        <v>22991231</v>
      </c>
      <c r="E4222" s="25">
        <v>2637</v>
      </c>
    </row>
    <row r="4223" spans="1:5" ht="26" x14ac:dyDescent="0.3">
      <c r="A4223" s="17" t="str">
        <f>"69642"</f>
        <v>69642</v>
      </c>
      <c r="B4223" s="5" t="s">
        <v>4378</v>
      </c>
      <c r="C4223" s="17">
        <v>19900101</v>
      </c>
      <c r="D4223" s="17">
        <v>22991231</v>
      </c>
      <c r="E4223" s="25">
        <v>2637</v>
      </c>
    </row>
    <row r="4224" spans="1:5" ht="26" x14ac:dyDescent="0.3">
      <c r="A4224" s="17" t="str">
        <f>"69643"</f>
        <v>69643</v>
      </c>
      <c r="B4224" s="5" t="s">
        <v>4379</v>
      </c>
      <c r="C4224" s="17">
        <v>19900101</v>
      </c>
      <c r="D4224" s="17">
        <v>22991231</v>
      </c>
      <c r="E4224" s="25">
        <v>2637</v>
      </c>
    </row>
    <row r="4225" spans="1:5" ht="26" x14ac:dyDescent="0.3">
      <c r="A4225" s="17" t="str">
        <f>"69644"</f>
        <v>69644</v>
      </c>
      <c r="B4225" s="5" t="s">
        <v>4380</v>
      </c>
      <c r="C4225" s="17">
        <v>19900101</v>
      </c>
      <c r="D4225" s="17">
        <v>22991231</v>
      </c>
      <c r="E4225" s="25">
        <v>2637</v>
      </c>
    </row>
    <row r="4226" spans="1:5" ht="26" x14ac:dyDescent="0.3">
      <c r="A4226" s="17" t="str">
        <f>"69645"</f>
        <v>69645</v>
      </c>
      <c r="B4226" s="5" t="s">
        <v>4381</v>
      </c>
      <c r="C4226" s="17">
        <v>19900101</v>
      </c>
      <c r="D4226" s="17">
        <v>22991231</v>
      </c>
      <c r="E4226" s="25">
        <v>2637</v>
      </c>
    </row>
    <row r="4227" spans="1:5" ht="26" x14ac:dyDescent="0.3">
      <c r="A4227" s="17" t="str">
        <f>"69646"</f>
        <v>69646</v>
      </c>
      <c r="B4227" s="5" t="s">
        <v>4382</v>
      </c>
      <c r="C4227" s="17">
        <v>19900101</v>
      </c>
      <c r="D4227" s="17">
        <v>22991231</v>
      </c>
      <c r="E4227" s="25">
        <v>2637</v>
      </c>
    </row>
    <row r="4228" spans="1:5" x14ac:dyDescent="0.3">
      <c r="A4228" s="17" t="str">
        <f>"69650"</f>
        <v>69650</v>
      </c>
      <c r="B4228" s="5" t="s">
        <v>4383</v>
      </c>
      <c r="C4228" s="17">
        <v>19900101</v>
      </c>
      <c r="D4228" s="17">
        <v>22991231</v>
      </c>
      <c r="E4228" s="25">
        <v>1259.74</v>
      </c>
    </row>
    <row r="4229" spans="1:5" x14ac:dyDescent="0.3">
      <c r="A4229" s="17" t="str">
        <f>"69660"</f>
        <v>69660</v>
      </c>
      <c r="B4229" s="5" t="s">
        <v>4384</v>
      </c>
      <c r="C4229" s="17">
        <v>19900101</v>
      </c>
      <c r="D4229" s="17">
        <v>22991231</v>
      </c>
      <c r="E4229" s="25">
        <v>2637</v>
      </c>
    </row>
    <row r="4230" spans="1:5" x14ac:dyDescent="0.3">
      <c r="A4230" s="17" t="str">
        <f>"69661"</f>
        <v>69661</v>
      </c>
      <c r="B4230" s="5" t="s">
        <v>4385</v>
      </c>
      <c r="C4230" s="17">
        <v>19900101</v>
      </c>
      <c r="D4230" s="17">
        <v>22991231</v>
      </c>
      <c r="E4230" s="25">
        <v>2637</v>
      </c>
    </row>
    <row r="4231" spans="1:5" x14ac:dyDescent="0.3">
      <c r="A4231" s="17" t="str">
        <f>"69662"</f>
        <v>69662</v>
      </c>
      <c r="B4231" s="5" t="s">
        <v>4386</v>
      </c>
      <c r="C4231" s="17">
        <v>19900401</v>
      </c>
      <c r="D4231" s="17">
        <v>22991231</v>
      </c>
      <c r="E4231" s="25">
        <v>2637</v>
      </c>
    </row>
    <row r="4232" spans="1:5" x14ac:dyDescent="0.3">
      <c r="A4232" s="17" t="str">
        <f>"69666"</f>
        <v>69666</v>
      </c>
      <c r="B4232" s="5" t="s">
        <v>4387</v>
      </c>
      <c r="C4232" s="17">
        <v>19900101</v>
      </c>
      <c r="D4232" s="17">
        <v>22991231</v>
      </c>
      <c r="E4232" s="25">
        <v>1259.74</v>
      </c>
    </row>
    <row r="4233" spans="1:5" x14ac:dyDescent="0.3">
      <c r="A4233" s="17" t="str">
        <f>"69667"</f>
        <v>69667</v>
      </c>
      <c r="B4233" s="5" t="s">
        <v>4388</v>
      </c>
      <c r="C4233" s="17">
        <v>19900101</v>
      </c>
      <c r="D4233" s="17">
        <v>22991231</v>
      </c>
      <c r="E4233" s="25">
        <v>1259.74</v>
      </c>
    </row>
    <row r="4234" spans="1:5" x14ac:dyDescent="0.3">
      <c r="A4234" s="17" t="str">
        <f>"69670"</f>
        <v>69670</v>
      </c>
      <c r="B4234" s="5" t="s">
        <v>4389</v>
      </c>
      <c r="C4234" s="17">
        <v>19900101</v>
      </c>
      <c r="D4234" s="17">
        <v>22991231</v>
      </c>
      <c r="E4234" s="25">
        <v>2637</v>
      </c>
    </row>
    <row r="4235" spans="1:5" x14ac:dyDescent="0.3">
      <c r="A4235" s="17" t="str">
        <f>"69676"</f>
        <v>69676</v>
      </c>
      <c r="B4235" s="5" t="s">
        <v>4390</v>
      </c>
      <c r="C4235" s="17">
        <v>19900101</v>
      </c>
      <c r="D4235" s="17">
        <v>22991231</v>
      </c>
      <c r="E4235" s="25">
        <v>1259.74</v>
      </c>
    </row>
    <row r="4236" spans="1:5" x14ac:dyDescent="0.3">
      <c r="A4236" s="17" t="str">
        <f>"69700"</f>
        <v>69700</v>
      </c>
      <c r="B4236" s="5" t="s">
        <v>4391</v>
      </c>
      <c r="C4236" s="17">
        <v>19900101</v>
      </c>
      <c r="D4236" s="17">
        <v>22991231</v>
      </c>
      <c r="E4236" s="25">
        <v>636.91999999999996</v>
      </c>
    </row>
    <row r="4237" spans="1:5" ht="39" x14ac:dyDescent="0.3">
      <c r="A4237" s="17" t="str">
        <f>"69705"</f>
        <v>69705</v>
      </c>
      <c r="B4237" s="5" t="s">
        <v>4392</v>
      </c>
      <c r="C4237" s="17">
        <v>20210101</v>
      </c>
      <c r="D4237" s="17">
        <v>22991231</v>
      </c>
      <c r="E4237" s="25">
        <v>3723.5</v>
      </c>
    </row>
    <row r="4238" spans="1:5" ht="39" x14ac:dyDescent="0.3">
      <c r="A4238" s="17" t="str">
        <f>"69706"</f>
        <v>69706</v>
      </c>
      <c r="B4238" s="5" t="s">
        <v>4393</v>
      </c>
      <c r="C4238" s="17">
        <v>20210101</v>
      </c>
      <c r="D4238" s="17">
        <v>22991231</v>
      </c>
      <c r="E4238" s="25">
        <v>3676.06</v>
      </c>
    </row>
    <row r="4239" spans="1:5" ht="26" x14ac:dyDescent="0.3">
      <c r="A4239" s="17" t="str">
        <f>"69710"</f>
        <v>69710</v>
      </c>
      <c r="B4239" s="5" t="s">
        <v>4394</v>
      </c>
      <c r="C4239" s="17">
        <v>19900101</v>
      </c>
      <c r="D4239" s="17">
        <v>22991231</v>
      </c>
      <c r="E4239" s="24" t="s">
        <v>7128</v>
      </c>
    </row>
    <row r="4240" spans="1:5" ht="26" x14ac:dyDescent="0.3">
      <c r="A4240" s="17" t="str">
        <f>"69711"</f>
        <v>69711</v>
      </c>
      <c r="B4240" s="5" t="s">
        <v>4395</v>
      </c>
      <c r="C4240" s="17">
        <v>20030401</v>
      </c>
      <c r="D4240" s="17">
        <v>22991231</v>
      </c>
      <c r="E4240" s="25">
        <v>1259.74</v>
      </c>
    </row>
    <row r="4241" spans="1:5" ht="39" x14ac:dyDescent="0.3">
      <c r="A4241" s="17" t="str">
        <f>"69714"</f>
        <v>69714</v>
      </c>
      <c r="B4241" s="5" t="s">
        <v>4396</v>
      </c>
      <c r="C4241" s="17">
        <v>20010101</v>
      </c>
      <c r="D4241" s="17">
        <v>22991231</v>
      </c>
      <c r="E4241" s="25">
        <v>9570.81</v>
      </c>
    </row>
    <row r="4242" spans="1:5" ht="39" x14ac:dyDescent="0.3">
      <c r="A4242" s="17" t="str">
        <f>"69716"</f>
        <v>69716</v>
      </c>
      <c r="B4242" s="5" t="s">
        <v>4397</v>
      </c>
      <c r="C4242" s="17">
        <v>20230101</v>
      </c>
      <c r="D4242" s="17">
        <v>22991231</v>
      </c>
      <c r="E4242" s="25">
        <v>9589.51</v>
      </c>
    </row>
    <row r="4243" spans="1:5" ht="39" x14ac:dyDescent="0.3">
      <c r="A4243" s="17" t="str">
        <f>"69717"</f>
        <v>69717</v>
      </c>
      <c r="B4243" s="5" t="s">
        <v>4398</v>
      </c>
      <c r="C4243" s="17">
        <v>20230101</v>
      </c>
      <c r="D4243" s="17">
        <v>22991231</v>
      </c>
      <c r="E4243" s="25">
        <v>5149.82</v>
      </c>
    </row>
    <row r="4244" spans="1:5" ht="39" x14ac:dyDescent="0.3">
      <c r="A4244" s="17" t="str">
        <f>"69719"</f>
        <v>69719</v>
      </c>
      <c r="B4244" s="5" t="s">
        <v>4399</v>
      </c>
      <c r="C4244" s="17">
        <v>20230101</v>
      </c>
      <c r="D4244" s="17">
        <v>22991231</v>
      </c>
      <c r="E4244" s="25">
        <v>9678.8799999999992</v>
      </c>
    </row>
    <row r="4245" spans="1:5" x14ac:dyDescent="0.3">
      <c r="A4245" s="17" t="str">
        <f>"69720"</f>
        <v>69720</v>
      </c>
      <c r="B4245" s="5" t="s">
        <v>4400</v>
      </c>
      <c r="C4245" s="17">
        <v>19900101</v>
      </c>
      <c r="D4245" s="17">
        <v>22991231</v>
      </c>
      <c r="E4245" s="25">
        <v>2637</v>
      </c>
    </row>
    <row r="4246" spans="1:5" ht="26" x14ac:dyDescent="0.3">
      <c r="A4246" s="17" t="str">
        <f>"69725"</f>
        <v>69725</v>
      </c>
      <c r="B4246" s="5" t="s">
        <v>4401</v>
      </c>
      <c r="C4246" s="17">
        <v>19900101</v>
      </c>
      <c r="D4246" s="17">
        <v>22991231</v>
      </c>
      <c r="E4246" s="24" t="s">
        <v>7128</v>
      </c>
    </row>
    <row r="4247" spans="1:5" ht="39" x14ac:dyDescent="0.3">
      <c r="A4247" s="17" t="str">
        <f>"69726"</f>
        <v>69726</v>
      </c>
      <c r="B4247" s="5" t="s">
        <v>4402</v>
      </c>
      <c r="C4247" s="17">
        <v>20230101</v>
      </c>
      <c r="D4247" s="17">
        <v>22991231</v>
      </c>
      <c r="E4247" s="25">
        <v>1450.8</v>
      </c>
    </row>
    <row r="4248" spans="1:5" ht="39" x14ac:dyDescent="0.3">
      <c r="A4248" s="17" t="str">
        <f>"69727"</f>
        <v>69727</v>
      </c>
      <c r="B4248" s="5" t="s">
        <v>4403</v>
      </c>
      <c r="C4248" s="17">
        <v>20230101</v>
      </c>
      <c r="D4248" s="17">
        <v>22991231</v>
      </c>
      <c r="E4248" s="25">
        <v>1450.8</v>
      </c>
    </row>
    <row r="4249" spans="1:5" ht="39" x14ac:dyDescent="0.3">
      <c r="A4249" s="17" t="str">
        <f>"69728"</f>
        <v>69728</v>
      </c>
      <c r="B4249" s="5" t="s">
        <v>4404</v>
      </c>
      <c r="C4249" s="17">
        <v>20230101</v>
      </c>
      <c r="D4249" s="17">
        <v>22991231</v>
      </c>
      <c r="E4249" s="25">
        <v>1450.8</v>
      </c>
    </row>
    <row r="4250" spans="1:5" ht="39" x14ac:dyDescent="0.3">
      <c r="A4250" s="17" t="str">
        <f>"69729"</f>
        <v>69729</v>
      </c>
      <c r="B4250" s="5" t="s">
        <v>4405</v>
      </c>
      <c r="C4250" s="17">
        <v>20230101</v>
      </c>
      <c r="D4250" s="17">
        <v>22991231</v>
      </c>
      <c r="E4250" s="25">
        <v>7819.46</v>
      </c>
    </row>
    <row r="4251" spans="1:5" ht="39" x14ac:dyDescent="0.3">
      <c r="A4251" s="17" t="str">
        <f>"69730"</f>
        <v>69730</v>
      </c>
      <c r="B4251" s="5" t="s">
        <v>4406</v>
      </c>
      <c r="C4251" s="17">
        <v>20230101</v>
      </c>
      <c r="D4251" s="17">
        <v>22991231</v>
      </c>
      <c r="E4251" s="25">
        <v>7819.46</v>
      </c>
    </row>
    <row r="4252" spans="1:5" ht="26" x14ac:dyDescent="0.3">
      <c r="A4252" s="17" t="str">
        <f>"69740"</f>
        <v>69740</v>
      </c>
      <c r="B4252" s="5" t="s">
        <v>4407</v>
      </c>
      <c r="C4252" s="17">
        <v>19900101</v>
      </c>
      <c r="D4252" s="17">
        <v>22991231</v>
      </c>
      <c r="E4252" s="25">
        <v>2637</v>
      </c>
    </row>
    <row r="4253" spans="1:5" ht="26" x14ac:dyDescent="0.3">
      <c r="A4253" s="17" t="str">
        <f>"69745"</f>
        <v>69745</v>
      </c>
      <c r="B4253" s="5" t="s">
        <v>4408</v>
      </c>
      <c r="C4253" s="17">
        <v>19900101</v>
      </c>
      <c r="D4253" s="17">
        <v>22991231</v>
      </c>
      <c r="E4253" s="25">
        <v>2637</v>
      </c>
    </row>
    <row r="4254" spans="1:5" x14ac:dyDescent="0.3">
      <c r="A4254" s="17" t="str">
        <f>"69799"</f>
        <v>69799</v>
      </c>
      <c r="B4254" s="5" t="s">
        <v>4409</v>
      </c>
      <c r="C4254" s="17">
        <v>19900101</v>
      </c>
      <c r="D4254" s="17">
        <v>22991231</v>
      </c>
      <c r="E4254" s="24" t="s">
        <v>7128</v>
      </c>
    </row>
    <row r="4255" spans="1:5" ht="26" x14ac:dyDescent="0.3">
      <c r="A4255" s="17" t="str">
        <f>"69801"</f>
        <v>69801</v>
      </c>
      <c r="B4255" s="5" t="s">
        <v>4410</v>
      </c>
      <c r="C4255" s="17">
        <v>19900101</v>
      </c>
      <c r="D4255" s="17">
        <v>22991231</v>
      </c>
      <c r="E4255" s="25">
        <v>141.06</v>
      </c>
    </row>
    <row r="4256" spans="1:5" x14ac:dyDescent="0.3">
      <c r="A4256" s="17" t="str">
        <f>"69805"</f>
        <v>69805</v>
      </c>
      <c r="B4256" s="5" t="s">
        <v>4411</v>
      </c>
      <c r="C4256" s="17">
        <v>19900101</v>
      </c>
      <c r="D4256" s="17">
        <v>22991231</v>
      </c>
      <c r="E4256" s="25">
        <v>2637</v>
      </c>
    </row>
    <row r="4257" spans="1:5" x14ac:dyDescent="0.3">
      <c r="A4257" s="17" t="str">
        <f>"69806"</f>
        <v>69806</v>
      </c>
      <c r="B4257" s="5" t="s">
        <v>4412</v>
      </c>
      <c r="C4257" s="17">
        <v>19900101</v>
      </c>
      <c r="D4257" s="17">
        <v>22991231</v>
      </c>
      <c r="E4257" s="25">
        <v>2637</v>
      </c>
    </row>
    <row r="4258" spans="1:5" x14ac:dyDescent="0.3">
      <c r="A4258" s="17" t="str">
        <f>"69905"</f>
        <v>69905</v>
      </c>
      <c r="B4258" s="5" t="s">
        <v>4413</v>
      </c>
      <c r="C4258" s="17">
        <v>19900101</v>
      </c>
      <c r="D4258" s="17">
        <v>22991231</v>
      </c>
      <c r="E4258" s="25">
        <v>2637</v>
      </c>
    </row>
    <row r="4259" spans="1:5" x14ac:dyDescent="0.3">
      <c r="A4259" s="17" t="str">
        <f>"69910"</f>
        <v>69910</v>
      </c>
      <c r="B4259" s="5" t="s">
        <v>4414</v>
      </c>
      <c r="C4259" s="17">
        <v>19900101</v>
      </c>
      <c r="D4259" s="17">
        <v>22991231</v>
      </c>
      <c r="E4259" s="25">
        <v>2637</v>
      </c>
    </row>
    <row r="4260" spans="1:5" ht="26" x14ac:dyDescent="0.3">
      <c r="A4260" s="17" t="str">
        <f>"69915"</f>
        <v>69915</v>
      </c>
      <c r="B4260" s="5" t="s">
        <v>4415</v>
      </c>
      <c r="C4260" s="17">
        <v>19900101</v>
      </c>
      <c r="D4260" s="17">
        <v>22991231</v>
      </c>
      <c r="E4260" s="25">
        <v>1259.74</v>
      </c>
    </row>
    <row r="4261" spans="1:5" x14ac:dyDescent="0.3">
      <c r="A4261" s="17" t="str">
        <f>"69930"</f>
        <v>69930</v>
      </c>
      <c r="B4261" s="5" t="s">
        <v>4416</v>
      </c>
      <c r="C4261" s="17">
        <v>19900101</v>
      </c>
      <c r="D4261" s="17">
        <v>22991231</v>
      </c>
      <c r="E4261" s="25">
        <v>26994.880000000001</v>
      </c>
    </row>
    <row r="4262" spans="1:5" x14ac:dyDescent="0.3">
      <c r="A4262" s="17" t="str">
        <f>"69955"</f>
        <v>69955</v>
      </c>
      <c r="B4262" s="5" t="s">
        <v>4417</v>
      </c>
      <c r="C4262" s="17">
        <v>19900101</v>
      </c>
      <c r="D4262" s="17">
        <v>22991231</v>
      </c>
      <c r="E4262" s="24" t="s">
        <v>7128</v>
      </c>
    </row>
    <row r="4263" spans="1:5" x14ac:dyDescent="0.3">
      <c r="A4263" s="17" t="str">
        <f>"69960"</f>
        <v>69960</v>
      </c>
      <c r="B4263" s="5" t="s">
        <v>4418</v>
      </c>
      <c r="C4263" s="17">
        <v>19900101</v>
      </c>
      <c r="D4263" s="17">
        <v>22991231</v>
      </c>
      <c r="E4263" s="24" t="s">
        <v>7128</v>
      </c>
    </row>
    <row r="4264" spans="1:5" ht="26" x14ac:dyDescent="0.3">
      <c r="A4264" s="17" t="str">
        <f>"69970"</f>
        <v>69970</v>
      </c>
      <c r="B4264" s="5" t="s">
        <v>4419</v>
      </c>
      <c r="C4264" s="17">
        <v>19900101</v>
      </c>
      <c r="D4264" s="17">
        <v>22991231</v>
      </c>
      <c r="E4264" s="24" t="s">
        <v>7128</v>
      </c>
    </row>
    <row r="4265" spans="1:5" x14ac:dyDescent="0.3">
      <c r="A4265" s="17" t="str">
        <f>"69990"</f>
        <v>69990</v>
      </c>
      <c r="B4265" s="5" t="s">
        <v>4420</v>
      </c>
      <c r="C4265" s="17">
        <v>20230101</v>
      </c>
      <c r="D4265" s="17">
        <v>22991231</v>
      </c>
      <c r="E4265" s="25">
        <v>0</v>
      </c>
    </row>
    <row r="4266" spans="1:5" ht="26" x14ac:dyDescent="0.3">
      <c r="A4266" s="17" t="str">
        <f>"70010"</f>
        <v>70010</v>
      </c>
      <c r="B4266" s="5" t="s">
        <v>4421</v>
      </c>
      <c r="C4266" s="17">
        <v>19900101</v>
      </c>
      <c r="D4266" s="17">
        <v>22991231</v>
      </c>
      <c r="E4266" s="25">
        <v>0</v>
      </c>
    </row>
    <row r="4267" spans="1:5" ht="26" x14ac:dyDescent="0.3">
      <c r="A4267" s="17" t="str">
        <f>"70015"</f>
        <v>70015</v>
      </c>
      <c r="B4267" s="5" t="s">
        <v>4422</v>
      </c>
      <c r="C4267" s="17">
        <v>19900101</v>
      </c>
      <c r="D4267" s="17">
        <v>22991231</v>
      </c>
      <c r="E4267" s="25">
        <v>0</v>
      </c>
    </row>
    <row r="4268" spans="1:5" x14ac:dyDescent="0.3">
      <c r="A4268" s="17" t="str">
        <f>"70030"</f>
        <v>70030</v>
      </c>
      <c r="B4268" s="5" t="s">
        <v>4423</v>
      </c>
      <c r="C4268" s="17">
        <v>19900101</v>
      </c>
      <c r="D4268" s="17">
        <v>22991231</v>
      </c>
      <c r="E4268" s="25">
        <v>0</v>
      </c>
    </row>
    <row r="4269" spans="1:5" x14ac:dyDescent="0.3">
      <c r="A4269" s="17" t="str">
        <f>"70100"</f>
        <v>70100</v>
      </c>
      <c r="B4269" s="5" t="s">
        <v>4424</v>
      </c>
      <c r="C4269" s="17">
        <v>19900101</v>
      </c>
      <c r="D4269" s="17">
        <v>22991231</v>
      </c>
      <c r="E4269" s="25">
        <v>0</v>
      </c>
    </row>
    <row r="4270" spans="1:5" x14ac:dyDescent="0.3">
      <c r="A4270" s="17" t="str">
        <f>"70110"</f>
        <v>70110</v>
      </c>
      <c r="B4270" s="5" t="s">
        <v>4425</v>
      </c>
      <c r="C4270" s="17">
        <v>19900101</v>
      </c>
      <c r="D4270" s="17">
        <v>22991231</v>
      </c>
      <c r="E4270" s="25">
        <v>0</v>
      </c>
    </row>
    <row r="4271" spans="1:5" x14ac:dyDescent="0.3">
      <c r="A4271" s="17" t="str">
        <f>"70120"</f>
        <v>70120</v>
      </c>
      <c r="B4271" s="5" t="s">
        <v>4426</v>
      </c>
      <c r="C4271" s="17">
        <v>19900101</v>
      </c>
      <c r="D4271" s="17">
        <v>22991231</v>
      </c>
      <c r="E4271" s="25">
        <v>0</v>
      </c>
    </row>
    <row r="4272" spans="1:5" ht="26" x14ac:dyDescent="0.3">
      <c r="A4272" s="17" t="str">
        <f>"70130"</f>
        <v>70130</v>
      </c>
      <c r="B4272" s="5" t="s">
        <v>4427</v>
      </c>
      <c r="C4272" s="17">
        <v>19900101</v>
      </c>
      <c r="D4272" s="17">
        <v>22991231</v>
      </c>
      <c r="E4272" s="25">
        <v>0</v>
      </c>
    </row>
    <row r="4273" spans="1:5" x14ac:dyDescent="0.3">
      <c r="A4273" s="17" t="str">
        <f>"70134"</f>
        <v>70134</v>
      </c>
      <c r="B4273" s="5" t="s">
        <v>4428</v>
      </c>
      <c r="C4273" s="17">
        <v>19900101</v>
      </c>
      <c r="D4273" s="17">
        <v>22991231</v>
      </c>
      <c r="E4273" s="25">
        <v>0</v>
      </c>
    </row>
    <row r="4274" spans="1:5" x14ac:dyDescent="0.3">
      <c r="A4274" s="17" t="str">
        <f>"70140"</f>
        <v>70140</v>
      </c>
      <c r="B4274" s="5" t="s">
        <v>4429</v>
      </c>
      <c r="C4274" s="17">
        <v>19900101</v>
      </c>
      <c r="D4274" s="17">
        <v>22991231</v>
      </c>
      <c r="E4274" s="25">
        <v>0</v>
      </c>
    </row>
    <row r="4275" spans="1:5" x14ac:dyDescent="0.3">
      <c r="A4275" s="17" t="str">
        <f>"70150"</f>
        <v>70150</v>
      </c>
      <c r="B4275" s="5" t="s">
        <v>4430</v>
      </c>
      <c r="C4275" s="17">
        <v>19900101</v>
      </c>
      <c r="D4275" s="17">
        <v>22991231</v>
      </c>
      <c r="E4275" s="25">
        <v>0</v>
      </c>
    </row>
    <row r="4276" spans="1:5" x14ac:dyDescent="0.3">
      <c r="A4276" s="17" t="str">
        <f>"70160"</f>
        <v>70160</v>
      </c>
      <c r="B4276" s="5" t="s">
        <v>4431</v>
      </c>
      <c r="C4276" s="17">
        <v>19900101</v>
      </c>
      <c r="D4276" s="17">
        <v>22991231</v>
      </c>
      <c r="E4276" s="25">
        <v>0</v>
      </c>
    </row>
    <row r="4277" spans="1:5" ht="26" x14ac:dyDescent="0.3">
      <c r="A4277" s="17" t="str">
        <f>"70170"</f>
        <v>70170</v>
      </c>
      <c r="B4277" s="5" t="s">
        <v>4432</v>
      </c>
      <c r="C4277" s="17">
        <v>19900101</v>
      </c>
      <c r="D4277" s="17">
        <v>22991231</v>
      </c>
      <c r="E4277" s="25">
        <v>0</v>
      </c>
    </row>
    <row r="4278" spans="1:5" x14ac:dyDescent="0.3">
      <c r="A4278" s="17" t="str">
        <f>"70190"</f>
        <v>70190</v>
      </c>
      <c r="B4278" s="5" t="s">
        <v>4433</v>
      </c>
      <c r="C4278" s="17">
        <v>19900101</v>
      </c>
      <c r="D4278" s="17">
        <v>22991231</v>
      </c>
      <c r="E4278" s="25">
        <v>0</v>
      </c>
    </row>
    <row r="4279" spans="1:5" x14ac:dyDescent="0.3">
      <c r="A4279" s="17" t="str">
        <f>"70200"</f>
        <v>70200</v>
      </c>
      <c r="B4279" s="5" t="s">
        <v>4434</v>
      </c>
      <c r="C4279" s="17">
        <v>19900101</v>
      </c>
      <c r="D4279" s="17">
        <v>22991231</v>
      </c>
      <c r="E4279" s="25">
        <v>0</v>
      </c>
    </row>
    <row r="4280" spans="1:5" x14ac:dyDescent="0.3">
      <c r="A4280" s="17" t="str">
        <f>"70210"</f>
        <v>70210</v>
      </c>
      <c r="B4280" s="5" t="s">
        <v>4435</v>
      </c>
      <c r="C4280" s="17">
        <v>19900101</v>
      </c>
      <c r="D4280" s="17">
        <v>22991231</v>
      </c>
      <c r="E4280" s="25">
        <v>0</v>
      </c>
    </row>
    <row r="4281" spans="1:5" x14ac:dyDescent="0.3">
      <c r="A4281" s="17" t="str">
        <f>"70220"</f>
        <v>70220</v>
      </c>
      <c r="B4281" s="5" t="s">
        <v>4436</v>
      </c>
      <c r="C4281" s="17">
        <v>19900101</v>
      </c>
      <c r="D4281" s="17">
        <v>22991231</v>
      </c>
      <c r="E4281" s="25">
        <v>0</v>
      </c>
    </row>
    <row r="4282" spans="1:5" x14ac:dyDescent="0.3">
      <c r="A4282" s="17" t="str">
        <f>"70240"</f>
        <v>70240</v>
      </c>
      <c r="B4282" s="5" t="s">
        <v>4437</v>
      </c>
      <c r="C4282" s="17">
        <v>19900101</v>
      </c>
      <c r="D4282" s="17">
        <v>22991231</v>
      </c>
      <c r="E4282" s="25">
        <v>0</v>
      </c>
    </row>
    <row r="4283" spans="1:5" x14ac:dyDescent="0.3">
      <c r="A4283" s="17" t="str">
        <f>"70250"</f>
        <v>70250</v>
      </c>
      <c r="B4283" s="5" t="s">
        <v>4438</v>
      </c>
      <c r="C4283" s="17">
        <v>19900101</v>
      </c>
      <c r="D4283" s="17">
        <v>22991231</v>
      </c>
      <c r="E4283" s="25">
        <v>0</v>
      </c>
    </row>
    <row r="4284" spans="1:5" x14ac:dyDescent="0.3">
      <c r="A4284" s="17" t="str">
        <f>"70260"</f>
        <v>70260</v>
      </c>
      <c r="B4284" s="5" t="s">
        <v>4439</v>
      </c>
      <c r="C4284" s="17">
        <v>19900101</v>
      </c>
      <c r="D4284" s="17">
        <v>22991231</v>
      </c>
      <c r="E4284" s="25">
        <v>0</v>
      </c>
    </row>
    <row r="4285" spans="1:5" x14ac:dyDescent="0.3">
      <c r="A4285" s="17" t="str">
        <f>"70300"</f>
        <v>70300</v>
      </c>
      <c r="B4285" s="5" t="s">
        <v>4440</v>
      </c>
      <c r="C4285" s="17">
        <v>19900101</v>
      </c>
      <c r="D4285" s="17">
        <v>22991231</v>
      </c>
      <c r="E4285" s="25">
        <v>0</v>
      </c>
    </row>
    <row r="4286" spans="1:5" x14ac:dyDescent="0.3">
      <c r="A4286" s="17" t="str">
        <f>"70310"</f>
        <v>70310</v>
      </c>
      <c r="B4286" s="5" t="s">
        <v>4441</v>
      </c>
      <c r="C4286" s="17">
        <v>19900101</v>
      </c>
      <c r="D4286" s="17">
        <v>22991231</v>
      </c>
      <c r="E4286" s="25">
        <v>0</v>
      </c>
    </row>
    <row r="4287" spans="1:5" x14ac:dyDescent="0.3">
      <c r="A4287" s="17" t="str">
        <f>"70320"</f>
        <v>70320</v>
      </c>
      <c r="B4287" s="5" t="s">
        <v>4442</v>
      </c>
      <c r="C4287" s="17">
        <v>19900101</v>
      </c>
      <c r="D4287" s="17">
        <v>22991231</v>
      </c>
      <c r="E4287" s="25">
        <v>0</v>
      </c>
    </row>
    <row r="4288" spans="1:5" x14ac:dyDescent="0.3">
      <c r="A4288" s="17" t="str">
        <f>"70328"</f>
        <v>70328</v>
      </c>
      <c r="B4288" s="5" t="s">
        <v>4443</v>
      </c>
      <c r="C4288" s="17">
        <v>19900101</v>
      </c>
      <c r="D4288" s="17">
        <v>22991231</v>
      </c>
      <c r="E4288" s="25">
        <v>0</v>
      </c>
    </row>
    <row r="4289" spans="1:5" x14ac:dyDescent="0.3">
      <c r="A4289" s="17" t="str">
        <f>"70330"</f>
        <v>70330</v>
      </c>
      <c r="B4289" s="5" t="s">
        <v>4444</v>
      </c>
      <c r="C4289" s="17">
        <v>19900101</v>
      </c>
      <c r="D4289" s="17">
        <v>22991231</v>
      </c>
      <c r="E4289" s="25">
        <v>0</v>
      </c>
    </row>
    <row r="4290" spans="1:5" ht="26" x14ac:dyDescent="0.3">
      <c r="A4290" s="17" t="str">
        <f>"70332"</f>
        <v>70332</v>
      </c>
      <c r="B4290" s="5" t="s">
        <v>4445</v>
      </c>
      <c r="C4290" s="17">
        <v>19900101</v>
      </c>
      <c r="D4290" s="17">
        <v>22991231</v>
      </c>
      <c r="E4290" s="25">
        <v>0</v>
      </c>
    </row>
    <row r="4291" spans="1:5" x14ac:dyDescent="0.3">
      <c r="A4291" s="17" t="str">
        <f>"70336"</f>
        <v>70336</v>
      </c>
      <c r="B4291" s="5" t="s">
        <v>4446</v>
      </c>
      <c r="C4291" s="17">
        <v>19900101</v>
      </c>
      <c r="D4291" s="17">
        <v>22991231</v>
      </c>
      <c r="E4291" s="25">
        <v>121.41</v>
      </c>
    </row>
    <row r="4292" spans="1:5" x14ac:dyDescent="0.3">
      <c r="A4292" s="17" t="str">
        <f>"70350"</f>
        <v>70350</v>
      </c>
      <c r="B4292" s="5" t="s">
        <v>4447</v>
      </c>
      <c r="C4292" s="17">
        <v>19900101</v>
      </c>
      <c r="D4292" s="17">
        <v>22991231</v>
      </c>
      <c r="E4292" s="25">
        <v>0</v>
      </c>
    </row>
    <row r="4293" spans="1:5" x14ac:dyDescent="0.3">
      <c r="A4293" s="17" t="str">
        <f>"70355"</f>
        <v>70355</v>
      </c>
      <c r="B4293" s="5" t="s">
        <v>4448</v>
      </c>
      <c r="C4293" s="17">
        <v>19900101</v>
      </c>
      <c r="D4293" s="17">
        <v>22991231</v>
      </c>
      <c r="E4293" s="25">
        <v>0</v>
      </c>
    </row>
    <row r="4294" spans="1:5" x14ac:dyDescent="0.3">
      <c r="A4294" s="17" t="str">
        <f>"70360"</f>
        <v>70360</v>
      </c>
      <c r="B4294" s="5" t="s">
        <v>4449</v>
      </c>
      <c r="C4294" s="17">
        <v>19900101</v>
      </c>
      <c r="D4294" s="17">
        <v>22991231</v>
      </c>
      <c r="E4294" s="25">
        <v>0</v>
      </c>
    </row>
    <row r="4295" spans="1:5" x14ac:dyDescent="0.3">
      <c r="A4295" s="17" t="str">
        <f>"70370"</f>
        <v>70370</v>
      </c>
      <c r="B4295" s="5" t="s">
        <v>4450</v>
      </c>
      <c r="C4295" s="17">
        <v>19900101</v>
      </c>
      <c r="D4295" s="17">
        <v>22991231</v>
      </c>
      <c r="E4295" s="25">
        <v>0</v>
      </c>
    </row>
    <row r="4296" spans="1:5" x14ac:dyDescent="0.3">
      <c r="A4296" s="17" t="str">
        <f>"70371"</f>
        <v>70371</v>
      </c>
      <c r="B4296" s="5" t="s">
        <v>4451</v>
      </c>
      <c r="C4296" s="17">
        <v>20230101</v>
      </c>
      <c r="D4296" s="17">
        <v>22991231</v>
      </c>
      <c r="E4296" s="25">
        <v>0</v>
      </c>
    </row>
    <row r="4297" spans="1:5" x14ac:dyDescent="0.3">
      <c r="A4297" s="17" t="str">
        <f>"70380"</f>
        <v>70380</v>
      </c>
      <c r="B4297" s="5" t="s">
        <v>4452</v>
      </c>
      <c r="C4297" s="17">
        <v>19900101</v>
      </c>
      <c r="D4297" s="17">
        <v>22991231</v>
      </c>
      <c r="E4297" s="25">
        <v>0</v>
      </c>
    </row>
    <row r="4298" spans="1:5" ht="26" x14ac:dyDescent="0.3">
      <c r="A4298" s="17" t="str">
        <f>"70390"</f>
        <v>70390</v>
      </c>
      <c r="B4298" s="5" t="s">
        <v>4453</v>
      </c>
      <c r="C4298" s="17">
        <v>19900101</v>
      </c>
      <c r="D4298" s="17">
        <v>22991231</v>
      </c>
      <c r="E4298" s="25">
        <v>0</v>
      </c>
    </row>
    <row r="4299" spans="1:5" x14ac:dyDescent="0.3">
      <c r="A4299" s="17" t="str">
        <f>"70450"</f>
        <v>70450</v>
      </c>
      <c r="B4299" s="5" t="s">
        <v>4454</v>
      </c>
      <c r="C4299" s="17">
        <v>19900101</v>
      </c>
      <c r="D4299" s="17">
        <v>22991231</v>
      </c>
      <c r="E4299" s="25">
        <v>54.47</v>
      </c>
    </row>
    <row r="4300" spans="1:5" x14ac:dyDescent="0.3">
      <c r="A4300" s="17" t="str">
        <f>"70460"</f>
        <v>70460</v>
      </c>
      <c r="B4300" s="5" t="s">
        <v>4455</v>
      </c>
      <c r="C4300" s="17">
        <v>19900101</v>
      </c>
      <c r="D4300" s="17">
        <v>22991231</v>
      </c>
      <c r="E4300" s="25">
        <v>91.04</v>
      </c>
    </row>
    <row r="4301" spans="1:5" ht="26" x14ac:dyDescent="0.3">
      <c r="A4301" s="17" t="str">
        <f>"70470"</f>
        <v>70470</v>
      </c>
      <c r="B4301" s="5" t="s">
        <v>4456</v>
      </c>
      <c r="C4301" s="17">
        <v>19900101</v>
      </c>
      <c r="D4301" s="17">
        <v>22991231</v>
      </c>
      <c r="E4301" s="25">
        <v>91.04</v>
      </c>
    </row>
    <row r="4302" spans="1:5" x14ac:dyDescent="0.3">
      <c r="A4302" s="17" t="str">
        <f>"70480"</f>
        <v>70480</v>
      </c>
      <c r="B4302" s="5" t="s">
        <v>4457</v>
      </c>
      <c r="C4302" s="17">
        <v>19900101</v>
      </c>
      <c r="D4302" s="17">
        <v>22991231</v>
      </c>
      <c r="E4302" s="25">
        <v>54.47</v>
      </c>
    </row>
    <row r="4303" spans="1:5" x14ac:dyDescent="0.3">
      <c r="A4303" s="17" t="str">
        <f>"70481"</f>
        <v>70481</v>
      </c>
      <c r="B4303" s="5" t="s">
        <v>4458</v>
      </c>
      <c r="C4303" s="17">
        <v>19900101</v>
      </c>
      <c r="D4303" s="17">
        <v>22991231</v>
      </c>
      <c r="E4303" s="25">
        <v>91.04</v>
      </c>
    </row>
    <row r="4304" spans="1:5" ht="26" x14ac:dyDescent="0.3">
      <c r="A4304" s="17" t="str">
        <f>"70482"</f>
        <v>70482</v>
      </c>
      <c r="B4304" s="5" t="s">
        <v>4459</v>
      </c>
      <c r="C4304" s="17">
        <v>19900101</v>
      </c>
      <c r="D4304" s="17">
        <v>22991231</v>
      </c>
      <c r="E4304" s="25">
        <v>91.04</v>
      </c>
    </row>
    <row r="4305" spans="1:5" x14ac:dyDescent="0.3">
      <c r="A4305" s="17" t="str">
        <f>"70486"</f>
        <v>70486</v>
      </c>
      <c r="B4305" s="5" t="s">
        <v>4460</v>
      </c>
      <c r="C4305" s="17">
        <v>19900101</v>
      </c>
      <c r="D4305" s="17">
        <v>22991231</v>
      </c>
      <c r="E4305" s="25">
        <v>54.47</v>
      </c>
    </row>
    <row r="4306" spans="1:5" x14ac:dyDescent="0.3">
      <c r="A4306" s="17" t="str">
        <f>"70487"</f>
        <v>70487</v>
      </c>
      <c r="B4306" s="5" t="s">
        <v>4461</v>
      </c>
      <c r="C4306" s="17">
        <v>19900101</v>
      </c>
      <c r="D4306" s="17">
        <v>22991231</v>
      </c>
      <c r="E4306" s="25">
        <v>91.04</v>
      </c>
    </row>
    <row r="4307" spans="1:5" x14ac:dyDescent="0.3">
      <c r="A4307" s="17" t="str">
        <f>"70488"</f>
        <v>70488</v>
      </c>
      <c r="B4307" s="5" t="s">
        <v>4462</v>
      </c>
      <c r="C4307" s="17">
        <v>19900101</v>
      </c>
      <c r="D4307" s="17">
        <v>22991231</v>
      </c>
      <c r="E4307" s="25">
        <v>91.04</v>
      </c>
    </row>
    <row r="4308" spans="1:5" x14ac:dyDescent="0.3">
      <c r="A4308" s="17" t="str">
        <f>"70490"</f>
        <v>70490</v>
      </c>
      <c r="B4308" s="5" t="s">
        <v>4463</v>
      </c>
      <c r="C4308" s="17">
        <v>19900101</v>
      </c>
      <c r="D4308" s="17">
        <v>22991231</v>
      </c>
      <c r="E4308" s="25">
        <v>54.47</v>
      </c>
    </row>
    <row r="4309" spans="1:5" x14ac:dyDescent="0.3">
      <c r="A4309" s="17" t="str">
        <f>"70491"</f>
        <v>70491</v>
      </c>
      <c r="B4309" s="5" t="s">
        <v>4464</v>
      </c>
      <c r="C4309" s="17">
        <v>19900101</v>
      </c>
      <c r="D4309" s="17">
        <v>22991231</v>
      </c>
      <c r="E4309" s="25">
        <v>91.04</v>
      </c>
    </row>
    <row r="4310" spans="1:5" ht="26" x14ac:dyDescent="0.3">
      <c r="A4310" s="17" t="str">
        <f>"70492"</f>
        <v>70492</v>
      </c>
      <c r="B4310" s="5" t="s">
        <v>4465</v>
      </c>
      <c r="C4310" s="17">
        <v>19900101</v>
      </c>
      <c r="D4310" s="17">
        <v>22991231</v>
      </c>
      <c r="E4310" s="25">
        <v>91.04</v>
      </c>
    </row>
    <row r="4311" spans="1:5" x14ac:dyDescent="0.3">
      <c r="A4311" s="17" t="str">
        <f>"70496"</f>
        <v>70496</v>
      </c>
      <c r="B4311" s="5" t="s">
        <v>4466</v>
      </c>
      <c r="C4311" s="17">
        <v>20230101</v>
      </c>
      <c r="D4311" s="17">
        <v>22991231</v>
      </c>
      <c r="E4311" s="25">
        <v>91.04</v>
      </c>
    </row>
    <row r="4312" spans="1:5" x14ac:dyDescent="0.3">
      <c r="A4312" s="17" t="str">
        <f>"70498"</f>
        <v>70498</v>
      </c>
      <c r="B4312" s="5" t="s">
        <v>4467</v>
      </c>
      <c r="C4312" s="17">
        <v>20230101</v>
      </c>
      <c r="D4312" s="17">
        <v>22991231</v>
      </c>
      <c r="E4312" s="25">
        <v>91.04</v>
      </c>
    </row>
    <row r="4313" spans="1:5" ht="26" x14ac:dyDescent="0.3">
      <c r="A4313" s="17" t="str">
        <f>"70540"</f>
        <v>70540</v>
      </c>
      <c r="B4313" s="5" t="s">
        <v>4468</v>
      </c>
      <c r="C4313" s="17">
        <v>20060915</v>
      </c>
      <c r="D4313" s="17">
        <v>22991231</v>
      </c>
      <c r="E4313" s="25">
        <v>121.41</v>
      </c>
    </row>
    <row r="4314" spans="1:5" ht="26" x14ac:dyDescent="0.3">
      <c r="A4314" s="17" t="str">
        <f>"70542"</f>
        <v>70542</v>
      </c>
      <c r="B4314" s="5" t="s">
        <v>4469</v>
      </c>
      <c r="C4314" s="17">
        <v>20230101</v>
      </c>
      <c r="D4314" s="17">
        <v>22991231</v>
      </c>
      <c r="E4314" s="25">
        <v>204.85</v>
      </c>
    </row>
    <row r="4315" spans="1:5" ht="26" x14ac:dyDescent="0.3">
      <c r="A4315" s="17" t="str">
        <f>"70543"</f>
        <v>70543</v>
      </c>
      <c r="B4315" s="5" t="s">
        <v>4470</v>
      </c>
      <c r="C4315" s="17">
        <v>20230101</v>
      </c>
      <c r="D4315" s="17">
        <v>22991231</v>
      </c>
      <c r="E4315" s="25">
        <v>190.54</v>
      </c>
    </row>
    <row r="4316" spans="1:5" ht="26" x14ac:dyDescent="0.3">
      <c r="A4316" s="17" t="str">
        <f>"70544"</f>
        <v>70544</v>
      </c>
      <c r="B4316" s="5" t="s">
        <v>4471</v>
      </c>
      <c r="C4316" s="17">
        <v>20151001</v>
      </c>
      <c r="D4316" s="17">
        <v>22991231</v>
      </c>
      <c r="E4316" s="25">
        <v>121.41</v>
      </c>
    </row>
    <row r="4317" spans="1:5" x14ac:dyDescent="0.3">
      <c r="A4317" s="17" t="str">
        <f>"70545"</f>
        <v>70545</v>
      </c>
      <c r="B4317" s="5" t="s">
        <v>4472</v>
      </c>
      <c r="C4317" s="17">
        <v>20230101</v>
      </c>
      <c r="D4317" s="17">
        <v>22991231</v>
      </c>
      <c r="E4317" s="25">
        <v>178.9</v>
      </c>
    </row>
    <row r="4318" spans="1:5" ht="26" x14ac:dyDescent="0.3">
      <c r="A4318" s="17" t="str">
        <f>"70546"</f>
        <v>70546</v>
      </c>
      <c r="B4318" s="5" t="s">
        <v>4473</v>
      </c>
      <c r="C4318" s="17">
        <v>20230101</v>
      </c>
      <c r="D4318" s="17">
        <v>22991231</v>
      </c>
      <c r="E4318" s="25">
        <v>190.54</v>
      </c>
    </row>
    <row r="4319" spans="1:5" ht="26" x14ac:dyDescent="0.3">
      <c r="A4319" s="17" t="str">
        <f>"70547"</f>
        <v>70547</v>
      </c>
      <c r="B4319" s="5" t="s">
        <v>4474</v>
      </c>
      <c r="C4319" s="17">
        <v>20230101</v>
      </c>
      <c r="D4319" s="17">
        <v>22991231</v>
      </c>
      <c r="E4319" s="25">
        <v>121.41</v>
      </c>
    </row>
    <row r="4320" spans="1:5" x14ac:dyDescent="0.3">
      <c r="A4320" s="17" t="str">
        <f>"70548"</f>
        <v>70548</v>
      </c>
      <c r="B4320" s="5" t="s">
        <v>4475</v>
      </c>
      <c r="C4320" s="17">
        <v>20060915</v>
      </c>
      <c r="D4320" s="17">
        <v>22991231</v>
      </c>
      <c r="E4320" s="25">
        <v>187.03</v>
      </c>
    </row>
    <row r="4321" spans="1:5" ht="26" x14ac:dyDescent="0.3">
      <c r="A4321" s="17" t="str">
        <f>"70549"</f>
        <v>70549</v>
      </c>
      <c r="B4321" s="5" t="s">
        <v>4476</v>
      </c>
      <c r="C4321" s="17">
        <v>20151001</v>
      </c>
      <c r="D4321" s="17">
        <v>22991231</v>
      </c>
      <c r="E4321" s="25">
        <v>190.54</v>
      </c>
    </row>
    <row r="4322" spans="1:5" x14ac:dyDescent="0.3">
      <c r="A4322" s="17" t="str">
        <f>"70551"</f>
        <v>70551</v>
      </c>
      <c r="B4322" s="5" t="s">
        <v>4477</v>
      </c>
      <c r="C4322" s="17">
        <v>20151001</v>
      </c>
      <c r="D4322" s="17">
        <v>22991231</v>
      </c>
      <c r="E4322" s="25">
        <v>121.41</v>
      </c>
    </row>
    <row r="4323" spans="1:5" x14ac:dyDescent="0.3">
      <c r="A4323" s="17" t="str">
        <f>"70552"</f>
        <v>70552</v>
      </c>
      <c r="B4323" s="5" t="s">
        <v>4478</v>
      </c>
      <c r="C4323" s="17">
        <v>20060915</v>
      </c>
      <c r="D4323" s="17">
        <v>22991231</v>
      </c>
      <c r="E4323" s="25">
        <v>201.41</v>
      </c>
    </row>
    <row r="4324" spans="1:5" x14ac:dyDescent="0.3">
      <c r="A4324" s="17" t="str">
        <f>"70553"</f>
        <v>70553</v>
      </c>
      <c r="B4324" s="5" t="s">
        <v>4479</v>
      </c>
      <c r="C4324" s="17">
        <v>20151001</v>
      </c>
      <c r="D4324" s="17">
        <v>22991231</v>
      </c>
      <c r="E4324" s="25">
        <v>190.54</v>
      </c>
    </row>
    <row r="4325" spans="1:5" x14ac:dyDescent="0.3">
      <c r="A4325" s="17" t="str">
        <f>"70554"</f>
        <v>70554</v>
      </c>
      <c r="B4325" s="5" t="s">
        <v>4480</v>
      </c>
      <c r="C4325" s="17">
        <v>20230101</v>
      </c>
      <c r="D4325" s="17">
        <v>22991231</v>
      </c>
      <c r="E4325" s="25">
        <v>121.41</v>
      </c>
    </row>
    <row r="4326" spans="1:5" ht="26" x14ac:dyDescent="0.3">
      <c r="A4326" s="17" t="str">
        <f>"70555"</f>
        <v>70555</v>
      </c>
      <c r="B4326" s="5" t="s">
        <v>4481</v>
      </c>
      <c r="C4326" s="17">
        <v>20230101</v>
      </c>
      <c r="D4326" s="17">
        <v>22991231</v>
      </c>
      <c r="E4326" s="25">
        <v>121.41</v>
      </c>
    </row>
    <row r="4327" spans="1:5" ht="26" x14ac:dyDescent="0.3">
      <c r="A4327" s="17" t="str">
        <f>"70557"</f>
        <v>70557</v>
      </c>
      <c r="B4327" s="5" t="s">
        <v>4482</v>
      </c>
      <c r="C4327" s="17">
        <v>20230101</v>
      </c>
      <c r="D4327" s="17">
        <v>22991231</v>
      </c>
      <c r="E4327" s="25">
        <v>273.33999999999997</v>
      </c>
    </row>
    <row r="4328" spans="1:5" ht="26" x14ac:dyDescent="0.3">
      <c r="A4328" s="17" t="str">
        <f>"70558"</f>
        <v>70558</v>
      </c>
      <c r="B4328" s="5" t="s">
        <v>4483</v>
      </c>
      <c r="C4328" s="17">
        <v>20230101</v>
      </c>
      <c r="D4328" s="17">
        <v>22991231</v>
      </c>
      <c r="E4328" s="25">
        <v>91.04</v>
      </c>
    </row>
    <row r="4329" spans="1:5" ht="26" x14ac:dyDescent="0.3">
      <c r="A4329" s="17" t="str">
        <f>"70559"</f>
        <v>70559</v>
      </c>
      <c r="B4329" s="5" t="s">
        <v>4484</v>
      </c>
      <c r="C4329" s="17">
        <v>20230101</v>
      </c>
      <c r="D4329" s="17">
        <v>22991231</v>
      </c>
      <c r="E4329" s="25">
        <v>91.04</v>
      </c>
    </row>
    <row r="4330" spans="1:5" x14ac:dyDescent="0.3">
      <c r="A4330" s="17" t="str">
        <f>"71045"</f>
        <v>71045</v>
      </c>
      <c r="B4330" s="5" t="s">
        <v>4485</v>
      </c>
      <c r="C4330" s="17">
        <v>20180101</v>
      </c>
      <c r="D4330" s="17">
        <v>22991231</v>
      </c>
      <c r="E4330" s="25">
        <v>17.82</v>
      </c>
    </row>
    <row r="4331" spans="1:5" x14ac:dyDescent="0.3">
      <c r="A4331" s="17" t="str">
        <f>"71046"</f>
        <v>71046</v>
      </c>
      <c r="B4331" s="5" t="s">
        <v>4486</v>
      </c>
      <c r="C4331" s="17">
        <v>20180101</v>
      </c>
      <c r="D4331" s="17">
        <v>22991231</v>
      </c>
      <c r="E4331" s="25">
        <v>24.08</v>
      </c>
    </row>
    <row r="4332" spans="1:5" x14ac:dyDescent="0.3">
      <c r="A4332" s="17" t="str">
        <f>"71047"</f>
        <v>71047</v>
      </c>
      <c r="B4332" s="5" t="s">
        <v>4487</v>
      </c>
      <c r="C4332" s="17">
        <v>20180101</v>
      </c>
      <c r="D4332" s="17">
        <v>22991231</v>
      </c>
      <c r="E4332" s="25">
        <v>0</v>
      </c>
    </row>
    <row r="4333" spans="1:5" x14ac:dyDescent="0.3">
      <c r="A4333" s="17" t="str">
        <f>"71048"</f>
        <v>71048</v>
      </c>
      <c r="B4333" s="5" t="s">
        <v>4488</v>
      </c>
      <c r="C4333" s="17">
        <v>20180101</v>
      </c>
      <c r="D4333" s="17">
        <v>22991231</v>
      </c>
      <c r="E4333" s="25">
        <v>0</v>
      </c>
    </row>
    <row r="4334" spans="1:5" x14ac:dyDescent="0.3">
      <c r="A4334" s="17" t="str">
        <f>"71100"</f>
        <v>71100</v>
      </c>
      <c r="B4334" s="5" t="s">
        <v>4489</v>
      </c>
      <c r="C4334" s="17">
        <v>19900101</v>
      </c>
      <c r="D4334" s="17">
        <v>22991231</v>
      </c>
      <c r="E4334" s="25">
        <v>0</v>
      </c>
    </row>
    <row r="4335" spans="1:5" ht="26" x14ac:dyDescent="0.3">
      <c r="A4335" s="17" t="str">
        <f>"71101"</f>
        <v>71101</v>
      </c>
      <c r="B4335" s="5" t="s">
        <v>4490</v>
      </c>
      <c r="C4335" s="17">
        <v>19900101</v>
      </c>
      <c r="D4335" s="17">
        <v>22991231</v>
      </c>
      <c r="E4335" s="25">
        <v>0</v>
      </c>
    </row>
    <row r="4336" spans="1:5" x14ac:dyDescent="0.3">
      <c r="A4336" s="17" t="str">
        <f>"71110"</f>
        <v>71110</v>
      </c>
      <c r="B4336" s="5" t="s">
        <v>4491</v>
      </c>
      <c r="C4336" s="17">
        <v>19900101</v>
      </c>
      <c r="D4336" s="17">
        <v>22991231</v>
      </c>
      <c r="E4336" s="25">
        <v>0</v>
      </c>
    </row>
    <row r="4337" spans="1:5" ht="26" x14ac:dyDescent="0.3">
      <c r="A4337" s="17" t="str">
        <f>"71111"</f>
        <v>71111</v>
      </c>
      <c r="B4337" s="5" t="s">
        <v>4492</v>
      </c>
      <c r="C4337" s="17">
        <v>19900101</v>
      </c>
      <c r="D4337" s="17">
        <v>22991231</v>
      </c>
      <c r="E4337" s="25">
        <v>0</v>
      </c>
    </row>
    <row r="4338" spans="1:5" x14ac:dyDescent="0.3">
      <c r="A4338" s="17" t="str">
        <f>"71120"</f>
        <v>71120</v>
      </c>
      <c r="B4338" s="5" t="s">
        <v>4493</v>
      </c>
      <c r="C4338" s="17">
        <v>19900101</v>
      </c>
      <c r="D4338" s="17">
        <v>22991231</v>
      </c>
      <c r="E4338" s="25">
        <v>0</v>
      </c>
    </row>
    <row r="4339" spans="1:5" ht="26" x14ac:dyDescent="0.3">
      <c r="A4339" s="17" t="str">
        <f>"71130"</f>
        <v>71130</v>
      </c>
      <c r="B4339" s="5" t="s">
        <v>4494</v>
      </c>
      <c r="C4339" s="17">
        <v>19900101</v>
      </c>
      <c r="D4339" s="17">
        <v>22991231</v>
      </c>
      <c r="E4339" s="25">
        <v>0</v>
      </c>
    </row>
    <row r="4340" spans="1:5" x14ac:dyDescent="0.3">
      <c r="A4340" s="17" t="str">
        <f>"71250"</f>
        <v>71250</v>
      </c>
      <c r="B4340" s="5" t="s">
        <v>4495</v>
      </c>
      <c r="C4340" s="17">
        <v>19900101</v>
      </c>
      <c r="D4340" s="17">
        <v>22991231</v>
      </c>
      <c r="E4340" s="25">
        <v>54.47</v>
      </c>
    </row>
    <row r="4341" spans="1:5" x14ac:dyDescent="0.3">
      <c r="A4341" s="17" t="str">
        <f>"71260"</f>
        <v>71260</v>
      </c>
      <c r="B4341" s="5" t="s">
        <v>4496</v>
      </c>
      <c r="C4341" s="17">
        <v>19900101</v>
      </c>
      <c r="D4341" s="17">
        <v>22991231</v>
      </c>
      <c r="E4341" s="25">
        <v>91.04</v>
      </c>
    </row>
    <row r="4342" spans="1:5" x14ac:dyDescent="0.3">
      <c r="A4342" s="17" t="str">
        <f>"71270"</f>
        <v>71270</v>
      </c>
      <c r="B4342" s="5" t="s">
        <v>4497</v>
      </c>
      <c r="C4342" s="17">
        <v>19900101</v>
      </c>
      <c r="D4342" s="17">
        <v>22991231</v>
      </c>
      <c r="E4342" s="25">
        <v>91.04</v>
      </c>
    </row>
    <row r="4343" spans="1:5" ht="26" x14ac:dyDescent="0.3">
      <c r="A4343" s="17" t="str">
        <f>"71271"</f>
        <v>71271</v>
      </c>
      <c r="B4343" s="5" t="s">
        <v>4498</v>
      </c>
      <c r="C4343" s="17">
        <v>20210101</v>
      </c>
      <c r="D4343" s="17">
        <v>22991231</v>
      </c>
      <c r="E4343" s="24" t="s">
        <v>7128</v>
      </c>
    </row>
    <row r="4344" spans="1:5" x14ac:dyDescent="0.3">
      <c r="A4344" s="17" t="str">
        <f>"71275"</f>
        <v>71275</v>
      </c>
      <c r="B4344" s="5" t="s">
        <v>4499</v>
      </c>
      <c r="C4344" s="17">
        <v>20010101</v>
      </c>
      <c r="D4344" s="17">
        <v>22991231</v>
      </c>
      <c r="E4344" s="25">
        <v>91.04</v>
      </c>
    </row>
    <row r="4345" spans="1:5" x14ac:dyDescent="0.3">
      <c r="A4345" s="17" t="str">
        <f>"71550"</f>
        <v>71550</v>
      </c>
      <c r="B4345" s="5" t="s">
        <v>4500</v>
      </c>
      <c r="C4345" s="17">
        <v>20151001</v>
      </c>
      <c r="D4345" s="17">
        <v>22991231</v>
      </c>
      <c r="E4345" s="25">
        <v>121.41</v>
      </c>
    </row>
    <row r="4346" spans="1:5" x14ac:dyDescent="0.3">
      <c r="A4346" s="17" t="str">
        <f>"71551"</f>
        <v>71551</v>
      </c>
      <c r="B4346" s="5" t="s">
        <v>4501</v>
      </c>
      <c r="C4346" s="17">
        <v>20151001</v>
      </c>
      <c r="D4346" s="17">
        <v>22991231</v>
      </c>
      <c r="E4346" s="25">
        <v>302.74</v>
      </c>
    </row>
    <row r="4347" spans="1:5" x14ac:dyDescent="0.3">
      <c r="A4347" s="17" t="str">
        <f>"71552"</f>
        <v>71552</v>
      </c>
      <c r="B4347" s="5" t="s">
        <v>4502</v>
      </c>
      <c r="C4347" s="17">
        <v>20151001</v>
      </c>
      <c r="D4347" s="17">
        <v>22991231</v>
      </c>
      <c r="E4347" s="25">
        <v>190.54</v>
      </c>
    </row>
    <row r="4348" spans="1:5" x14ac:dyDescent="0.3">
      <c r="A4348" s="17" t="str">
        <f>"71555"</f>
        <v>71555</v>
      </c>
      <c r="B4348" s="5" t="s">
        <v>4503</v>
      </c>
      <c r="C4348" s="17">
        <v>20151001</v>
      </c>
      <c r="D4348" s="17">
        <v>22991231</v>
      </c>
      <c r="E4348" s="24" t="s">
        <v>7128</v>
      </c>
    </row>
    <row r="4349" spans="1:5" x14ac:dyDescent="0.3">
      <c r="A4349" s="17" t="str">
        <f>"72020"</f>
        <v>72020</v>
      </c>
      <c r="B4349" s="5" t="s">
        <v>4504</v>
      </c>
      <c r="C4349" s="17">
        <v>19900101</v>
      </c>
      <c r="D4349" s="17">
        <v>22991231</v>
      </c>
      <c r="E4349" s="25">
        <v>0</v>
      </c>
    </row>
    <row r="4350" spans="1:5" x14ac:dyDescent="0.3">
      <c r="A4350" s="17" t="str">
        <f>"72040"</f>
        <v>72040</v>
      </c>
      <c r="B4350" s="5" t="s">
        <v>4505</v>
      </c>
      <c r="C4350" s="17">
        <v>19900101</v>
      </c>
      <c r="D4350" s="17">
        <v>22991231</v>
      </c>
      <c r="E4350" s="25">
        <v>0</v>
      </c>
    </row>
    <row r="4351" spans="1:5" x14ac:dyDescent="0.3">
      <c r="A4351" s="17" t="str">
        <f>"72050"</f>
        <v>72050</v>
      </c>
      <c r="B4351" s="5" t="s">
        <v>4506</v>
      </c>
      <c r="C4351" s="17">
        <v>19900101</v>
      </c>
      <c r="D4351" s="17">
        <v>22991231</v>
      </c>
      <c r="E4351" s="25">
        <v>0</v>
      </c>
    </row>
    <row r="4352" spans="1:5" x14ac:dyDescent="0.3">
      <c r="A4352" s="17" t="str">
        <f>"72052"</f>
        <v>72052</v>
      </c>
      <c r="B4352" s="5" t="s">
        <v>4507</v>
      </c>
      <c r="C4352" s="17">
        <v>19900101</v>
      </c>
      <c r="D4352" s="17">
        <v>22991231</v>
      </c>
      <c r="E4352" s="25">
        <v>0</v>
      </c>
    </row>
    <row r="4353" spans="1:5" x14ac:dyDescent="0.3">
      <c r="A4353" s="17" t="str">
        <f>"72070"</f>
        <v>72070</v>
      </c>
      <c r="B4353" s="5" t="s">
        <v>4508</v>
      </c>
      <c r="C4353" s="17">
        <v>19900101</v>
      </c>
      <c r="D4353" s="17">
        <v>22991231</v>
      </c>
      <c r="E4353" s="25">
        <v>0</v>
      </c>
    </row>
    <row r="4354" spans="1:5" x14ac:dyDescent="0.3">
      <c r="A4354" s="17" t="str">
        <f>"72072"</f>
        <v>72072</v>
      </c>
      <c r="B4354" s="5" t="s">
        <v>4509</v>
      </c>
      <c r="C4354" s="17">
        <v>19900101</v>
      </c>
      <c r="D4354" s="17">
        <v>22991231</v>
      </c>
      <c r="E4354" s="25">
        <v>0</v>
      </c>
    </row>
    <row r="4355" spans="1:5" x14ac:dyDescent="0.3">
      <c r="A4355" s="17" t="str">
        <f>"72074"</f>
        <v>72074</v>
      </c>
      <c r="B4355" s="5" t="s">
        <v>4510</v>
      </c>
      <c r="C4355" s="17">
        <v>19900101</v>
      </c>
      <c r="D4355" s="17">
        <v>22991231</v>
      </c>
      <c r="E4355" s="25">
        <v>0</v>
      </c>
    </row>
    <row r="4356" spans="1:5" x14ac:dyDescent="0.3">
      <c r="A4356" s="17" t="str">
        <f>"72080"</f>
        <v>72080</v>
      </c>
      <c r="B4356" s="5" t="s">
        <v>4511</v>
      </c>
      <c r="C4356" s="17">
        <v>19900101</v>
      </c>
      <c r="D4356" s="17">
        <v>22991231</v>
      </c>
      <c r="E4356" s="25">
        <v>0</v>
      </c>
    </row>
    <row r="4357" spans="1:5" x14ac:dyDescent="0.3">
      <c r="A4357" s="17" t="str">
        <f>"72081"</f>
        <v>72081</v>
      </c>
      <c r="B4357" s="5" t="s">
        <v>4512</v>
      </c>
      <c r="C4357" s="17">
        <v>20230101</v>
      </c>
      <c r="D4357" s="17">
        <v>22991231</v>
      </c>
      <c r="E4357" s="25">
        <v>0</v>
      </c>
    </row>
    <row r="4358" spans="1:5" ht="26" x14ac:dyDescent="0.3">
      <c r="A4358" s="17" t="str">
        <f>"72082"</f>
        <v>72082</v>
      </c>
      <c r="B4358" s="5" t="s">
        <v>4513</v>
      </c>
      <c r="C4358" s="17">
        <v>20230101</v>
      </c>
      <c r="D4358" s="17">
        <v>22991231</v>
      </c>
      <c r="E4358" s="25">
        <v>0</v>
      </c>
    </row>
    <row r="4359" spans="1:5" ht="26" x14ac:dyDescent="0.3">
      <c r="A4359" s="17" t="str">
        <f>"72083"</f>
        <v>72083</v>
      </c>
      <c r="B4359" s="5" t="s">
        <v>4514</v>
      </c>
      <c r="C4359" s="17">
        <v>20230101</v>
      </c>
      <c r="D4359" s="17">
        <v>22991231</v>
      </c>
      <c r="E4359" s="25">
        <v>54.47</v>
      </c>
    </row>
    <row r="4360" spans="1:5" ht="26" x14ac:dyDescent="0.3">
      <c r="A4360" s="17" t="str">
        <f>"72084"</f>
        <v>72084</v>
      </c>
      <c r="B4360" s="5" t="s">
        <v>4515</v>
      </c>
      <c r="C4360" s="17">
        <v>20230101</v>
      </c>
      <c r="D4360" s="17">
        <v>22991231</v>
      </c>
      <c r="E4360" s="25">
        <v>54.47</v>
      </c>
    </row>
    <row r="4361" spans="1:5" x14ac:dyDescent="0.3">
      <c r="A4361" s="17" t="str">
        <f>"72100"</f>
        <v>72100</v>
      </c>
      <c r="B4361" s="5" t="s">
        <v>4516</v>
      </c>
      <c r="C4361" s="17">
        <v>19900101</v>
      </c>
      <c r="D4361" s="17">
        <v>22991231</v>
      </c>
      <c r="E4361" s="25">
        <v>0</v>
      </c>
    </row>
    <row r="4362" spans="1:5" ht="26" x14ac:dyDescent="0.3">
      <c r="A4362" s="17" t="str">
        <f>"72110"</f>
        <v>72110</v>
      </c>
      <c r="B4362" s="5" t="s">
        <v>4517</v>
      </c>
      <c r="C4362" s="17">
        <v>19900101</v>
      </c>
      <c r="D4362" s="17">
        <v>22991231</v>
      </c>
      <c r="E4362" s="25">
        <v>0</v>
      </c>
    </row>
    <row r="4363" spans="1:5" ht="26" x14ac:dyDescent="0.3">
      <c r="A4363" s="17" t="str">
        <f>"72114"</f>
        <v>72114</v>
      </c>
      <c r="B4363" s="5" t="s">
        <v>4518</v>
      </c>
      <c r="C4363" s="17">
        <v>19900101</v>
      </c>
      <c r="D4363" s="17">
        <v>22991231</v>
      </c>
      <c r="E4363" s="25">
        <v>0</v>
      </c>
    </row>
    <row r="4364" spans="1:5" ht="26" x14ac:dyDescent="0.3">
      <c r="A4364" s="17" t="str">
        <f>"72120"</f>
        <v>72120</v>
      </c>
      <c r="B4364" s="5" t="s">
        <v>4519</v>
      </c>
      <c r="C4364" s="17">
        <v>19900101</v>
      </c>
      <c r="D4364" s="17">
        <v>22991231</v>
      </c>
      <c r="E4364" s="25">
        <v>0</v>
      </c>
    </row>
    <row r="4365" spans="1:5" x14ac:dyDescent="0.3">
      <c r="A4365" s="17" t="str">
        <f>"72125"</f>
        <v>72125</v>
      </c>
      <c r="B4365" s="5" t="s">
        <v>4520</v>
      </c>
      <c r="C4365" s="17">
        <v>19900101</v>
      </c>
      <c r="D4365" s="17">
        <v>22991231</v>
      </c>
      <c r="E4365" s="25">
        <v>54.47</v>
      </c>
    </row>
    <row r="4366" spans="1:5" x14ac:dyDescent="0.3">
      <c r="A4366" s="17" t="str">
        <f>"72126"</f>
        <v>72126</v>
      </c>
      <c r="B4366" s="5" t="s">
        <v>4521</v>
      </c>
      <c r="C4366" s="17">
        <v>19900101</v>
      </c>
      <c r="D4366" s="17">
        <v>22991231</v>
      </c>
      <c r="E4366" s="25">
        <v>121.66</v>
      </c>
    </row>
    <row r="4367" spans="1:5" x14ac:dyDescent="0.3">
      <c r="A4367" s="17" t="str">
        <f>"72127"</f>
        <v>72127</v>
      </c>
      <c r="B4367" s="5" t="s">
        <v>4522</v>
      </c>
      <c r="C4367" s="17">
        <v>19900101</v>
      </c>
      <c r="D4367" s="17">
        <v>22991231</v>
      </c>
      <c r="E4367" s="25">
        <v>91.04</v>
      </c>
    </row>
    <row r="4368" spans="1:5" x14ac:dyDescent="0.3">
      <c r="A4368" s="17" t="str">
        <f>"72128"</f>
        <v>72128</v>
      </c>
      <c r="B4368" s="5" t="s">
        <v>4523</v>
      </c>
      <c r="C4368" s="17">
        <v>19900101</v>
      </c>
      <c r="D4368" s="17">
        <v>22991231</v>
      </c>
      <c r="E4368" s="25">
        <v>54.47</v>
      </c>
    </row>
    <row r="4369" spans="1:5" x14ac:dyDescent="0.3">
      <c r="A4369" s="17" t="str">
        <f>"72129"</f>
        <v>72129</v>
      </c>
      <c r="B4369" s="5" t="s">
        <v>4524</v>
      </c>
      <c r="C4369" s="17">
        <v>19900101</v>
      </c>
      <c r="D4369" s="17">
        <v>22991231</v>
      </c>
      <c r="E4369" s="25">
        <v>91.04</v>
      </c>
    </row>
    <row r="4370" spans="1:5" ht="26" x14ac:dyDescent="0.3">
      <c r="A4370" s="17" t="str">
        <f>"72130"</f>
        <v>72130</v>
      </c>
      <c r="B4370" s="5" t="s">
        <v>4525</v>
      </c>
      <c r="C4370" s="17">
        <v>19900101</v>
      </c>
      <c r="D4370" s="17">
        <v>22991231</v>
      </c>
      <c r="E4370" s="25">
        <v>91.04</v>
      </c>
    </row>
    <row r="4371" spans="1:5" x14ac:dyDescent="0.3">
      <c r="A4371" s="17" t="str">
        <f>"72131"</f>
        <v>72131</v>
      </c>
      <c r="B4371" s="5" t="s">
        <v>4526</v>
      </c>
      <c r="C4371" s="17">
        <v>19900101</v>
      </c>
      <c r="D4371" s="17">
        <v>22991231</v>
      </c>
      <c r="E4371" s="25">
        <v>54.47</v>
      </c>
    </row>
    <row r="4372" spans="1:5" x14ac:dyDescent="0.3">
      <c r="A4372" s="17" t="str">
        <f>"72132"</f>
        <v>72132</v>
      </c>
      <c r="B4372" s="5" t="s">
        <v>4527</v>
      </c>
      <c r="C4372" s="17">
        <v>19900101</v>
      </c>
      <c r="D4372" s="17">
        <v>22991231</v>
      </c>
      <c r="E4372" s="25">
        <v>121.97</v>
      </c>
    </row>
    <row r="4373" spans="1:5" x14ac:dyDescent="0.3">
      <c r="A4373" s="17" t="str">
        <f>"72133"</f>
        <v>72133</v>
      </c>
      <c r="B4373" s="5" t="s">
        <v>4528</v>
      </c>
      <c r="C4373" s="17">
        <v>19900101</v>
      </c>
      <c r="D4373" s="17">
        <v>22991231</v>
      </c>
      <c r="E4373" s="25">
        <v>91.04</v>
      </c>
    </row>
    <row r="4374" spans="1:5" x14ac:dyDescent="0.3">
      <c r="A4374" s="17" t="str">
        <f>"72141"</f>
        <v>72141</v>
      </c>
      <c r="B4374" s="5" t="s">
        <v>4529</v>
      </c>
      <c r="C4374" s="17">
        <v>20151001</v>
      </c>
      <c r="D4374" s="17">
        <v>22991231</v>
      </c>
      <c r="E4374" s="25">
        <v>134.49</v>
      </c>
    </row>
    <row r="4375" spans="1:5" x14ac:dyDescent="0.3">
      <c r="A4375" s="17" t="str">
        <f>"72142"</f>
        <v>72142</v>
      </c>
      <c r="B4375" s="5" t="s">
        <v>4530</v>
      </c>
      <c r="C4375" s="17">
        <v>20151001</v>
      </c>
      <c r="D4375" s="17">
        <v>22991231</v>
      </c>
      <c r="E4375" s="25">
        <v>206.1</v>
      </c>
    </row>
    <row r="4376" spans="1:5" ht="26" x14ac:dyDescent="0.3">
      <c r="A4376" s="17" t="str">
        <f>"72146"</f>
        <v>72146</v>
      </c>
      <c r="B4376" s="5" t="s">
        <v>4531</v>
      </c>
      <c r="C4376" s="17">
        <v>20060915</v>
      </c>
      <c r="D4376" s="17">
        <v>22991231</v>
      </c>
      <c r="E4376" s="25">
        <v>134.16999999999999</v>
      </c>
    </row>
    <row r="4377" spans="1:5" x14ac:dyDescent="0.3">
      <c r="A4377" s="17" t="str">
        <f>"72147"</f>
        <v>72147</v>
      </c>
      <c r="B4377" s="5" t="s">
        <v>4532</v>
      </c>
      <c r="C4377" s="17">
        <v>20151001</v>
      </c>
      <c r="D4377" s="17">
        <v>22991231</v>
      </c>
      <c r="E4377" s="25">
        <v>203.91</v>
      </c>
    </row>
    <row r="4378" spans="1:5" x14ac:dyDescent="0.3">
      <c r="A4378" s="17" t="str">
        <f>"72148"</f>
        <v>72148</v>
      </c>
      <c r="B4378" s="5" t="s">
        <v>4533</v>
      </c>
      <c r="C4378" s="17">
        <v>20060915</v>
      </c>
      <c r="D4378" s="17">
        <v>22991231</v>
      </c>
      <c r="E4378" s="25">
        <v>135.11000000000001</v>
      </c>
    </row>
    <row r="4379" spans="1:5" x14ac:dyDescent="0.3">
      <c r="A4379" s="17" t="str">
        <f>"72149"</f>
        <v>72149</v>
      </c>
      <c r="B4379" s="5" t="s">
        <v>4534</v>
      </c>
      <c r="C4379" s="17">
        <v>20060915</v>
      </c>
      <c r="D4379" s="17">
        <v>22991231</v>
      </c>
      <c r="E4379" s="25">
        <v>201.41</v>
      </c>
    </row>
    <row r="4380" spans="1:5" ht="26" x14ac:dyDescent="0.3">
      <c r="A4380" s="17" t="str">
        <f>"72156"</f>
        <v>72156</v>
      </c>
      <c r="B4380" s="5" t="s">
        <v>4535</v>
      </c>
      <c r="C4380" s="17">
        <v>20060915</v>
      </c>
      <c r="D4380" s="17">
        <v>22991231</v>
      </c>
      <c r="E4380" s="25">
        <v>190.54</v>
      </c>
    </row>
    <row r="4381" spans="1:5" ht="26" x14ac:dyDescent="0.3">
      <c r="A4381" s="17" t="str">
        <f>"72157"</f>
        <v>72157</v>
      </c>
      <c r="B4381" s="5" t="s">
        <v>4536</v>
      </c>
      <c r="C4381" s="17">
        <v>20151001</v>
      </c>
      <c r="D4381" s="17">
        <v>22991231</v>
      </c>
      <c r="E4381" s="25">
        <v>190.54</v>
      </c>
    </row>
    <row r="4382" spans="1:5" ht="26" x14ac:dyDescent="0.3">
      <c r="A4382" s="17" t="str">
        <f>"72158"</f>
        <v>72158</v>
      </c>
      <c r="B4382" s="5" t="s">
        <v>4537</v>
      </c>
      <c r="C4382" s="17">
        <v>20151001</v>
      </c>
      <c r="D4382" s="17">
        <v>22991231</v>
      </c>
      <c r="E4382" s="25">
        <v>190.54</v>
      </c>
    </row>
    <row r="4383" spans="1:5" x14ac:dyDescent="0.3">
      <c r="A4383" s="17" t="str">
        <f>"72159"</f>
        <v>72159</v>
      </c>
      <c r="B4383" s="5" t="s">
        <v>4538</v>
      </c>
      <c r="C4383" s="17">
        <v>20060915</v>
      </c>
      <c r="D4383" s="17">
        <v>22991231</v>
      </c>
      <c r="E4383" s="24" t="s">
        <v>7128</v>
      </c>
    </row>
    <row r="4384" spans="1:5" x14ac:dyDescent="0.3">
      <c r="A4384" s="17" t="str">
        <f>"72170"</f>
        <v>72170</v>
      </c>
      <c r="B4384" s="5" t="s">
        <v>4539</v>
      </c>
      <c r="C4384" s="17">
        <v>19900101</v>
      </c>
      <c r="D4384" s="17">
        <v>22991231</v>
      </c>
      <c r="E4384" s="25">
        <v>0</v>
      </c>
    </row>
    <row r="4385" spans="1:5" x14ac:dyDescent="0.3">
      <c r="A4385" s="17" t="str">
        <f>"72190"</f>
        <v>72190</v>
      </c>
      <c r="B4385" s="5" t="s">
        <v>4540</v>
      </c>
      <c r="C4385" s="17">
        <v>19900101</v>
      </c>
      <c r="D4385" s="17">
        <v>22991231</v>
      </c>
      <c r="E4385" s="25">
        <v>0</v>
      </c>
    </row>
    <row r="4386" spans="1:5" x14ac:dyDescent="0.3">
      <c r="A4386" s="17" t="str">
        <f>"72191"</f>
        <v>72191</v>
      </c>
      <c r="B4386" s="5" t="s">
        <v>4541</v>
      </c>
      <c r="C4386" s="17">
        <v>20230101</v>
      </c>
      <c r="D4386" s="17">
        <v>22991231</v>
      </c>
      <c r="E4386" s="25">
        <v>91.04</v>
      </c>
    </row>
    <row r="4387" spans="1:5" x14ac:dyDescent="0.3">
      <c r="A4387" s="17" t="str">
        <f>"72192"</f>
        <v>72192</v>
      </c>
      <c r="B4387" s="5" t="s">
        <v>4542</v>
      </c>
      <c r="C4387" s="17">
        <v>19900101</v>
      </c>
      <c r="D4387" s="17">
        <v>22991231</v>
      </c>
      <c r="E4387" s="25">
        <v>54.47</v>
      </c>
    </row>
    <row r="4388" spans="1:5" x14ac:dyDescent="0.3">
      <c r="A4388" s="17" t="str">
        <f>"72193"</f>
        <v>72193</v>
      </c>
      <c r="B4388" s="5" t="s">
        <v>4543</v>
      </c>
      <c r="C4388" s="17">
        <v>19900101</v>
      </c>
      <c r="D4388" s="17">
        <v>22991231</v>
      </c>
      <c r="E4388" s="25">
        <v>91.04</v>
      </c>
    </row>
    <row r="4389" spans="1:5" x14ac:dyDescent="0.3">
      <c r="A4389" s="17" t="str">
        <f>"72194"</f>
        <v>72194</v>
      </c>
      <c r="B4389" s="5" t="s">
        <v>4544</v>
      </c>
      <c r="C4389" s="17">
        <v>19900101</v>
      </c>
      <c r="D4389" s="17">
        <v>22991231</v>
      </c>
      <c r="E4389" s="25">
        <v>91.04</v>
      </c>
    </row>
    <row r="4390" spans="1:5" x14ac:dyDescent="0.3">
      <c r="A4390" s="17" t="str">
        <f>"72195"</f>
        <v>72195</v>
      </c>
      <c r="B4390" s="5" t="s">
        <v>4545</v>
      </c>
      <c r="C4390" s="17">
        <v>20230101</v>
      </c>
      <c r="D4390" s="17">
        <v>22991231</v>
      </c>
      <c r="E4390" s="25">
        <v>121.41</v>
      </c>
    </row>
    <row r="4391" spans="1:5" x14ac:dyDescent="0.3">
      <c r="A4391" s="17" t="str">
        <f>"72196"</f>
        <v>72196</v>
      </c>
      <c r="B4391" s="5" t="s">
        <v>4546</v>
      </c>
      <c r="C4391" s="17">
        <v>20151001</v>
      </c>
      <c r="D4391" s="17">
        <v>22991231</v>
      </c>
      <c r="E4391" s="25">
        <v>201.11</v>
      </c>
    </row>
    <row r="4392" spans="1:5" x14ac:dyDescent="0.3">
      <c r="A4392" s="17" t="str">
        <f>"72197"</f>
        <v>72197</v>
      </c>
      <c r="B4392" s="5" t="s">
        <v>4547</v>
      </c>
      <c r="C4392" s="17">
        <v>20151001</v>
      </c>
      <c r="D4392" s="17">
        <v>22991231</v>
      </c>
      <c r="E4392" s="25">
        <v>190.54</v>
      </c>
    </row>
    <row r="4393" spans="1:5" x14ac:dyDescent="0.3">
      <c r="A4393" s="17" t="str">
        <f>"72198"</f>
        <v>72198</v>
      </c>
      <c r="B4393" s="5" t="s">
        <v>4548</v>
      </c>
      <c r="C4393" s="17">
        <v>20151001</v>
      </c>
      <c r="D4393" s="17">
        <v>22991231</v>
      </c>
      <c r="E4393" s="24" t="s">
        <v>7128</v>
      </c>
    </row>
    <row r="4394" spans="1:5" ht="26" x14ac:dyDescent="0.3">
      <c r="A4394" s="17" t="str">
        <f>"72200"</f>
        <v>72200</v>
      </c>
      <c r="B4394" s="5" t="s">
        <v>4549</v>
      </c>
      <c r="C4394" s="17">
        <v>19900101</v>
      </c>
      <c r="D4394" s="17">
        <v>22991231</v>
      </c>
      <c r="E4394" s="25">
        <v>0</v>
      </c>
    </row>
    <row r="4395" spans="1:5" ht="26" x14ac:dyDescent="0.3">
      <c r="A4395" s="17" t="str">
        <f>"72202"</f>
        <v>72202</v>
      </c>
      <c r="B4395" s="5" t="s">
        <v>4550</v>
      </c>
      <c r="C4395" s="17">
        <v>19900101</v>
      </c>
      <c r="D4395" s="17">
        <v>22991231</v>
      </c>
      <c r="E4395" s="25">
        <v>0</v>
      </c>
    </row>
    <row r="4396" spans="1:5" ht="26" x14ac:dyDescent="0.3">
      <c r="A4396" s="17" t="str">
        <f>"72220"</f>
        <v>72220</v>
      </c>
      <c r="B4396" s="5" t="s">
        <v>4551</v>
      </c>
      <c r="C4396" s="17">
        <v>19900101</v>
      </c>
      <c r="D4396" s="17">
        <v>22991231</v>
      </c>
      <c r="E4396" s="25">
        <v>0</v>
      </c>
    </row>
    <row r="4397" spans="1:5" ht="26" x14ac:dyDescent="0.3">
      <c r="A4397" s="17" t="str">
        <f>"72240"</f>
        <v>72240</v>
      </c>
      <c r="B4397" s="5" t="s">
        <v>4552</v>
      </c>
      <c r="C4397" s="17">
        <v>19900101</v>
      </c>
      <c r="D4397" s="17">
        <v>22991231</v>
      </c>
      <c r="E4397" s="25">
        <v>0</v>
      </c>
    </row>
    <row r="4398" spans="1:5" ht="26" x14ac:dyDescent="0.3">
      <c r="A4398" s="17" t="str">
        <f>"72255"</f>
        <v>72255</v>
      </c>
      <c r="B4398" s="5" t="s">
        <v>4553</v>
      </c>
      <c r="C4398" s="17">
        <v>19900101</v>
      </c>
      <c r="D4398" s="17">
        <v>22991231</v>
      </c>
      <c r="E4398" s="25">
        <v>0</v>
      </c>
    </row>
    <row r="4399" spans="1:5" ht="26" x14ac:dyDescent="0.3">
      <c r="A4399" s="17" t="str">
        <f>"72265"</f>
        <v>72265</v>
      </c>
      <c r="B4399" s="5" t="s">
        <v>4554</v>
      </c>
      <c r="C4399" s="17">
        <v>19900101</v>
      </c>
      <c r="D4399" s="17">
        <v>22991231</v>
      </c>
      <c r="E4399" s="25">
        <v>0</v>
      </c>
    </row>
    <row r="4400" spans="1:5" ht="26" x14ac:dyDescent="0.3">
      <c r="A4400" s="17" t="str">
        <f>"72270"</f>
        <v>72270</v>
      </c>
      <c r="B4400" s="5" t="s">
        <v>4555</v>
      </c>
      <c r="C4400" s="17">
        <v>19900101</v>
      </c>
      <c r="D4400" s="17">
        <v>22991231</v>
      </c>
      <c r="E4400" s="25">
        <v>0</v>
      </c>
    </row>
    <row r="4401" spans="1:5" ht="26" x14ac:dyDescent="0.3">
      <c r="A4401" s="17" t="str">
        <f>"72285"</f>
        <v>72285</v>
      </c>
      <c r="B4401" s="5" t="s">
        <v>4556</v>
      </c>
      <c r="C4401" s="17">
        <v>19900101</v>
      </c>
      <c r="D4401" s="17">
        <v>22991231</v>
      </c>
      <c r="E4401" s="25">
        <v>0</v>
      </c>
    </row>
    <row r="4402" spans="1:5" ht="26" x14ac:dyDescent="0.3">
      <c r="A4402" s="17" t="str">
        <f>"72295"</f>
        <v>72295</v>
      </c>
      <c r="B4402" s="5" t="s">
        <v>4557</v>
      </c>
      <c r="C4402" s="17">
        <v>19900101</v>
      </c>
      <c r="D4402" s="17">
        <v>22991231</v>
      </c>
      <c r="E4402" s="25">
        <v>0</v>
      </c>
    </row>
    <row r="4403" spans="1:5" x14ac:dyDescent="0.3">
      <c r="A4403" s="17" t="str">
        <f>"73000"</f>
        <v>73000</v>
      </c>
      <c r="B4403" s="5" t="s">
        <v>4558</v>
      </c>
      <c r="C4403" s="17">
        <v>19900101</v>
      </c>
      <c r="D4403" s="17">
        <v>22991231</v>
      </c>
      <c r="E4403" s="25">
        <v>0</v>
      </c>
    </row>
    <row r="4404" spans="1:5" x14ac:dyDescent="0.3">
      <c r="A4404" s="17" t="str">
        <f>"73010"</f>
        <v>73010</v>
      </c>
      <c r="B4404" s="5" t="s">
        <v>4559</v>
      </c>
      <c r="C4404" s="17">
        <v>19900101</v>
      </c>
      <c r="D4404" s="17">
        <v>22991231</v>
      </c>
      <c r="E4404" s="25">
        <v>0</v>
      </c>
    </row>
    <row r="4405" spans="1:5" x14ac:dyDescent="0.3">
      <c r="A4405" s="17" t="str">
        <f>"73020"</f>
        <v>73020</v>
      </c>
      <c r="B4405" s="5" t="s">
        <v>4560</v>
      </c>
      <c r="C4405" s="17">
        <v>19900101</v>
      </c>
      <c r="D4405" s="17">
        <v>22991231</v>
      </c>
      <c r="E4405" s="25">
        <v>0</v>
      </c>
    </row>
    <row r="4406" spans="1:5" x14ac:dyDescent="0.3">
      <c r="A4406" s="17" t="str">
        <f>"73030"</f>
        <v>73030</v>
      </c>
      <c r="B4406" s="5" t="s">
        <v>4561</v>
      </c>
      <c r="C4406" s="17">
        <v>19900101</v>
      </c>
      <c r="D4406" s="17">
        <v>22991231</v>
      </c>
      <c r="E4406" s="25">
        <v>0</v>
      </c>
    </row>
    <row r="4407" spans="1:5" x14ac:dyDescent="0.3">
      <c r="A4407" s="17" t="str">
        <f>"73040"</f>
        <v>73040</v>
      </c>
      <c r="B4407" s="5" t="s">
        <v>4562</v>
      </c>
      <c r="C4407" s="17">
        <v>19900101</v>
      </c>
      <c r="D4407" s="17">
        <v>22991231</v>
      </c>
      <c r="E4407" s="25">
        <v>0</v>
      </c>
    </row>
    <row r="4408" spans="1:5" x14ac:dyDescent="0.3">
      <c r="A4408" s="17" t="str">
        <f>"73050"</f>
        <v>73050</v>
      </c>
      <c r="B4408" s="5" t="s">
        <v>4563</v>
      </c>
      <c r="C4408" s="17">
        <v>19900101</v>
      </c>
      <c r="D4408" s="17">
        <v>22991231</v>
      </c>
      <c r="E4408" s="25">
        <v>0</v>
      </c>
    </row>
    <row r="4409" spans="1:5" x14ac:dyDescent="0.3">
      <c r="A4409" s="17" t="str">
        <f>"73060"</f>
        <v>73060</v>
      </c>
      <c r="B4409" s="5" t="s">
        <v>4564</v>
      </c>
      <c r="C4409" s="17">
        <v>19900101</v>
      </c>
      <c r="D4409" s="17">
        <v>22991231</v>
      </c>
      <c r="E4409" s="25">
        <v>0</v>
      </c>
    </row>
    <row r="4410" spans="1:5" x14ac:dyDescent="0.3">
      <c r="A4410" s="17" t="str">
        <f>"73070"</f>
        <v>73070</v>
      </c>
      <c r="B4410" s="5" t="s">
        <v>4565</v>
      </c>
      <c r="C4410" s="17">
        <v>19900101</v>
      </c>
      <c r="D4410" s="17">
        <v>22991231</v>
      </c>
      <c r="E4410" s="25">
        <v>0</v>
      </c>
    </row>
    <row r="4411" spans="1:5" x14ac:dyDescent="0.3">
      <c r="A4411" s="17" t="str">
        <f>"73080"</f>
        <v>73080</v>
      </c>
      <c r="B4411" s="5" t="s">
        <v>4566</v>
      </c>
      <c r="C4411" s="17">
        <v>19900101</v>
      </c>
      <c r="D4411" s="17">
        <v>22991231</v>
      </c>
      <c r="E4411" s="25">
        <v>0</v>
      </c>
    </row>
    <row r="4412" spans="1:5" x14ac:dyDescent="0.3">
      <c r="A4412" s="17" t="str">
        <f>"73085"</f>
        <v>73085</v>
      </c>
      <c r="B4412" s="5" t="s">
        <v>4567</v>
      </c>
      <c r="C4412" s="17">
        <v>19900101</v>
      </c>
      <c r="D4412" s="17">
        <v>22991231</v>
      </c>
      <c r="E4412" s="25">
        <v>0</v>
      </c>
    </row>
    <row r="4413" spans="1:5" x14ac:dyDescent="0.3">
      <c r="A4413" s="17" t="str">
        <f>"73090"</f>
        <v>73090</v>
      </c>
      <c r="B4413" s="5" t="s">
        <v>4568</v>
      </c>
      <c r="C4413" s="17">
        <v>19900101</v>
      </c>
      <c r="D4413" s="17">
        <v>22991231</v>
      </c>
      <c r="E4413" s="25">
        <v>0</v>
      </c>
    </row>
    <row r="4414" spans="1:5" x14ac:dyDescent="0.3">
      <c r="A4414" s="17" t="str">
        <f>"73092"</f>
        <v>73092</v>
      </c>
      <c r="B4414" s="5" t="s">
        <v>4569</v>
      </c>
      <c r="C4414" s="17">
        <v>19900101</v>
      </c>
      <c r="D4414" s="17">
        <v>22991231</v>
      </c>
      <c r="E4414" s="25">
        <v>0</v>
      </c>
    </row>
    <row r="4415" spans="1:5" x14ac:dyDescent="0.3">
      <c r="A4415" s="17" t="str">
        <f>"73100"</f>
        <v>73100</v>
      </c>
      <c r="B4415" s="5" t="s">
        <v>4570</v>
      </c>
      <c r="C4415" s="17">
        <v>20020101</v>
      </c>
      <c r="D4415" s="17">
        <v>22991231</v>
      </c>
      <c r="E4415" s="25">
        <v>0</v>
      </c>
    </row>
    <row r="4416" spans="1:5" x14ac:dyDescent="0.3">
      <c r="A4416" s="17" t="str">
        <f>"73110"</f>
        <v>73110</v>
      </c>
      <c r="B4416" s="5" t="s">
        <v>4571</v>
      </c>
      <c r="C4416" s="17">
        <v>19900101</v>
      </c>
      <c r="D4416" s="17">
        <v>22991231</v>
      </c>
      <c r="E4416" s="25">
        <v>0</v>
      </c>
    </row>
    <row r="4417" spans="1:5" x14ac:dyDescent="0.3">
      <c r="A4417" s="17" t="str">
        <f>"73115"</f>
        <v>73115</v>
      </c>
      <c r="B4417" s="5" t="s">
        <v>4572</v>
      </c>
      <c r="C4417" s="17">
        <v>19900101</v>
      </c>
      <c r="D4417" s="17">
        <v>22991231</v>
      </c>
      <c r="E4417" s="25">
        <v>0</v>
      </c>
    </row>
    <row r="4418" spans="1:5" x14ac:dyDescent="0.3">
      <c r="A4418" s="17" t="str">
        <f>"73120"</f>
        <v>73120</v>
      </c>
      <c r="B4418" s="5" t="s">
        <v>4573</v>
      </c>
      <c r="C4418" s="17">
        <v>19900101</v>
      </c>
      <c r="D4418" s="17">
        <v>22991231</v>
      </c>
      <c r="E4418" s="25">
        <v>0</v>
      </c>
    </row>
    <row r="4419" spans="1:5" x14ac:dyDescent="0.3">
      <c r="A4419" s="17" t="str">
        <f>"73130"</f>
        <v>73130</v>
      </c>
      <c r="B4419" s="5" t="s">
        <v>4574</v>
      </c>
      <c r="C4419" s="17">
        <v>19900101</v>
      </c>
      <c r="D4419" s="17">
        <v>22991231</v>
      </c>
      <c r="E4419" s="25">
        <v>0</v>
      </c>
    </row>
    <row r="4420" spans="1:5" x14ac:dyDescent="0.3">
      <c r="A4420" s="17" t="str">
        <f>"73140"</f>
        <v>73140</v>
      </c>
      <c r="B4420" s="5" t="s">
        <v>4575</v>
      </c>
      <c r="C4420" s="17">
        <v>19900101</v>
      </c>
      <c r="D4420" s="17">
        <v>22991231</v>
      </c>
      <c r="E4420" s="25">
        <v>0</v>
      </c>
    </row>
    <row r="4421" spans="1:5" x14ac:dyDescent="0.3">
      <c r="A4421" s="17" t="str">
        <f>"73200"</f>
        <v>73200</v>
      </c>
      <c r="B4421" s="5" t="s">
        <v>4576</v>
      </c>
      <c r="C4421" s="17">
        <v>19900101</v>
      </c>
      <c r="D4421" s="17">
        <v>22991231</v>
      </c>
      <c r="E4421" s="25">
        <v>54.47</v>
      </c>
    </row>
    <row r="4422" spans="1:5" x14ac:dyDescent="0.3">
      <c r="A4422" s="17" t="str">
        <f>"73201"</f>
        <v>73201</v>
      </c>
      <c r="B4422" s="5" t="s">
        <v>4577</v>
      </c>
      <c r="C4422" s="17">
        <v>19900101</v>
      </c>
      <c r="D4422" s="17">
        <v>22991231</v>
      </c>
      <c r="E4422" s="25">
        <v>154.51</v>
      </c>
    </row>
    <row r="4423" spans="1:5" x14ac:dyDescent="0.3">
      <c r="A4423" s="17" t="str">
        <f>"73202"</f>
        <v>73202</v>
      </c>
      <c r="B4423" s="5" t="s">
        <v>4578</v>
      </c>
      <c r="C4423" s="17">
        <v>19900101</v>
      </c>
      <c r="D4423" s="17">
        <v>22991231</v>
      </c>
      <c r="E4423" s="25">
        <v>91.04</v>
      </c>
    </row>
    <row r="4424" spans="1:5" x14ac:dyDescent="0.3">
      <c r="A4424" s="17" t="str">
        <f>"73206"</f>
        <v>73206</v>
      </c>
      <c r="B4424" s="5" t="s">
        <v>4579</v>
      </c>
      <c r="C4424" s="17">
        <v>20230101</v>
      </c>
      <c r="D4424" s="17">
        <v>22991231</v>
      </c>
      <c r="E4424" s="25">
        <v>91.04</v>
      </c>
    </row>
    <row r="4425" spans="1:5" x14ac:dyDescent="0.3">
      <c r="A4425" s="17" t="str">
        <f>"73218"</f>
        <v>73218</v>
      </c>
      <c r="B4425" s="5" t="s">
        <v>4580</v>
      </c>
      <c r="C4425" s="17">
        <v>20230101</v>
      </c>
      <c r="D4425" s="17">
        <v>22991231</v>
      </c>
      <c r="E4425" s="25">
        <v>121.41</v>
      </c>
    </row>
    <row r="4426" spans="1:5" x14ac:dyDescent="0.3">
      <c r="A4426" s="17" t="str">
        <f>"73219"</f>
        <v>73219</v>
      </c>
      <c r="B4426" s="5" t="s">
        <v>4581</v>
      </c>
      <c r="C4426" s="17">
        <v>20230101</v>
      </c>
      <c r="D4426" s="17">
        <v>22991231</v>
      </c>
      <c r="E4426" s="25">
        <v>190.54</v>
      </c>
    </row>
    <row r="4427" spans="1:5" x14ac:dyDescent="0.3">
      <c r="A4427" s="17" t="str">
        <f>"73220"</f>
        <v>73220</v>
      </c>
      <c r="B4427" s="5" t="s">
        <v>4582</v>
      </c>
      <c r="C4427" s="17">
        <v>20060915</v>
      </c>
      <c r="D4427" s="17">
        <v>22991231</v>
      </c>
      <c r="E4427" s="25">
        <v>190.54</v>
      </c>
    </row>
    <row r="4428" spans="1:5" x14ac:dyDescent="0.3">
      <c r="A4428" s="17" t="str">
        <f>"73221"</f>
        <v>73221</v>
      </c>
      <c r="B4428" s="5" t="s">
        <v>4583</v>
      </c>
      <c r="C4428" s="17">
        <v>20151001</v>
      </c>
      <c r="D4428" s="17">
        <v>22991231</v>
      </c>
      <c r="E4428" s="25">
        <v>121.41</v>
      </c>
    </row>
    <row r="4429" spans="1:5" x14ac:dyDescent="0.3">
      <c r="A4429" s="17" t="str">
        <f>"73222"</f>
        <v>73222</v>
      </c>
      <c r="B4429" s="5" t="s">
        <v>4584</v>
      </c>
      <c r="C4429" s="17">
        <v>20230101</v>
      </c>
      <c r="D4429" s="17">
        <v>22991231</v>
      </c>
      <c r="E4429" s="25">
        <v>248.33</v>
      </c>
    </row>
    <row r="4430" spans="1:5" x14ac:dyDescent="0.3">
      <c r="A4430" s="17" t="str">
        <f>"73223"</f>
        <v>73223</v>
      </c>
      <c r="B4430" s="5" t="s">
        <v>4585</v>
      </c>
      <c r="C4430" s="17">
        <v>20230101</v>
      </c>
      <c r="D4430" s="17">
        <v>22991231</v>
      </c>
      <c r="E4430" s="25">
        <v>190.54</v>
      </c>
    </row>
    <row r="4431" spans="1:5" x14ac:dyDescent="0.3">
      <c r="A4431" s="17" t="str">
        <f>"73225"</f>
        <v>73225</v>
      </c>
      <c r="B4431" s="5" t="s">
        <v>4586</v>
      </c>
      <c r="C4431" s="17">
        <v>20151001</v>
      </c>
      <c r="D4431" s="17">
        <v>22991231</v>
      </c>
      <c r="E4431" s="24" t="s">
        <v>7128</v>
      </c>
    </row>
    <row r="4432" spans="1:5" x14ac:dyDescent="0.3">
      <c r="A4432" s="17" t="str">
        <f>"73501"</f>
        <v>73501</v>
      </c>
      <c r="B4432" s="5" t="s">
        <v>4587</v>
      </c>
      <c r="C4432" s="17">
        <v>20230101</v>
      </c>
      <c r="D4432" s="17">
        <v>22991231</v>
      </c>
      <c r="E4432" s="25">
        <v>0</v>
      </c>
    </row>
    <row r="4433" spans="1:5" x14ac:dyDescent="0.3">
      <c r="A4433" s="17" t="str">
        <f>"73502"</f>
        <v>73502</v>
      </c>
      <c r="B4433" s="5" t="s">
        <v>4588</v>
      </c>
      <c r="C4433" s="17">
        <v>20230101</v>
      </c>
      <c r="D4433" s="17">
        <v>22991231</v>
      </c>
      <c r="E4433" s="25">
        <v>0</v>
      </c>
    </row>
    <row r="4434" spans="1:5" x14ac:dyDescent="0.3">
      <c r="A4434" s="17" t="str">
        <f>"73503"</f>
        <v>73503</v>
      </c>
      <c r="B4434" s="5" t="s">
        <v>4589</v>
      </c>
      <c r="C4434" s="17">
        <v>20230101</v>
      </c>
      <c r="D4434" s="17">
        <v>22991231</v>
      </c>
      <c r="E4434" s="25">
        <v>0</v>
      </c>
    </row>
    <row r="4435" spans="1:5" x14ac:dyDescent="0.3">
      <c r="A4435" s="17" t="str">
        <f>"73521"</f>
        <v>73521</v>
      </c>
      <c r="B4435" s="5" t="s">
        <v>4590</v>
      </c>
      <c r="C4435" s="17">
        <v>20230101</v>
      </c>
      <c r="D4435" s="17">
        <v>22991231</v>
      </c>
      <c r="E4435" s="25">
        <v>0</v>
      </c>
    </row>
    <row r="4436" spans="1:5" x14ac:dyDescent="0.3">
      <c r="A4436" s="17" t="str">
        <f>"73522"</f>
        <v>73522</v>
      </c>
      <c r="B4436" s="5" t="s">
        <v>4591</v>
      </c>
      <c r="C4436" s="17">
        <v>20230101</v>
      </c>
      <c r="D4436" s="17">
        <v>22991231</v>
      </c>
      <c r="E4436" s="25">
        <v>0</v>
      </c>
    </row>
    <row r="4437" spans="1:5" x14ac:dyDescent="0.3">
      <c r="A4437" s="17" t="str">
        <f>"73523"</f>
        <v>73523</v>
      </c>
      <c r="B4437" s="5" t="s">
        <v>4592</v>
      </c>
      <c r="C4437" s="17">
        <v>20230101</v>
      </c>
      <c r="D4437" s="17">
        <v>22991231</v>
      </c>
      <c r="E4437" s="25">
        <v>0</v>
      </c>
    </row>
    <row r="4438" spans="1:5" x14ac:dyDescent="0.3">
      <c r="A4438" s="17" t="str">
        <f>"73525"</f>
        <v>73525</v>
      </c>
      <c r="B4438" s="5" t="s">
        <v>4593</v>
      </c>
      <c r="C4438" s="17">
        <v>19900101</v>
      </c>
      <c r="D4438" s="17">
        <v>22991231</v>
      </c>
      <c r="E4438" s="25">
        <v>0</v>
      </c>
    </row>
    <row r="4439" spans="1:5" x14ac:dyDescent="0.3">
      <c r="A4439" s="17" t="str">
        <f>"73551"</f>
        <v>73551</v>
      </c>
      <c r="B4439" s="5" t="s">
        <v>4594</v>
      </c>
      <c r="C4439" s="17">
        <v>20230101</v>
      </c>
      <c r="D4439" s="17">
        <v>22991231</v>
      </c>
      <c r="E4439" s="25">
        <v>0</v>
      </c>
    </row>
    <row r="4440" spans="1:5" x14ac:dyDescent="0.3">
      <c r="A4440" s="17" t="str">
        <f>"73552"</f>
        <v>73552</v>
      </c>
      <c r="B4440" s="5" t="s">
        <v>4595</v>
      </c>
      <c r="C4440" s="17">
        <v>20230101</v>
      </c>
      <c r="D4440" s="17">
        <v>22991231</v>
      </c>
      <c r="E4440" s="25">
        <v>0</v>
      </c>
    </row>
    <row r="4441" spans="1:5" x14ac:dyDescent="0.3">
      <c r="A4441" s="17" t="str">
        <f>"73560"</f>
        <v>73560</v>
      </c>
      <c r="B4441" s="5" t="s">
        <v>4596</v>
      </c>
      <c r="C4441" s="17">
        <v>19900101</v>
      </c>
      <c r="D4441" s="17">
        <v>22991231</v>
      </c>
      <c r="E4441" s="25">
        <v>0</v>
      </c>
    </row>
    <row r="4442" spans="1:5" x14ac:dyDescent="0.3">
      <c r="A4442" s="17" t="str">
        <f>"73562"</f>
        <v>73562</v>
      </c>
      <c r="B4442" s="5" t="s">
        <v>4597</v>
      </c>
      <c r="C4442" s="17">
        <v>19900101</v>
      </c>
      <c r="D4442" s="17">
        <v>22991231</v>
      </c>
      <c r="E4442" s="25">
        <v>0</v>
      </c>
    </row>
    <row r="4443" spans="1:5" x14ac:dyDescent="0.3">
      <c r="A4443" s="17" t="str">
        <f>"73564"</f>
        <v>73564</v>
      </c>
      <c r="B4443" s="5" t="s">
        <v>4598</v>
      </c>
      <c r="C4443" s="17">
        <v>19900101</v>
      </c>
      <c r="D4443" s="17">
        <v>22991231</v>
      </c>
      <c r="E4443" s="25">
        <v>0</v>
      </c>
    </row>
    <row r="4444" spans="1:5" x14ac:dyDescent="0.3">
      <c r="A4444" s="17" t="str">
        <f>"73565"</f>
        <v>73565</v>
      </c>
      <c r="B4444" s="5" t="s">
        <v>4599</v>
      </c>
      <c r="C4444" s="17">
        <v>19910401</v>
      </c>
      <c r="D4444" s="17">
        <v>22991231</v>
      </c>
      <c r="E4444" s="25">
        <v>0</v>
      </c>
    </row>
    <row r="4445" spans="1:5" x14ac:dyDescent="0.3">
      <c r="A4445" s="17" t="str">
        <f>"73580"</f>
        <v>73580</v>
      </c>
      <c r="B4445" s="5" t="s">
        <v>4600</v>
      </c>
      <c r="C4445" s="17">
        <v>19900101</v>
      </c>
      <c r="D4445" s="17">
        <v>22991231</v>
      </c>
      <c r="E4445" s="25">
        <v>0</v>
      </c>
    </row>
    <row r="4446" spans="1:5" x14ac:dyDescent="0.3">
      <c r="A4446" s="17" t="str">
        <f>"73590"</f>
        <v>73590</v>
      </c>
      <c r="B4446" s="5" t="s">
        <v>4601</v>
      </c>
      <c r="C4446" s="17">
        <v>19900101</v>
      </c>
      <c r="D4446" s="17">
        <v>22991231</v>
      </c>
      <c r="E4446" s="25">
        <v>0</v>
      </c>
    </row>
    <row r="4447" spans="1:5" x14ac:dyDescent="0.3">
      <c r="A4447" s="17" t="str">
        <f>"73592"</f>
        <v>73592</v>
      </c>
      <c r="B4447" s="5" t="s">
        <v>4602</v>
      </c>
      <c r="C4447" s="17">
        <v>19900101</v>
      </c>
      <c r="D4447" s="17">
        <v>22991231</v>
      </c>
      <c r="E4447" s="25">
        <v>0</v>
      </c>
    </row>
    <row r="4448" spans="1:5" x14ac:dyDescent="0.3">
      <c r="A4448" s="17" t="str">
        <f>"73600"</f>
        <v>73600</v>
      </c>
      <c r="B4448" s="5" t="s">
        <v>4603</v>
      </c>
      <c r="C4448" s="17">
        <v>19900101</v>
      </c>
      <c r="D4448" s="17">
        <v>22991231</v>
      </c>
      <c r="E4448" s="25">
        <v>0</v>
      </c>
    </row>
    <row r="4449" spans="1:5" x14ac:dyDescent="0.3">
      <c r="A4449" s="17" t="str">
        <f>"73610"</f>
        <v>73610</v>
      </c>
      <c r="B4449" s="5" t="s">
        <v>4604</v>
      </c>
      <c r="C4449" s="17">
        <v>19900101</v>
      </c>
      <c r="D4449" s="17">
        <v>22991231</v>
      </c>
      <c r="E4449" s="25">
        <v>0</v>
      </c>
    </row>
    <row r="4450" spans="1:5" x14ac:dyDescent="0.3">
      <c r="A4450" s="17" t="str">
        <f>"73615"</f>
        <v>73615</v>
      </c>
      <c r="B4450" s="5" t="s">
        <v>4605</v>
      </c>
      <c r="C4450" s="17">
        <v>19900101</v>
      </c>
      <c r="D4450" s="17">
        <v>22991231</v>
      </c>
      <c r="E4450" s="25">
        <v>0</v>
      </c>
    </row>
    <row r="4451" spans="1:5" x14ac:dyDescent="0.3">
      <c r="A4451" s="17" t="str">
        <f>"73620"</f>
        <v>73620</v>
      </c>
      <c r="B4451" s="5" t="s">
        <v>4606</v>
      </c>
      <c r="C4451" s="17">
        <v>20020101</v>
      </c>
      <c r="D4451" s="17">
        <v>22991231</v>
      </c>
      <c r="E4451" s="25">
        <v>0</v>
      </c>
    </row>
    <row r="4452" spans="1:5" x14ac:dyDescent="0.3">
      <c r="A4452" s="17" t="str">
        <f>"73630"</f>
        <v>73630</v>
      </c>
      <c r="B4452" s="5" t="s">
        <v>4607</v>
      </c>
      <c r="C4452" s="17">
        <v>19900101</v>
      </c>
      <c r="D4452" s="17">
        <v>22991231</v>
      </c>
      <c r="E4452" s="25">
        <v>0</v>
      </c>
    </row>
    <row r="4453" spans="1:5" x14ac:dyDescent="0.3">
      <c r="A4453" s="17" t="str">
        <f>"73650"</f>
        <v>73650</v>
      </c>
      <c r="B4453" s="5" t="s">
        <v>4608</v>
      </c>
      <c r="C4453" s="17">
        <v>19900101</v>
      </c>
      <c r="D4453" s="17">
        <v>22991231</v>
      </c>
      <c r="E4453" s="25">
        <v>0</v>
      </c>
    </row>
    <row r="4454" spans="1:5" x14ac:dyDescent="0.3">
      <c r="A4454" s="17" t="str">
        <f>"73660"</f>
        <v>73660</v>
      </c>
      <c r="B4454" s="5" t="s">
        <v>4609</v>
      </c>
      <c r="C4454" s="17">
        <v>19900101</v>
      </c>
      <c r="D4454" s="17">
        <v>22991231</v>
      </c>
      <c r="E4454" s="25">
        <v>0</v>
      </c>
    </row>
    <row r="4455" spans="1:5" x14ac:dyDescent="0.3">
      <c r="A4455" s="17" t="str">
        <f>"73700"</f>
        <v>73700</v>
      </c>
      <c r="B4455" s="5" t="s">
        <v>4610</v>
      </c>
      <c r="C4455" s="17">
        <v>19900101</v>
      </c>
      <c r="D4455" s="17">
        <v>22991231</v>
      </c>
      <c r="E4455" s="25">
        <v>54.47</v>
      </c>
    </row>
    <row r="4456" spans="1:5" x14ac:dyDescent="0.3">
      <c r="A4456" s="17" t="str">
        <f>"73701"</f>
        <v>73701</v>
      </c>
      <c r="B4456" s="5" t="s">
        <v>4611</v>
      </c>
      <c r="C4456" s="17">
        <v>19900101</v>
      </c>
      <c r="D4456" s="17">
        <v>22991231</v>
      </c>
      <c r="E4456" s="25">
        <v>91.04</v>
      </c>
    </row>
    <row r="4457" spans="1:5" x14ac:dyDescent="0.3">
      <c r="A4457" s="17" t="str">
        <f>"73702"</f>
        <v>73702</v>
      </c>
      <c r="B4457" s="5" t="s">
        <v>4612</v>
      </c>
      <c r="C4457" s="17">
        <v>19900101</v>
      </c>
      <c r="D4457" s="17">
        <v>22991231</v>
      </c>
      <c r="E4457" s="25">
        <v>91.04</v>
      </c>
    </row>
    <row r="4458" spans="1:5" ht="26" x14ac:dyDescent="0.3">
      <c r="A4458" s="17" t="str">
        <f>"73706"</f>
        <v>73706</v>
      </c>
      <c r="B4458" s="5" t="s">
        <v>4613</v>
      </c>
      <c r="C4458" s="17">
        <v>20230101</v>
      </c>
      <c r="D4458" s="17">
        <v>22991231</v>
      </c>
      <c r="E4458" s="25">
        <v>91.04</v>
      </c>
    </row>
    <row r="4459" spans="1:5" x14ac:dyDescent="0.3">
      <c r="A4459" s="17" t="str">
        <f>"73718"</f>
        <v>73718</v>
      </c>
      <c r="B4459" s="5" t="s">
        <v>4614</v>
      </c>
      <c r="C4459" s="17">
        <v>20230101</v>
      </c>
      <c r="D4459" s="17">
        <v>22991231</v>
      </c>
      <c r="E4459" s="25">
        <v>121.41</v>
      </c>
    </row>
    <row r="4460" spans="1:5" x14ac:dyDescent="0.3">
      <c r="A4460" s="17" t="str">
        <f>"73719"</f>
        <v>73719</v>
      </c>
      <c r="B4460" s="5" t="s">
        <v>4615</v>
      </c>
      <c r="C4460" s="17">
        <v>20230101</v>
      </c>
      <c r="D4460" s="17">
        <v>22991231</v>
      </c>
      <c r="E4460" s="25">
        <v>199.86</v>
      </c>
    </row>
    <row r="4461" spans="1:5" x14ac:dyDescent="0.3">
      <c r="A4461" s="17" t="str">
        <f>"73720"</f>
        <v>73720</v>
      </c>
      <c r="B4461" s="5" t="s">
        <v>4616</v>
      </c>
      <c r="C4461" s="17">
        <v>20151001</v>
      </c>
      <c r="D4461" s="17">
        <v>22991231</v>
      </c>
      <c r="E4461" s="25">
        <v>190.54</v>
      </c>
    </row>
    <row r="4462" spans="1:5" x14ac:dyDescent="0.3">
      <c r="A4462" s="17" t="str">
        <f>"73721"</f>
        <v>73721</v>
      </c>
      <c r="B4462" s="5" t="s">
        <v>4617</v>
      </c>
      <c r="C4462" s="17">
        <v>20060915</v>
      </c>
      <c r="D4462" s="17">
        <v>22991231</v>
      </c>
      <c r="E4462" s="25">
        <v>121.41</v>
      </c>
    </row>
    <row r="4463" spans="1:5" x14ac:dyDescent="0.3">
      <c r="A4463" s="17" t="str">
        <f>"73722"</f>
        <v>73722</v>
      </c>
      <c r="B4463" s="5" t="s">
        <v>4618</v>
      </c>
      <c r="C4463" s="17">
        <v>20230101</v>
      </c>
      <c r="D4463" s="17">
        <v>22991231</v>
      </c>
      <c r="E4463" s="25">
        <v>248.64</v>
      </c>
    </row>
    <row r="4464" spans="1:5" x14ac:dyDescent="0.3">
      <c r="A4464" s="17" t="str">
        <f>"73723"</f>
        <v>73723</v>
      </c>
      <c r="B4464" s="5" t="s">
        <v>4619</v>
      </c>
      <c r="C4464" s="17">
        <v>20230101</v>
      </c>
      <c r="D4464" s="17">
        <v>22991231</v>
      </c>
      <c r="E4464" s="25">
        <v>190.54</v>
      </c>
    </row>
    <row r="4465" spans="1:5" x14ac:dyDescent="0.3">
      <c r="A4465" s="17" t="str">
        <f>"73725"</f>
        <v>73725</v>
      </c>
      <c r="B4465" s="5" t="s">
        <v>4620</v>
      </c>
      <c r="C4465" s="17">
        <v>20151001</v>
      </c>
      <c r="D4465" s="17">
        <v>22991231</v>
      </c>
      <c r="E4465" s="24" t="s">
        <v>7128</v>
      </c>
    </row>
    <row r="4466" spans="1:5" x14ac:dyDescent="0.3">
      <c r="A4466" s="17" t="str">
        <f>"74018"</f>
        <v>74018</v>
      </c>
      <c r="B4466" s="5" t="s">
        <v>4621</v>
      </c>
      <c r="C4466" s="17">
        <v>20180101</v>
      </c>
      <c r="D4466" s="17">
        <v>22991231</v>
      </c>
      <c r="E4466" s="25">
        <v>0</v>
      </c>
    </row>
    <row r="4467" spans="1:5" x14ac:dyDescent="0.3">
      <c r="A4467" s="17" t="str">
        <f>"74019"</f>
        <v>74019</v>
      </c>
      <c r="B4467" s="5" t="s">
        <v>4622</v>
      </c>
      <c r="C4467" s="17">
        <v>20180101</v>
      </c>
      <c r="D4467" s="17">
        <v>22991231</v>
      </c>
      <c r="E4467" s="25">
        <v>0</v>
      </c>
    </row>
    <row r="4468" spans="1:5" x14ac:dyDescent="0.3">
      <c r="A4468" s="17" t="str">
        <f>"74021"</f>
        <v>74021</v>
      </c>
      <c r="B4468" s="5" t="s">
        <v>4623</v>
      </c>
      <c r="C4468" s="17">
        <v>20180101</v>
      </c>
      <c r="D4468" s="17">
        <v>22991231</v>
      </c>
      <c r="E4468" s="25">
        <v>0</v>
      </c>
    </row>
    <row r="4469" spans="1:5" ht="26" x14ac:dyDescent="0.3">
      <c r="A4469" s="17" t="str">
        <f>"74022"</f>
        <v>74022</v>
      </c>
      <c r="B4469" s="5" t="s">
        <v>4624</v>
      </c>
      <c r="C4469" s="17">
        <v>19900101</v>
      </c>
      <c r="D4469" s="17">
        <v>22991231</v>
      </c>
      <c r="E4469" s="25">
        <v>0</v>
      </c>
    </row>
    <row r="4470" spans="1:5" x14ac:dyDescent="0.3">
      <c r="A4470" s="17" t="str">
        <f>"74150"</f>
        <v>74150</v>
      </c>
      <c r="B4470" s="5" t="s">
        <v>4625</v>
      </c>
      <c r="C4470" s="17">
        <v>19900101</v>
      </c>
      <c r="D4470" s="17">
        <v>22991231</v>
      </c>
      <c r="E4470" s="25">
        <v>54.47</v>
      </c>
    </row>
    <row r="4471" spans="1:5" x14ac:dyDescent="0.3">
      <c r="A4471" s="17" t="str">
        <f>"74160"</f>
        <v>74160</v>
      </c>
      <c r="B4471" s="5" t="s">
        <v>4626</v>
      </c>
      <c r="C4471" s="17">
        <v>19900101</v>
      </c>
      <c r="D4471" s="17">
        <v>22991231</v>
      </c>
      <c r="E4471" s="25">
        <v>91.04</v>
      </c>
    </row>
    <row r="4472" spans="1:5" x14ac:dyDescent="0.3">
      <c r="A4472" s="17" t="str">
        <f>"74170"</f>
        <v>74170</v>
      </c>
      <c r="B4472" s="5" t="s">
        <v>4627</v>
      </c>
      <c r="C4472" s="17">
        <v>19900101</v>
      </c>
      <c r="D4472" s="17">
        <v>22991231</v>
      </c>
      <c r="E4472" s="25">
        <v>91.04</v>
      </c>
    </row>
    <row r="4473" spans="1:5" ht="26" x14ac:dyDescent="0.3">
      <c r="A4473" s="17" t="str">
        <f>"74174"</f>
        <v>74174</v>
      </c>
      <c r="B4473" s="5" t="s">
        <v>4628</v>
      </c>
      <c r="C4473" s="17">
        <v>20230101</v>
      </c>
      <c r="D4473" s="17">
        <v>22991231</v>
      </c>
      <c r="E4473" s="25">
        <v>190.54</v>
      </c>
    </row>
    <row r="4474" spans="1:5" ht="26" x14ac:dyDescent="0.3">
      <c r="A4474" s="17" t="str">
        <f>"74175"</f>
        <v>74175</v>
      </c>
      <c r="B4474" s="5" t="s">
        <v>4629</v>
      </c>
      <c r="C4474" s="17">
        <v>20230101</v>
      </c>
      <c r="D4474" s="17">
        <v>22991231</v>
      </c>
      <c r="E4474" s="25">
        <v>91.04</v>
      </c>
    </row>
    <row r="4475" spans="1:5" x14ac:dyDescent="0.3">
      <c r="A4475" s="17" t="str">
        <f>"74176"</f>
        <v>74176</v>
      </c>
      <c r="B4475" s="5" t="s">
        <v>4630</v>
      </c>
      <c r="C4475" s="17">
        <v>20230101</v>
      </c>
      <c r="D4475" s="17">
        <v>22991231</v>
      </c>
      <c r="E4475" s="25">
        <v>118.22</v>
      </c>
    </row>
    <row r="4476" spans="1:5" x14ac:dyDescent="0.3">
      <c r="A4476" s="17" t="str">
        <f>"74177"</f>
        <v>74177</v>
      </c>
      <c r="B4476" s="5" t="s">
        <v>4631</v>
      </c>
      <c r="C4476" s="17">
        <v>20230101</v>
      </c>
      <c r="D4476" s="17">
        <v>22991231</v>
      </c>
      <c r="E4476" s="25">
        <v>190.54</v>
      </c>
    </row>
    <row r="4477" spans="1:5" ht="26" x14ac:dyDescent="0.3">
      <c r="A4477" s="17" t="str">
        <f>"74178"</f>
        <v>74178</v>
      </c>
      <c r="B4477" s="5" t="s">
        <v>4632</v>
      </c>
      <c r="C4477" s="17">
        <v>20230101</v>
      </c>
      <c r="D4477" s="17">
        <v>22991231</v>
      </c>
      <c r="E4477" s="25">
        <v>190.54</v>
      </c>
    </row>
    <row r="4478" spans="1:5" x14ac:dyDescent="0.3">
      <c r="A4478" s="17" t="str">
        <f>"74181"</f>
        <v>74181</v>
      </c>
      <c r="B4478" s="5" t="s">
        <v>4633</v>
      </c>
      <c r="C4478" s="17">
        <v>20151001</v>
      </c>
      <c r="D4478" s="17">
        <v>22991231</v>
      </c>
      <c r="E4478" s="25">
        <v>121.41</v>
      </c>
    </row>
    <row r="4479" spans="1:5" x14ac:dyDescent="0.3">
      <c r="A4479" s="17" t="str">
        <f>"74182"</f>
        <v>74182</v>
      </c>
      <c r="B4479" s="5" t="s">
        <v>4634</v>
      </c>
      <c r="C4479" s="17">
        <v>20230101</v>
      </c>
      <c r="D4479" s="17">
        <v>22991231</v>
      </c>
      <c r="E4479" s="25">
        <v>190.54</v>
      </c>
    </row>
    <row r="4480" spans="1:5" x14ac:dyDescent="0.3">
      <c r="A4480" s="17" t="str">
        <f>"74183"</f>
        <v>74183</v>
      </c>
      <c r="B4480" s="5" t="s">
        <v>4635</v>
      </c>
      <c r="C4480" s="17">
        <v>20230101</v>
      </c>
      <c r="D4480" s="17">
        <v>22991231</v>
      </c>
      <c r="E4480" s="25">
        <v>190.54</v>
      </c>
    </row>
    <row r="4481" spans="1:5" x14ac:dyDescent="0.3">
      <c r="A4481" s="17" t="str">
        <f>"74185"</f>
        <v>74185</v>
      </c>
      <c r="B4481" s="5" t="s">
        <v>4636</v>
      </c>
      <c r="C4481" s="17">
        <v>20151001</v>
      </c>
      <c r="D4481" s="17">
        <v>22991231</v>
      </c>
      <c r="E4481" s="24" t="s">
        <v>7128</v>
      </c>
    </row>
    <row r="4482" spans="1:5" ht="26" x14ac:dyDescent="0.3">
      <c r="A4482" s="17" t="str">
        <f>"74190"</f>
        <v>74190</v>
      </c>
      <c r="B4482" s="5" t="s">
        <v>4637</v>
      </c>
      <c r="C4482" s="17">
        <v>19940101</v>
      </c>
      <c r="D4482" s="17">
        <v>22991231</v>
      </c>
      <c r="E4482" s="25">
        <v>0</v>
      </c>
    </row>
    <row r="4483" spans="1:5" ht="26" x14ac:dyDescent="0.3">
      <c r="A4483" s="17" t="str">
        <f>"74210"</f>
        <v>74210</v>
      </c>
      <c r="B4483" s="5" t="s">
        <v>4638</v>
      </c>
      <c r="C4483" s="17">
        <v>19900101</v>
      </c>
      <c r="D4483" s="17">
        <v>22991231</v>
      </c>
      <c r="E4483" s="25">
        <v>0</v>
      </c>
    </row>
    <row r="4484" spans="1:5" x14ac:dyDescent="0.3">
      <c r="A4484" s="17" t="str">
        <f>"74220"</f>
        <v>74220</v>
      </c>
      <c r="B4484" s="5" t="s">
        <v>4639</v>
      </c>
      <c r="C4484" s="17">
        <v>19900101</v>
      </c>
      <c r="D4484" s="17">
        <v>22991231</v>
      </c>
      <c r="E4484" s="25">
        <v>0</v>
      </c>
    </row>
    <row r="4485" spans="1:5" x14ac:dyDescent="0.3">
      <c r="A4485" s="17" t="str">
        <f>"74221"</f>
        <v>74221</v>
      </c>
      <c r="B4485" s="5" t="s">
        <v>4640</v>
      </c>
      <c r="C4485" s="17">
        <v>20200101</v>
      </c>
      <c r="D4485" s="17">
        <v>22991231</v>
      </c>
      <c r="E4485" s="25">
        <v>0</v>
      </c>
    </row>
    <row r="4486" spans="1:5" x14ac:dyDescent="0.3">
      <c r="A4486" s="17" t="str">
        <f>"74230"</f>
        <v>74230</v>
      </c>
      <c r="B4486" s="5" t="s">
        <v>4641</v>
      </c>
      <c r="C4486" s="17">
        <v>19900101</v>
      </c>
      <c r="D4486" s="17">
        <v>22991231</v>
      </c>
      <c r="E4486" s="25">
        <v>91.04</v>
      </c>
    </row>
    <row r="4487" spans="1:5" ht="26" x14ac:dyDescent="0.3">
      <c r="A4487" s="17" t="str">
        <f>"74235"</f>
        <v>74235</v>
      </c>
      <c r="B4487" s="5" t="s">
        <v>4642</v>
      </c>
      <c r="C4487" s="17">
        <v>19900101</v>
      </c>
      <c r="D4487" s="17">
        <v>22991231</v>
      </c>
      <c r="E4487" s="25">
        <v>0</v>
      </c>
    </row>
    <row r="4488" spans="1:5" x14ac:dyDescent="0.3">
      <c r="A4488" s="17" t="str">
        <f>"74240"</f>
        <v>74240</v>
      </c>
      <c r="B4488" s="5" t="s">
        <v>4643</v>
      </c>
      <c r="C4488" s="17">
        <v>19900101</v>
      </c>
      <c r="D4488" s="17">
        <v>22991231</v>
      </c>
      <c r="E4488" s="25">
        <v>88.51</v>
      </c>
    </row>
    <row r="4489" spans="1:5" x14ac:dyDescent="0.3">
      <c r="A4489" s="17" t="str">
        <f>"74246"</f>
        <v>74246</v>
      </c>
      <c r="B4489" s="5" t="s">
        <v>4644</v>
      </c>
      <c r="C4489" s="17">
        <v>19900101</v>
      </c>
      <c r="D4489" s="17">
        <v>22991231</v>
      </c>
      <c r="E4489" s="25">
        <v>91.04</v>
      </c>
    </row>
    <row r="4490" spans="1:5" x14ac:dyDescent="0.3">
      <c r="A4490" s="17" t="str">
        <f>"74248"</f>
        <v>74248</v>
      </c>
      <c r="B4490" s="5" t="s">
        <v>4645</v>
      </c>
      <c r="C4490" s="17">
        <v>20200101</v>
      </c>
      <c r="D4490" s="17">
        <v>22991231</v>
      </c>
      <c r="E4490" s="25">
        <v>0</v>
      </c>
    </row>
    <row r="4491" spans="1:5" x14ac:dyDescent="0.3">
      <c r="A4491" s="17" t="str">
        <f>"74250"</f>
        <v>74250</v>
      </c>
      <c r="B4491" s="5" t="s">
        <v>4646</v>
      </c>
      <c r="C4491" s="17">
        <v>19900101</v>
      </c>
      <c r="D4491" s="17">
        <v>22991231</v>
      </c>
      <c r="E4491" s="25">
        <v>87.26</v>
      </c>
    </row>
    <row r="4492" spans="1:5" x14ac:dyDescent="0.3">
      <c r="A4492" s="17" t="str">
        <f>"74251"</f>
        <v>74251</v>
      </c>
      <c r="B4492" s="5" t="s">
        <v>4647</v>
      </c>
      <c r="C4492" s="17">
        <v>19940101</v>
      </c>
      <c r="D4492" s="17">
        <v>22991231</v>
      </c>
      <c r="E4492" s="25">
        <v>91.04</v>
      </c>
    </row>
    <row r="4493" spans="1:5" ht="26" x14ac:dyDescent="0.3">
      <c r="A4493" s="17" t="str">
        <f>"74261"</f>
        <v>74261</v>
      </c>
      <c r="B4493" s="5" t="s">
        <v>4648</v>
      </c>
      <c r="C4493" s="17">
        <v>20230101</v>
      </c>
      <c r="D4493" s="17">
        <v>22991231</v>
      </c>
      <c r="E4493" s="25">
        <v>54.47</v>
      </c>
    </row>
    <row r="4494" spans="1:5" ht="26" x14ac:dyDescent="0.3">
      <c r="A4494" s="17" t="str">
        <f>"74262"</f>
        <v>74262</v>
      </c>
      <c r="B4494" s="5" t="s">
        <v>4649</v>
      </c>
      <c r="C4494" s="17">
        <v>20230101</v>
      </c>
      <c r="D4494" s="17">
        <v>22991231</v>
      </c>
      <c r="E4494" s="25">
        <v>91.04</v>
      </c>
    </row>
    <row r="4495" spans="1:5" x14ac:dyDescent="0.3">
      <c r="A4495" s="17" t="str">
        <f>"74270"</f>
        <v>74270</v>
      </c>
      <c r="B4495" s="5" t="s">
        <v>4650</v>
      </c>
      <c r="C4495" s="17">
        <v>19900101</v>
      </c>
      <c r="D4495" s="17">
        <v>22991231</v>
      </c>
      <c r="E4495" s="25">
        <v>0</v>
      </c>
    </row>
    <row r="4496" spans="1:5" x14ac:dyDescent="0.3">
      <c r="A4496" s="17" t="str">
        <f>"74280"</f>
        <v>74280</v>
      </c>
      <c r="B4496" s="5" t="s">
        <v>4651</v>
      </c>
      <c r="C4496" s="17">
        <v>19900101</v>
      </c>
      <c r="D4496" s="17">
        <v>22991231</v>
      </c>
      <c r="E4496" s="25">
        <v>0</v>
      </c>
    </row>
    <row r="4497" spans="1:5" x14ac:dyDescent="0.3">
      <c r="A4497" s="17" t="str">
        <f>"74283"</f>
        <v>74283</v>
      </c>
      <c r="B4497" s="5" t="s">
        <v>4652</v>
      </c>
      <c r="C4497" s="17">
        <v>20230101</v>
      </c>
      <c r="D4497" s="17">
        <v>22991231</v>
      </c>
      <c r="E4497" s="25">
        <v>91.04</v>
      </c>
    </row>
    <row r="4498" spans="1:5" x14ac:dyDescent="0.3">
      <c r="A4498" s="17" t="str">
        <f>"74290"</f>
        <v>74290</v>
      </c>
      <c r="B4498" s="5" t="s">
        <v>4653</v>
      </c>
      <c r="C4498" s="17">
        <v>19900101</v>
      </c>
      <c r="D4498" s="17">
        <v>22991231</v>
      </c>
      <c r="E4498" s="25">
        <v>0</v>
      </c>
    </row>
    <row r="4499" spans="1:5" ht="26" x14ac:dyDescent="0.3">
      <c r="A4499" s="17" t="str">
        <f>"74300"</f>
        <v>74300</v>
      </c>
      <c r="B4499" s="5" t="s">
        <v>4654</v>
      </c>
      <c r="C4499" s="17">
        <v>19900101</v>
      </c>
      <c r="D4499" s="17">
        <v>22991231</v>
      </c>
      <c r="E4499" s="25">
        <v>0</v>
      </c>
    </row>
    <row r="4500" spans="1:5" ht="26" x14ac:dyDescent="0.3">
      <c r="A4500" s="17" t="str">
        <f>"74301"</f>
        <v>74301</v>
      </c>
      <c r="B4500" s="5" t="s">
        <v>4655</v>
      </c>
      <c r="C4500" s="17">
        <v>19900101</v>
      </c>
      <c r="D4500" s="17">
        <v>22991231</v>
      </c>
      <c r="E4500" s="25">
        <v>0</v>
      </c>
    </row>
    <row r="4501" spans="1:5" ht="26" x14ac:dyDescent="0.3">
      <c r="A4501" s="17" t="str">
        <f>"74328"</f>
        <v>74328</v>
      </c>
      <c r="B4501" s="5" t="s">
        <v>4656</v>
      </c>
      <c r="C4501" s="17">
        <v>19900101</v>
      </c>
      <c r="D4501" s="17">
        <v>22991231</v>
      </c>
      <c r="E4501" s="25">
        <v>0</v>
      </c>
    </row>
    <row r="4502" spans="1:5" ht="39" x14ac:dyDescent="0.3">
      <c r="A4502" s="17" t="str">
        <f>"74329"</f>
        <v>74329</v>
      </c>
      <c r="B4502" s="5" t="s">
        <v>4657</v>
      </c>
      <c r="C4502" s="17">
        <v>19900101</v>
      </c>
      <c r="D4502" s="17">
        <v>22991231</v>
      </c>
      <c r="E4502" s="25">
        <v>0</v>
      </c>
    </row>
    <row r="4503" spans="1:5" ht="39" x14ac:dyDescent="0.3">
      <c r="A4503" s="17" t="str">
        <f>"74330"</f>
        <v>74330</v>
      </c>
      <c r="B4503" s="5" t="s">
        <v>4658</v>
      </c>
      <c r="C4503" s="17">
        <v>19900101</v>
      </c>
      <c r="D4503" s="17">
        <v>22991231</v>
      </c>
      <c r="E4503" s="25">
        <v>0</v>
      </c>
    </row>
    <row r="4504" spans="1:5" ht="26" x14ac:dyDescent="0.3">
      <c r="A4504" s="17" t="str">
        <f>"74340"</f>
        <v>74340</v>
      </c>
      <c r="B4504" s="5" t="s">
        <v>4659</v>
      </c>
      <c r="C4504" s="17">
        <v>19900101</v>
      </c>
      <c r="D4504" s="17">
        <v>22991231</v>
      </c>
      <c r="E4504" s="25">
        <v>0</v>
      </c>
    </row>
    <row r="4505" spans="1:5" ht="26" x14ac:dyDescent="0.3">
      <c r="A4505" s="17" t="str">
        <f>"74355"</f>
        <v>74355</v>
      </c>
      <c r="B4505" s="5" t="s">
        <v>4660</v>
      </c>
      <c r="C4505" s="17">
        <v>19900101</v>
      </c>
      <c r="D4505" s="17">
        <v>22991231</v>
      </c>
      <c r="E4505" s="25">
        <v>0</v>
      </c>
    </row>
    <row r="4506" spans="1:5" ht="26" x14ac:dyDescent="0.3">
      <c r="A4506" s="17" t="str">
        <f>"74360"</f>
        <v>74360</v>
      </c>
      <c r="B4506" s="5" t="s">
        <v>4661</v>
      </c>
      <c r="C4506" s="17">
        <v>19900101</v>
      </c>
      <c r="D4506" s="17">
        <v>22991231</v>
      </c>
      <c r="E4506" s="25">
        <v>0</v>
      </c>
    </row>
    <row r="4507" spans="1:5" ht="26" x14ac:dyDescent="0.3">
      <c r="A4507" s="17" t="str">
        <f>"74363"</f>
        <v>74363</v>
      </c>
      <c r="B4507" s="5" t="s">
        <v>4662</v>
      </c>
      <c r="C4507" s="17">
        <v>19910401</v>
      </c>
      <c r="D4507" s="17">
        <v>22991231</v>
      </c>
      <c r="E4507" s="25">
        <v>0</v>
      </c>
    </row>
    <row r="4508" spans="1:5" ht="26" x14ac:dyDescent="0.3">
      <c r="A4508" s="17" t="str">
        <f>"74400"</f>
        <v>74400</v>
      </c>
      <c r="B4508" s="5" t="s">
        <v>4663</v>
      </c>
      <c r="C4508" s="17">
        <v>19900101</v>
      </c>
      <c r="D4508" s="17">
        <v>22991231</v>
      </c>
      <c r="E4508" s="25">
        <v>91.04</v>
      </c>
    </row>
    <row r="4509" spans="1:5" x14ac:dyDescent="0.3">
      <c r="A4509" s="17" t="str">
        <f>"74410"</f>
        <v>74410</v>
      </c>
      <c r="B4509" s="5" t="s">
        <v>4664</v>
      </c>
      <c r="C4509" s="17">
        <v>19900101</v>
      </c>
      <c r="D4509" s="17">
        <v>22991231</v>
      </c>
      <c r="E4509" s="25">
        <v>91.04</v>
      </c>
    </row>
    <row r="4510" spans="1:5" ht="26" x14ac:dyDescent="0.3">
      <c r="A4510" s="17" t="str">
        <f>"74415"</f>
        <v>74415</v>
      </c>
      <c r="B4510" s="5" t="s">
        <v>4665</v>
      </c>
      <c r="C4510" s="17">
        <v>19900101</v>
      </c>
      <c r="D4510" s="17">
        <v>22991231</v>
      </c>
      <c r="E4510" s="25">
        <v>91.04</v>
      </c>
    </row>
    <row r="4511" spans="1:5" ht="26" x14ac:dyDescent="0.3">
      <c r="A4511" s="17" t="str">
        <f>"74420"</f>
        <v>74420</v>
      </c>
      <c r="B4511" s="5" t="s">
        <v>4666</v>
      </c>
      <c r="C4511" s="17">
        <v>19900101</v>
      </c>
      <c r="D4511" s="17">
        <v>22991231</v>
      </c>
      <c r="E4511" s="25">
        <v>190.54</v>
      </c>
    </row>
    <row r="4512" spans="1:5" ht="26" x14ac:dyDescent="0.3">
      <c r="A4512" s="17" t="str">
        <f>"74425"</f>
        <v>74425</v>
      </c>
      <c r="B4512" s="5" t="s">
        <v>4667</v>
      </c>
      <c r="C4512" s="17">
        <v>19900101</v>
      </c>
      <c r="D4512" s="17">
        <v>22991231</v>
      </c>
      <c r="E4512" s="25">
        <v>0</v>
      </c>
    </row>
    <row r="4513" spans="1:5" x14ac:dyDescent="0.3">
      <c r="A4513" s="17" t="str">
        <f>"74430"</f>
        <v>74430</v>
      </c>
      <c r="B4513" s="5" t="s">
        <v>4668</v>
      </c>
      <c r="C4513" s="17">
        <v>19900101</v>
      </c>
      <c r="D4513" s="17">
        <v>22991231</v>
      </c>
      <c r="E4513" s="25">
        <v>0</v>
      </c>
    </row>
    <row r="4514" spans="1:5" ht="26" x14ac:dyDescent="0.3">
      <c r="A4514" s="17" t="str">
        <f>"74440"</f>
        <v>74440</v>
      </c>
      <c r="B4514" s="5" t="s">
        <v>4669</v>
      </c>
      <c r="C4514" s="17">
        <v>19900101</v>
      </c>
      <c r="D4514" s="17">
        <v>22991231</v>
      </c>
      <c r="E4514" s="25">
        <v>0</v>
      </c>
    </row>
    <row r="4515" spans="1:5" x14ac:dyDescent="0.3">
      <c r="A4515" s="17" t="str">
        <f>"74445"</f>
        <v>74445</v>
      </c>
      <c r="B4515" s="5" t="s">
        <v>4670</v>
      </c>
      <c r="C4515" s="17">
        <v>19900101</v>
      </c>
      <c r="D4515" s="17">
        <v>22991231</v>
      </c>
      <c r="E4515" s="25">
        <v>0</v>
      </c>
    </row>
    <row r="4516" spans="1:5" ht="26" x14ac:dyDescent="0.3">
      <c r="A4516" s="17" t="str">
        <f>"74450"</f>
        <v>74450</v>
      </c>
      <c r="B4516" s="5" t="s">
        <v>4671</v>
      </c>
      <c r="C4516" s="17">
        <v>19900101</v>
      </c>
      <c r="D4516" s="17">
        <v>22991231</v>
      </c>
      <c r="E4516" s="25">
        <v>0</v>
      </c>
    </row>
    <row r="4517" spans="1:5" ht="39" x14ac:dyDescent="0.3">
      <c r="A4517" s="17" t="str">
        <f>"74455"</f>
        <v>74455</v>
      </c>
      <c r="B4517" s="5" t="s">
        <v>4672</v>
      </c>
      <c r="C4517" s="17">
        <v>19900101</v>
      </c>
      <c r="D4517" s="17">
        <v>22991231</v>
      </c>
      <c r="E4517" s="25">
        <v>0</v>
      </c>
    </row>
    <row r="4518" spans="1:5" x14ac:dyDescent="0.3">
      <c r="A4518" s="17" t="str">
        <f>"74470"</f>
        <v>74470</v>
      </c>
      <c r="B4518" s="5" t="s">
        <v>4673</v>
      </c>
      <c r="C4518" s="17">
        <v>19900101</v>
      </c>
      <c r="D4518" s="17">
        <v>22991231</v>
      </c>
      <c r="E4518" s="25">
        <v>0</v>
      </c>
    </row>
    <row r="4519" spans="1:5" x14ac:dyDescent="0.3">
      <c r="A4519" s="17" t="str">
        <f>"74485"</f>
        <v>74485</v>
      </c>
      <c r="B4519" s="5" t="s">
        <v>4674</v>
      </c>
      <c r="C4519" s="17">
        <v>19900101</v>
      </c>
      <c r="D4519" s="17">
        <v>22991231</v>
      </c>
      <c r="E4519" s="25">
        <v>0</v>
      </c>
    </row>
    <row r="4520" spans="1:5" x14ac:dyDescent="0.3">
      <c r="A4520" s="17" t="str">
        <f>"74712"</f>
        <v>74712</v>
      </c>
      <c r="B4520" s="5" t="s">
        <v>4675</v>
      </c>
      <c r="C4520" s="17">
        <v>20230101</v>
      </c>
      <c r="D4520" s="17">
        <v>22991231</v>
      </c>
      <c r="E4520" s="25">
        <v>121.41</v>
      </c>
    </row>
    <row r="4521" spans="1:5" x14ac:dyDescent="0.3">
      <c r="A4521" s="17" t="str">
        <f>"74713"</f>
        <v>74713</v>
      </c>
      <c r="B4521" s="5" t="s">
        <v>4676</v>
      </c>
      <c r="C4521" s="17">
        <v>20230101</v>
      </c>
      <c r="D4521" s="17">
        <v>22991231</v>
      </c>
      <c r="E4521" s="25">
        <v>0</v>
      </c>
    </row>
    <row r="4522" spans="1:5" ht="26" x14ac:dyDescent="0.3">
      <c r="A4522" s="17" t="str">
        <f>"74740"</f>
        <v>74740</v>
      </c>
      <c r="B4522" s="5" t="s">
        <v>4677</v>
      </c>
      <c r="C4522" s="17">
        <v>19900101</v>
      </c>
      <c r="D4522" s="17">
        <v>22991231</v>
      </c>
      <c r="E4522" s="25">
        <v>0</v>
      </c>
    </row>
    <row r="4523" spans="1:5" ht="26" x14ac:dyDescent="0.3">
      <c r="A4523" s="17" t="str">
        <f>"74742"</f>
        <v>74742</v>
      </c>
      <c r="B4523" s="5" t="s">
        <v>4678</v>
      </c>
      <c r="C4523" s="17">
        <v>20230101</v>
      </c>
      <c r="D4523" s="17">
        <v>22991231</v>
      </c>
      <c r="E4523" s="25">
        <v>0</v>
      </c>
    </row>
    <row r="4524" spans="1:5" x14ac:dyDescent="0.3">
      <c r="A4524" s="17" t="str">
        <f>"74775"</f>
        <v>74775</v>
      </c>
      <c r="B4524" s="5" t="s">
        <v>4679</v>
      </c>
      <c r="C4524" s="17">
        <v>19900101</v>
      </c>
      <c r="D4524" s="17">
        <v>22991231</v>
      </c>
      <c r="E4524" s="25">
        <v>121.41</v>
      </c>
    </row>
    <row r="4525" spans="1:5" x14ac:dyDescent="0.3">
      <c r="A4525" s="17" t="str">
        <f>"75557"</f>
        <v>75557</v>
      </c>
      <c r="B4525" s="5" t="s">
        <v>4680</v>
      </c>
      <c r="C4525" s="17">
        <v>20080101</v>
      </c>
      <c r="D4525" s="17">
        <v>22991231</v>
      </c>
      <c r="E4525" s="25">
        <v>121.41</v>
      </c>
    </row>
    <row r="4526" spans="1:5" ht="26" x14ac:dyDescent="0.3">
      <c r="A4526" s="17" t="str">
        <f>"75559"</f>
        <v>75559</v>
      </c>
      <c r="B4526" s="5" t="s">
        <v>4681</v>
      </c>
      <c r="C4526" s="17">
        <v>20080101</v>
      </c>
      <c r="D4526" s="17">
        <v>22991231</v>
      </c>
      <c r="E4526" s="25">
        <v>265.22000000000003</v>
      </c>
    </row>
    <row r="4527" spans="1:5" x14ac:dyDescent="0.3">
      <c r="A4527" s="17" t="str">
        <f>"75561"</f>
        <v>75561</v>
      </c>
      <c r="B4527" s="5" t="s">
        <v>4682</v>
      </c>
      <c r="C4527" s="17">
        <v>20080101</v>
      </c>
      <c r="D4527" s="17">
        <v>22991231</v>
      </c>
      <c r="E4527" s="25">
        <v>190.54</v>
      </c>
    </row>
    <row r="4528" spans="1:5" ht="26" x14ac:dyDescent="0.3">
      <c r="A4528" s="17" t="str">
        <f>"75563"</f>
        <v>75563</v>
      </c>
      <c r="B4528" s="5" t="s">
        <v>4683</v>
      </c>
      <c r="C4528" s="17">
        <v>20080101</v>
      </c>
      <c r="D4528" s="17">
        <v>22991231</v>
      </c>
      <c r="E4528" s="25">
        <v>310.57</v>
      </c>
    </row>
    <row r="4529" spans="1:5" x14ac:dyDescent="0.3">
      <c r="A4529" s="17" t="str">
        <f>"75565"</f>
        <v>75565</v>
      </c>
      <c r="B4529" s="5" t="s">
        <v>4684</v>
      </c>
      <c r="C4529" s="17">
        <v>20230101</v>
      </c>
      <c r="D4529" s="17">
        <v>22991231</v>
      </c>
      <c r="E4529" s="25">
        <v>0</v>
      </c>
    </row>
    <row r="4530" spans="1:5" ht="26" x14ac:dyDescent="0.3">
      <c r="A4530" s="17" t="str">
        <f>"75571"</f>
        <v>75571</v>
      </c>
      <c r="B4530" s="5" t="s">
        <v>4685</v>
      </c>
      <c r="C4530" s="17">
        <v>20230101</v>
      </c>
      <c r="D4530" s="17">
        <v>22991231</v>
      </c>
      <c r="E4530" s="25">
        <v>0</v>
      </c>
    </row>
    <row r="4531" spans="1:5" x14ac:dyDescent="0.3">
      <c r="A4531" s="17" t="str">
        <f>"75572"</f>
        <v>75572</v>
      </c>
      <c r="B4531" s="5" t="s">
        <v>4686</v>
      </c>
      <c r="C4531" s="17">
        <v>20230101</v>
      </c>
      <c r="D4531" s="17">
        <v>22991231</v>
      </c>
      <c r="E4531" s="25">
        <v>91.04</v>
      </c>
    </row>
    <row r="4532" spans="1:5" ht="26" x14ac:dyDescent="0.3">
      <c r="A4532" s="17" t="str">
        <f>"75573"</f>
        <v>75573</v>
      </c>
      <c r="B4532" s="5" t="s">
        <v>4687</v>
      </c>
      <c r="C4532" s="17">
        <v>20230101</v>
      </c>
      <c r="D4532" s="17">
        <v>22991231</v>
      </c>
      <c r="E4532" s="25">
        <v>91.04</v>
      </c>
    </row>
    <row r="4533" spans="1:5" ht="26" x14ac:dyDescent="0.3">
      <c r="A4533" s="17" t="str">
        <f>"75574"</f>
        <v>75574</v>
      </c>
      <c r="B4533" s="5" t="s">
        <v>4688</v>
      </c>
      <c r="C4533" s="17">
        <v>20230101</v>
      </c>
      <c r="D4533" s="17">
        <v>22991231</v>
      </c>
      <c r="E4533" s="25">
        <v>91.04</v>
      </c>
    </row>
    <row r="4534" spans="1:5" x14ac:dyDescent="0.3">
      <c r="A4534" s="17" t="str">
        <f>"75600"</f>
        <v>75600</v>
      </c>
      <c r="B4534" s="5" t="s">
        <v>4689</v>
      </c>
      <c r="C4534" s="17">
        <v>19900101</v>
      </c>
      <c r="D4534" s="17">
        <v>22991231</v>
      </c>
      <c r="E4534" s="25">
        <v>0</v>
      </c>
    </row>
    <row r="4535" spans="1:5" ht="26" x14ac:dyDescent="0.3">
      <c r="A4535" s="17" t="str">
        <f>"75605"</f>
        <v>75605</v>
      </c>
      <c r="B4535" s="5" t="s">
        <v>4690</v>
      </c>
      <c r="C4535" s="17">
        <v>19900101</v>
      </c>
      <c r="D4535" s="17">
        <v>22991231</v>
      </c>
      <c r="E4535" s="25">
        <v>0</v>
      </c>
    </row>
    <row r="4536" spans="1:5" x14ac:dyDescent="0.3">
      <c r="A4536" s="17" t="str">
        <f>"75625"</f>
        <v>75625</v>
      </c>
      <c r="B4536" s="5" t="s">
        <v>4691</v>
      </c>
      <c r="C4536" s="17">
        <v>19900101</v>
      </c>
      <c r="D4536" s="17">
        <v>22991231</v>
      </c>
      <c r="E4536" s="25">
        <v>0</v>
      </c>
    </row>
    <row r="4537" spans="1:5" ht="26" x14ac:dyDescent="0.3">
      <c r="A4537" s="17" t="str">
        <f>"75630"</f>
        <v>75630</v>
      </c>
      <c r="B4537" s="5" t="s">
        <v>4692</v>
      </c>
      <c r="C4537" s="17">
        <v>19900101</v>
      </c>
      <c r="D4537" s="17">
        <v>22991231</v>
      </c>
      <c r="E4537" s="25">
        <v>0</v>
      </c>
    </row>
    <row r="4538" spans="1:5" ht="26" x14ac:dyDescent="0.3">
      <c r="A4538" s="17" t="str">
        <f>"75635"</f>
        <v>75635</v>
      </c>
      <c r="B4538" s="5" t="s">
        <v>4693</v>
      </c>
      <c r="C4538" s="17">
        <v>20230101</v>
      </c>
      <c r="D4538" s="17">
        <v>22991231</v>
      </c>
      <c r="E4538" s="25">
        <v>0</v>
      </c>
    </row>
    <row r="4539" spans="1:5" x14ac:dyDescent="0.3">
      <c r="A4539" s="17" t="str">
        <f>"75705"</f>
        <v>75705</v>
      </c>
      <c r="B4539" s="5" t="s">
        <v>4694</v>
      </c>
      <c r="C4539" s="17">
        <v>19900101</v>
      </c>
      <c r="D4539" s="17">
        <v>22991231</v>
      </c>
      <c r="E4539" s="25">
        <v>0</v>
      </c>
    </row>
    <row r="4540" spans="1:5" ht="26" x14ac:dyDescent="0.3">
      <c r="A4540" s="17" t="str">
        <f>"75710"</f>
        <v>75710</v>
      </c>
      <c r="B4540" s="5" t="s">
        <v>4695</v>
      </c>
      <c r="C4540" s="17">
        <v>19900101</v>
      </c>
      <c r="D4540" s="17">
        <v>22991231</v>
      </c>
      <c r="E4540" s="25">
        <v>0</v>
      </c>
    </row>
    <row r="4541" spans="1:5" ht="26" x14ac:dyDescent="0.3">
      <c r="A4541" s="17" t="str">
        <f>"75716"</f>
        <v>75716</v>
      </c>
      <c r="B4541" s="5" t="s">
        <v>4696</v>
      </c>
      <c r="C4541" s="17">
        <v>19900101</v>
      </c>
      <c r="D4541" s="17">
        <v>22991231</v>
      </c>
      <c r="E4541" s="25">
        <v>0</v>
      </c>
    </row>
    <row r="4542" spans="1:5" ht="26" x14ac:dyDescent="0.3">
      <c r="A4542" s="17" t="str">
        <f>"75726"</f>
        <v>75726</v>
      </c>
      <c r="B4542" s="5" t="s">
        <v>4697</v>
      </c>
      <c r="C4542" s="17">
        <v>19900101</v>
      </c>
      <c r="D4542" s="17">
        <v>22991231</v>
      </c>
      <c r="E4542" s="25">
        <v>0</v>
      </c>
    </row>
    <row r="4543" spans="1:5" ht="26" x14ac:dyDescent="0.3">
      <c r="A4543" s="17" t="str">
        <f>"75731"</f>
        <v>75731</v>
      </c>
      <c r="B4543" s="5" t="s">
        <v>4698</v>
      </c>
      <c r="C4543" s="17">
        <v>19900101</v>
      </c>
      <c r="D4543" s="17">
        <v>22991231</v>
      </c>
      <c r="E4543" s="25">
        <v>105.4</v>
      </c>
    </row>
    <row r="4544" spans="1:5" ht="26" x14ac:dyDescent="0.3">
      <c r="A4544" s="17" t="str">
        <f>"75733"</f>
        <v>75733</v>
      </c>
      <c r="B4544" s="5" t="s">
        <v>4699</v>
      </c>
      <c r="C4544" s="17">
        <v>19900101</v>
      </c>
      <c r="D4544" s="17">
        <v>22991231</v>
      </c>
      <c r="E4544" s="25">
        <v>0</v>
      </c>
    </row>
    <row r="4545" spans="1:5" x14ac:dyDescent="0.3">
      <c r="A4545" s="17" t="str">
        <f>"75736"</f>
        <v>75736</v>
      </c>
      <c r="B4545" s="5" t="s">
        <v>4700</v>
      </c>
      <c r="C4545" s="17">
        <v>19900101</v>
      </c>
      <c r="D4545" s="17">
        <v>22991231</v>
      </c>
      <c r="E4545" s="25">
        <v>0</v>
      </c>
    </row>
    <row r="4546" spans="1:5" x14ac:dyDescent="0.3">
      <c r="A4546" s="17" t="str">
        <f>"75741"</f>
        <v>75741</v>
      </c>
      <c r="B4546" s="5" t="s">
        <v>4701</v>
      </c>
      <c r="C4546" s="17">
        <v>19900101</v>
      </c>
      <c r="D4546" s="17">
        <v>22991231</v>
      </c>
      <c r="E4546" s="25">
        <v>0</v>
      </c>
    </row>
    <row r="4547" spans="1:5" ht="26" x14ac:dyDescent="0.3">
      <c r="A4547" s="17" t="str">
        <f>"75743"</f>
        <v>75743</v>
      </c>
      <c r="B4547" s="5" t="s">
        <v>4702</v>
      </c>
      <c r="C4547" s="17">
        <v>19900101</v>
      </c>
      <c r="D4547" s="17">
        <v>22991231</v>
      </c>
      <c r="E4547" s="25">
        <v>0</v>
      </c>
    </row>
    <row r="4548" spans="1:5" ht="26" x14ac:dyDescent="0.3">
      <c r="A4548" s="17" t="str">
        <f>"75746"</f>
        <v>75746</v>
      </c>
      <c r="B4548" s="5" t="s">
        <v>4703</v>
      </c>
      <c r="C4548" s="17">
        <v>19900101</v>
      </c>
      <c r="D4548" s="17">
        <v>22991231</v>
      </c>
      <c r="E4548" s="25">
        <v>87.88</v>
      </c>
    </row>
    <row r="4549" spans="1:5" ht="26" x14ac:dyDescent="0.3">
      <c r="A4549" s="17" t="str">
        <f>"75756"</f>
        <v>75756</v>
      </c>
      <c r="B4549" s="5" t="s">
        <v>4704</v>
      </c>
      <c r="C4549" s="17">
        <v>19900101</v>
      </c>
      <c r="D4549" s="17">
        <v>22991231</v>
      </c>
      <c r="E4549" s="25">
        <v>0</v>
      </c>
    </row>
    <row r="4550" spans="1:5" x14ac:dyDescent="0.3">
      <c r="A4550" s="17" t="str">
        <f>"75774"</f>
        <v>75774</v>
      </c>
      <c r="B4550" s="5" t="s">
        <v>4705</v>
      </c>
      <c r="C4550" s="17">
        <v>19900101</v>
      </c>
      <c r="D4550" s="17">
        <v>22991231</v>
      </c>
      <c r="E4550" s="25">
        <v>0</v>
      </c>
    </row>
    <row r="4551" spans="1:5" ht="26" x14ac:dyDescent="0.3">
      <c r="A4551" s="17" t="str">
        <f>"75801"</f>
        <v>75801</v>
      </c>
      <c r="B4551" s="5" t="s">
        <v>4706</v>
      </c>
      <c r="C4551" s="17">
        <v>19900101</v>
      </c>
      <c r="D4551" s="17">
        <v>22991231</v>
      </c>
      <c r="E4551" s="25">
        <v>0</v>
      </c>
    </row>
    <row r="4552" spans="1:5" ht="26" x14ac:dyDescent="0.3">
      <c r="A4552" s="17" t="str">
        <f>"75803"</f>
        <v>75803</v>
      </c>
      <c r="B4552" s="5" t="s">
        <v>4707</v>
      </c>
      <c r="C4552" s="17">
        <v>19900101</v>
      </c>
      <c r="D4552" s="17">
        <v>22991231</v>
      </c>
      <c r="E4552" s="25">
        <v>591.41</v>
      </c>
    </row>
    <row r="4553" spans="1:5" ht="26" x14ac:dyDescent="0.3">
      <c r="A4553" s="17" t="str">
        <f>"75805"</f>
        <v>75805</v>
      </c>
      <c r="B4553" s="5" t="s">
        <v>4708</v>
      </c>
      <c r="C4553" s="17">
        <v>19900101</v>
      </c>
      <c r="D4553" s="17">
        <v>22991231</v>
      </c>
      <c r="E4553" s="25">
        <v>1478.57</v>
      </c>
    </row>
    <row r="4554" spans="1:5" ht="26" x14ac:dyDescent="0.3">
      <c r="A4554" s="17" t="str">
        <f>"75807"</f>
        <v>75807</v>
      </c>
      <c r="B4554" s="5" t="s">
        <v>4709</v>
      </c>
      <c r="C4554" s="17">
        <v>19900101</v>
      </c>
      <c r="D4554" s="17">
        <v>22991231</v>
      </c>
      <c r="E4554" s="25">
        <v>0</v>
      </c>
    </row>
    <row r="4555" spans="1:5" ht="26" x14ac:dyDescent="0.3">
      <c r="A4555" s="17" t="str">
        <f>"75809"</f>
        <v>75809</v>
      </c>
      <c r="B4555" s="5" t="s">
        <v>4710</v>
      </c>
      <c r="C4555" s="17">
        <v>20230101</v>
      </c>
      <c r="D4555" s="17">
        <v>22991231</v>
      </c>
      <c r="E4555" s="25">
        <v>0</v>
      </c>
    </row>
    <row r="4556" spans="1:5" ht="26" x14ac:dyDescent="0.3">
      <c r="A4556" s="17" t="str">
        <f>"75810"</f>
        <v>75810</v>
      </c>
      <c r="B4556" s="5" t="s">
        <v>4711</v>
      </c>
      <c r="C4556" s="17">
        <v>19900101</v>
      </c>
      <c r="D4556" s="17">
        <v>22991231</v>
      </c>
      <c r="E4556" s="25">
        <v>1478.57</v>
      </c>
    </row>
    <row r="4557" spans="1:5" ht="26" x14ac:dyDescent="0.3">
      <c r="A4557" s="17" t="str">
        <f>"75820"</f>
        <v>75820</v>
      </c>
      <c r="B4557" s="5" t="s">
        <v>4712</v>
      </c>
      <c r="C4557" s="17">
        <v>19900101</v>
      </c>
      <c r="D4557" s="17">
        <v>22991231</v>
      </c>
      <c r="E4557" s="25">
        <v>0</v>
      </c>
    </row>
    <row r="4558" spans="1:5" ht="26" x14ac:dyDescent="0.3">
      <c r="A4558" s="17" t="str">
        <f>"75822"</f>
        <v>75822</v>
      </c>
      <c r="B4558" s="5" t="s">
        <v>4713</v>
      </c>
      <c r="C4558" s="17">
        <v>19900101</v>
      </c>
      <c r="D4558" s="17">
        <v>22991231</v>
      </c>
      <c r="E4558" s="25">
        <v>74.430000000000007</v>
      </c>
    </row>
    <row r="4559" spans="1:5" ht="26" x14ac:dyDescent="0.3">
      <c r="A4559" s="17" t="str">
        <f>"75825"</f>
        <v>75825</v>
      </c>
      <c r="B4559" s="5" t="s">
        <v>4714</v>
      </c>
      <c r="C4559" s="17">
        <v>19900101</v>
      </c>
      <c r="D4559" s="17">
        <v>22991231</v>
      </c>
      <c r="E4559" s="25">
        <v>0</v>
      </c>
    </row>
    <row r="4560" spans="1:5" ht="26" x14ac:dyDescent="0.3">
      <c r="A4560" s="17" t="str">
        <f>"75827"</f>
        <v>75827</v>
      </c>
      <c r="B4560" s="5" t="s">
        <v>4715</v>
      </c>
      <c r="C4560" s="17">
        <v>19900101</v>
      </c>
      <c r="D4560" s="17">
        <v>22991231</v>
      </c>
      <c r="E4560" s="25">
        <v>0</v>
      </c>
    </row>
    <row r="4561" spans="1:5" x14ac:dyDescent="0.3">
      <c r="A4561" s="17" t="str">
        <f>"75831"</f>
        <v>75831</v>
      </c>
      <c r="B4561" s="5" t="s">
        <v>4716</v>
      </c>
      <c r="C4561" s="17">
        <v>19900101</v>
      </c>
      <c r="D4561" s="17">
        <v>22991231</v>
      </c>
      <c r="E4561" s="25">
        <v>0</v>
      </c>
    </row>
    <row r="4562" spans="1:5" ht="26" x14ac:dyDescent="0.3">
      <c r="A4562" s="17" t="str">
        <f>"75833"</f>
        <v>75833</v>
      </c>
      <c r="B4562" s="5" t="s">
        <v>4717</v>
      </c>
      <c r="C4562" s="17">
        <v>19900101</v>
      </c>
      <c r="D4562" s="17">
        <v>22991231</v>
      </c>
      <c r="E4562" s="25">
        <v>0</v>
      </c>
    </row>
    <row r="4563" spans="1:5" ht="26" x14ac:dyDescent="0.3">
      <c r="A4563" s="17" t="str">
        <f>"75840"</f>
        <v>75840</v>
      </c>
      <c r="B4563" s="5" t="s">
        <v>4718</v>
      </c>
      <c r="C4563" s="17">
        <v>19900101</v>
      </c>
      <c r="D4563" s="17">
        <v>22991231</v>
      </c>
      <c r="E4563" s="25">
        <v>0</v>
      </c>
    </row>
    <row r="4564" spans="1:5" ht="26" x14ac:dyDescent="0.3">
      <c r="A4564" s="17" t="str">
        <f>"75842"</f>
        <v>75842</v>
      </c>
      <c r="B4564" s="5" t="s">
        <v>4719</v>
      </c>
      <c r="C4564" s="17">
        <v>19900101</v>
      </c>
      <c r="D4564" s="17">
        <v>22991231</v>
      </c>
      <c r="E4564" s="25">
        <v>0</v>
      </c>
    </row>
    <row r="4565" spans="1:5" ht="26" x14ac:dyDescent="0.3">
      <c r="A4565" s="17" t="str">
        <f>"75860"</f>
        <v>75860</v>
      </c>
      <c r="B4565" s="5" t="s">
        <v>4720</v>
      </c>
      <c r="C4565" s="17">
        <v>19900101</v>
      </c>
      <c r="D4565" s="17">
        <v>22991231</v>
      </c>
      <c r="E4565" s="25">
        <v>0</v>
      </c>
    </row>
    <row r="4566" spans="1:5" ht="26" x14ac:dyDescent="0.3">
      <c r="A4566" s="17" t="str">
        <f>"75870"</f>
        <v>75870</v>
      </c>
      <c r="B4566" s="5" t="s">
        <v>4721</v>
      </c>
      <c r="C4566" s="17">
        <v>19900101</v>
      </c>
      <c r="D4566" s="17">
        <v>22991231</v>
      </c>
      <c r="E4566" s="25">
        <v>104.15</v>
      </c>
    </row>
    <row r="4567" spans="1:5" ht="26" x14ac:dyDescent="0.3">
      <c r="A4567" s="17" t="str">
        <f>"75872"</f>
        <v>75872</v>
      </c>
      <c r="B4567" s="5" t="s">
        <v>4722</v>
      </c>
      <c r="C4567" s="17">
        <v>19900101</v>
      </c>
      <c r="D4567" s="17">
        <v>22991231</v>
      </c>
      <c r="E4567" s="25">
        <v>0</v>
      </c>
    </row>
    <row r="4568" spans="1:5" ht="26" x14ac:dyDescent="0.3">
      <c r="A4568" s="17" t="str">
        <f>"75880"</f>
        <v>75880</v>
      </c>
      <c r="B4568" s="5" t="s">
        <v>4723</v>
      </c>
      <c r="C4568" s="17">
        <v>19900101</v>
      </c>
      <c r="D4568" s="17">
        <v>22991231</v>
      </c>
      <c r="E4568" s="25">
        <v>0</v>
      </c>
    </row>
    <row r="4569" spans="1:5" ht="39" x14ac:dyDescent="0.3">
      <c r="A4569" s="17" t="str">
        <f>"75885"</f>
        <v>75885</v>
      </c>
      <c r="B4569" s="5" t="s">
        <v>4724</v>
      </c>
      <c r="C4569" s="17">
        <v>19900101</v>
      </c>
      <c r="D4569" s="17">
        <v>22991231</v>
      </c>
      <c r="E4569" s="25">
        <v>0</v>
      </c>
    </row>
    <row r="4570" spans="1:5" ht="26" x14ac:dyDescent="0.3">
      <c r="A4570" s="17" t="str">
        <f>"75887"</f>
        <v>75887</v>
      </c>
      <c r="B4570" s="5" t="s">
        <v>4725</v>
      </c>
      <c r="C4570" s="17">
        <v>19900101</v>
      </c>
      <c r="D4570" s="17">
        <v>22991231</v>
      </c>
      <c r="E4570" s="25">
        <v>80.069999999999993</v>
      </c>
    </row>
    <row r="4571" spans="1:5" ht="26" x14ac:dyDescent="0.3">
      <c r="A4571" s="17" t="str">
        <f>"75889"</f>
        <v>75889</v>
      </c>
      <c r="B4571" s="5" t="s">
        <v>4726</v>
      </c>
      <c r="C4571" s="17">
        <v>19900101</v>
      </c>
      <c r="D4571" s="17">
        <v>22991231</v>
      </c>
      <c r="E4571" s="25">
        <v>0</v>
      </c>
    </row>
    <row r="4572" spans="1:5" x14ac:dyDescent="0.3">
      <c r="A4572" s="17" t="str">
        <f>"75891"</f>
        <v>75891</v>
      </c>
      <c r="B4572" s="5" t="s">
        <v>4727</v>
      </c>
      <c r="C4572" s="17">
        <v>19900101</v>
      </c>
      <c r="D4572" s="17">
        <v>22991231</v>
      </c>
      <c r="E4572" s="25">
        <v>0</v>
      </c>
    </row>
    <row r="4573" spans="1:5" ht="26" x14ac:dyDescent="0.3">
      <c r="A4573" s="17" t="str">
        <f>"75893"</f>
        <v>75893</v>
      </c>
      <c r="B4573" s="5" t="s">
        <v>4728</v>
      </c>
      <c r="C4573" s="17">
        <v>19900101</v>
      </c>
      <c r="D4573" s="17">
        <v>22991231</v>
      </c>
      <c r="E4573" s="25">
        <v>0</v>
      </c>
    </row>
    <row r="4574" spans="1:5" ht="26" x14ac:dyDescent="0.3">
      <c r="A4574" s="17" t="str">
        <f>"75894"</f>
        <v>75894</v>
      </c>
      <c r="B4574" s="5" t="s">
        <v>4729</v>
      </c>
      <c r="C4574" s="17">
        <v>19900101</v>
      </c>
      <c r="D4574" s="17">
        <v>22991231</v>
      </c>
      <c r="E4574" s="25">
        <v>0</v>
      </c>
    </row>
    <row r="4575" spans="1:5" x14ac:dyDescent="0.3">
      <c r="A4575" s="17" t="str">
        <f>"75898"</f>
        <v>75898</v>
      </c>
      <c r="B4575" s="5" t="s">
        <v>4730</v>
      </c>
      <c r="C4575" s="17">
        <v>19900101</v>
      </c>
      <c r="D4575" s="17">
        <v>22991231</v>
      </c>
      <c r="E4575" s="25">
        <v>1478.57</v>
      </c>
    </row>
    <row r="4576" spans="1:5" ht="26" x14ac:dyDescent="0.3">
      <c r="A4576" s="17" t="str">
        <f>"75901"</f>
        <v>75901</v>
      </c>
      <c r="B4576" s="5" t="s">
        <v>4731</v>
      </c>
      <c r="C4576" s="17">
        <v>20230101</v>
      </c>
      <c r="D4576" s="17">
        <v>22991231</v>
      </c>
      <c r="E4576" s="25">
        <v>0</v>
      </c>
    </row>
    <row r="4577" spans="1:5" ht="39" x14ac:dyDescent="0.3">
      <c r="A4577" s="17" t="str">
        <f>"75902"</f>
        <v>75902</v>
      </c>
      <c r="B4577" s="5" t="s">
        <v>4732</v>
      </c>
      <c r="C4577" s="17">
        <v>20230101</v>
      </c>
      <c r="D4577" s="17">
        <v>22991231</v>
      </c>
      <c r="E4577" s="25">
        <v>0</v>
      </c>
    </row>
    <row r="4578" spans="1:5" ht="26" x14ac:dyDescent="0.3">
      <c r="A4578" s="17" t="str">
        <f>"75970"</f>
        <v>75970</v>
      </c>
      <c r="B4578" s="5" t="s">
        <v>4733</v>
      </c>
      <c r="C4578" s="17">
        <v>19900101</v>
      </c>
      <c r="D4578" s="17">
        <v>22991231</v>
      </c>
      <c r="E4578" s="25">
        <v>0</v>
      </c>
    </row>
    <row r="4579" spans="1:5" ht="26" x14ac:dyDescent="0.3">
      <c r="A4579" s="17" t="str">
        <f>"75984"</f>
        <v>75984</v>
      </c>
      <c r="B4579" s="5" t="s">
        <v>4734</v>
      </c>
      <c r="C4579" s="17">
        <v>19900101</v>
      </c>
      <c r="D4579" s="17">
        <v>22991231</v>
      </c>
      <c r="E4579" s="25">
        <v>0</v>
      </c>
    </row>
    <row r="4580" spans="1:5" ht="26" x14ac:dyDescent="0.3">
      <c r="A4580" s="17" t="str">
        <f>"75989"</f>
        <v>75989</v>
      </c>
      <c r="B4580" s="5" t="s">
        <v>4735</v>
      </c>
      <c r="C4580" s="17">
        <v>19900101</v>
      </c>
      <c r="D4580" s="17">
        <v>22991231</v>
      </c>
      <c r="E4580" s="25">
        <v>0</v>
      </c>
    </row>
    <row r="4581" spans="1:5" ht="26" x14ac:dyDescent="0.3">
      <c r="A4581" s="17" t="str">
        <f>"76000"</f>
        <v>76000</v>
      </c>
      <c r="B4581" s="5" t="s">
        <v>4736</v>
      </c>
      <c r="C4581" s="17">
        <v>19900101</v>
      </c>
      <c r="D4581" s="17">
        <v>22991231</v>
      </c>
      <c r="E4581" s="25">
        <v>29.4</v>
      </c>
    </row>
    <row r="4582" spans="1:5" x14ac:dyDescent="0.3">
      <c r="A4582" s="17" t="str">
        <f>"76010"</f>
        <v>76010</v>
      </c>
      <c r="B4582" s="5" t="s">
        <v>4737</v>
      </c>
      <c r="C4582" s="17">
        <v>19900101</v>
      </c>
      <c r="D4582" s="17">
        <v>22991231</v>
      </c>
      <c r="E4582" s="25">
        <v>0</v>
      </c>
    </row>
    <row r="4583" spans="1:5" ht="26" x14ac:dyDescent="0.3">
      <c r="A4583" s="17" t="str">
        <f>"76080"</f>
        <v>76080</v>
      </c>
      <c r="B4583" s="5" t="s">
        <v>4738</v>
      </c>
      <c r="C4583" s="17">
        <v>19980101</v>
      </c>
      <c r="D4583" s="17">
        <v>22991231</v>
      </c>
      <c r="E4583" s="25">
        <v>0</v>
      </c>
    </row>
    <row r="4584" spans="1:5" x14ac:dyDescent="0.3">
      <c r="A4584" s="17" t="str">
        <f>"76098"</f>
        <v>76098</v>
      </c>
      <c r="B4584" s="5" t="s">
        <v>4739</v>
      </c>
      <c r="C4584" s="17">
        <v>19900101</v>
      </c>
      <c r="D4584" s="17">
        <v>22991231</v>
      </c>
      <c r="E4584" s="25">
        <v>0</v>
      </c>
    </row>
    <row r="4585" spans="1:5" x14ac:dyDescent="0.3">
      <c r="A4585" s="17" t="str">
        <f>"76100"</f>
        <v>76100</v>
      </c>
      <c r="B4585" s="5" t="s">
        <v>4740</v>
      </c>
      <c r="C4585" s="17">
        <v>19900101</v>
      </c>
      <c r="D4585" s="17">
        <v>22991231</v>
      </c>
      <c r="E4585" s="25">
        <v>0</v>
      </c>
    </row>
    <row r="4586" spans="1:5" x14ac:dyDescent="0.3">
      <c r="A4586" s="17" t="str">
        <f>"76120"</f>
        <v>76120</v>
      </c>
      <c r="B4586" s="5" t="s">
        <v>4741</v>
      </c>
      <c r="C4586" s="17">
        <v>20151001</v>
      </c>
      <c r="D4586" s="17">
        <v>22991231</v>
      </c>
      <c r="E4586" s="25">
        <v>0</v>
      </c>
    </row>
    <row r="4587" spans="1:5" x14ac:dyDescent="0.3">
      <c r="A4587" s="17" t="str">
        <f>"76125"</f>
        <v>76125</v>
      </c>
      <c r="B4587" s="5" t="s">
        <v>4742</v>
      </c>
      <c r="C4587" s="17">
        <v>19900101</v>
      </c>
      <c r="D4587" s="17">
        <v>22991231</v>
      </c>
      <c r="E4587" s="25">
        <v>0</v>
      </c>
    </row>
    <row r="4588" spans="1:5" x14ac:dyDescent="0.3">
      <c r="A4588" s="17" t="str">
        <f>"76140"</f>
        <v>76140</v>
      </c>
      <c r="B4588" s="5" t="s">
        <v>4743</v>
      </c>
      <c r="C4588" s="17">
        <v>19900101</v>
      </c>
      <c r="D4588" s="17">
        <v>22991231</v>
      </c>
      <c r="E4588" s="24" t="s">
        <v>7128</v>
      </c>
    </row>
    <row r="4589" spans="1:5" ht="26" x14ac:dyDescent="0.3">
      <c r="A4589" s="17" t="str">
        <f>"76145"</f>
        <v>76145</v>
      </c>
      <c r="B4589" s="5" t="s">
        <v>4744</v>
      </c>
      <c r="C4589" s="17">
        <v>20210101</v>
      </c>
      <c r="D4589" s="17">
        <v>22991231</v>
      </c>
      <c r="E4589" s="25">
        <v>265.56</v>
      </c>
    </row>
    <row r="4590" spans="1:5" x14ac:dyDescent="0.3">
      <c r="A4590" s="17" t="str">
        <f>"76376"</f>
        <v>76376</v>
      </c>
      <c r="B4590" s="5" t="s">
        <v>4745</v>
      </c>
      <c r="C4590" s="17">
        <v>20230101</v>
      </c>
      <c r="D4590" s="17">
        <v>22991231</v>
      </c>
      <c r="E4590" s="25">
        <v>0</v>
      </c>
    </row>
    <row r="4591" spans="1:5" ht="26" x14ac:dyDescent="0.3">
      <c r="A4591" s="17" t="str">
        <f>"76377"</f>
        <v>76377</v>
      </c>
      <c r="B4591" s="5" t="s">
        <v>4746</v>
      </c>
      <c r="C4591" s="17">
        <v>20230101</v>
      </c>
      <c r="D4591" s="17">
        <v>22991231</v>
      </c>
      <c r="E4591" s="25">
        <v>0</v>
      </c>
    </row>
    <row r="4592" spans="1:5" x14ac:dyDescent="0.3">
      <c r="A4592" s="17" t="str">
        <f>"76380"</f>
        <v>76380</v>
      </c>
      <c r="B4592" s="5" t="s">
        <v>4747</v>
      </c>
      <c r="C4592" s="17">
        <v>19920115</v>
      </c>
      <c r="D4592" s="17">
        <v>22991231</v>
      </c>
      <c r="E4592" s="25">
        <v>0</v>
      </c>
    </row>
    <row r="4593" spans="1:5" ht="26" x14ac:dyDescent="0.3">
      <c r="A4593" s="17" t="str">
        <f>"76390"</f>
        <v>76390</v>
      </c>
      <c r="B4593" s="5" t="s">
        <v>4748</v>
      </c>
      <c r="C4593" s="17">
        <v>20151001</v>
      </c>
      <c r="D4593" s="17">
        <v>22991231</v>
      </c>
      <c r="E4593" s="25">
        <v>45.03</v>
      </c>
    </row>
    <row r="4594" spans="1:5" x14ac:dyDescent="0.3">
      <c r="A4594" s="17" t="str">
        <f>"76391"</f>
        <v>76391</v>
      </c>
      <c r="B4594" s="5" t="s">
        <v>4749</v>
      </c>
      <c r="C4594" s="17">
        <v>20190101</v>
      </c>
      <c r="D4594" s="17">
        <v>22991231</v>
      </c>
      <c r="E4594" s="25">
        <v>121.41</v>
      </c>
    </row>
    <row r="4595" spans="1:5" x14ac:dyDescent="0.3">
      <c r="A4595" s="17" t="str">
        <f>"76496"</f>
        <v>76496</v>
      </c>
      <c r="B4595" s="5" t="s">
        <v>4750</v>
      </c>
      <c r="C4595" s="17">
        <v>20230101</v>
      </c>
      <c r="D4595" s="17">
        <v>22991231</v>
      </c>
      <c r="E4595" s="25">
        <v>0</v>
      </c>
    </row>
    <row r="4596" spans="1:5" x14ac:dyDescent="0.3">
      <c r="A4596" s="17" t="str">
        <f>"76497"</f>
        <v>76497</v>
      </c>
      <c r="B4596" s="5" t="s">
        <v>4751</v>
      </c>
      <c r="C4596" s="17">
        <v>20230101</v>
      </c>
      <c r="D4596" s="17">
        <v>22991231</v>
      </c>
      <c r="E4596" s="25">
        <v>0</v>
      </c>
    </row>
    <row r="4597" spans="1:5" x14ac:dyDescent="0.3">
      <c r="A4597" s="17" t="str">
        <f>"76498"</f>
        <v>76498</v>
      </c>
      <c r="B4597" s="5" t="s">
        <v>4752</v>
      </c>
      <c r="C4597" s="17">
        <v>20230101</v>
      </c>
      <c r="D4597" s="17">
        <v>22991231</v>
      </c>
      <c r="E4597" s="25">
        <v>45.03</v>
      </c>
    </row>
    <row r="4598" spans="1:5" x14ac:dyDescent="0.3">
      <c r="A4598" s="17" t="str">
        <f>"76499"</f>
        <v>76499</v>
      </c>
      <c r="B4598" s="5" t="s">
        <v>4753</v>
      </c>
      <c r="C4598" s="17">
        <v>20151001</v>
      </c>
      <c r="D4598" s="17">
        <v>22991231</v>
      </c>
      <c r="E4598" s="25">
        <v>0</v>
      </c>
    </row>
    <row r="4599" spans="1:5" x14ac:dyDescent="0.3">
      <c r="A4599" s="17" t="str">
        <f>"76506"</f>
        <v>76506</v>
      </c>
      <c r="B4599" s="5" t="s">
        <v>4754</v>
      </c>
      <c r="C4599" s="17">
        <v>19900101</v>
      </c>
      <c r="D4599" s="17">
        <v>22991231</v>
      </c>
      <c r="E4599" s="25">
        <v>0</v>
      </c>
    </row>
    <row r="4600" spans="1:5" ht="26" x14ac:dyDescent="0.3">
      <c r="A4600" s="17" t="str">
        <f>"76510"</f>
        <v>76510</v>
      </c>
      <c r="B4600" s="5" t="s">
        <v>4755</v>
      </c>
      <c r="C4600" s="17">
        <v>20230101</v>
      </c>
      <c r="D4600" s="17">
        <v>22991231</v>
      </c>
      <c r="E4600" s="25">
        <v>0</v>
      </c>
    </row>
    <row r="4601" spans="1:5" x14ac:dyDescent="0.3">
      <c r="A4601" s="17" t="str">
        <f>"76511"</f>
        <v>76511</v>
      </c>
      <c r="B4601" s="5" t="s">
        <v>4756</v>
      </c>
      <c r="C4601" s="17">
        <v>19900101</v>
      </c>
      <c r="D4601" s="17">
        <v>22991231</v>
      </c>
      <c r="E4601" s="25">
        <v>0</v>
      </c>
    </row>
    <row r="4602" spans="1:5" x14ac:dyDescent="0.3">
      <c r="A4602" s="17" t="str">
        <f>"76512"</f>
        <v>76512</v>
      </c>
      <c r="B4602" s="5" t="s">
        <v>4757</v>
      </c>
      <c r="C4602" s="17">
        <v>20230101</v>
      </c>
      <c r="D4602" s="17">
        <v>22991231</v>
      </c>
      <c r="E4602" s="25">
        <v>0</v>
      </c>
    </row>
    <row r="4603" spans="1:5" x14ac:dyDescent="0.3">
      <c r="A4603" s="17" t="str">
        <f>"76513"</f>
        <v>76513</v>
      </c>
      <c r="B4603" s="5" t="s">
        <v>4758</v>
      </c>
      <c r="C4603" s="17">
        <v>20230101</v>
      </c>
      <c r="D4603" s="17">
        <v>22991231</v>
      </c>
      <c r="E4603" s="25">
        <v>0</v>
      </c>
    </row>
    <row r="4604" spans="1:5" x14ac:dyDescent="0.3">
      <c r="A4604" s="17" t="str">
        <f>"76514"</f>
        <v>76514</v>
      </c>
      <c r="B4604" s="5" t="s">
        <v>4759</v>
      </c>
      <c r="C4604" s="17">
        <v>20230101</v>
      </c>
      <c r="D4604" s="17">
        <v>22991231</v>
      </c>
      <c r="E4604" s="25">
        <v>0</v>
      </c>
    </row>
    <row r="4605" spans="1:5" x14ac:dyDescent="0.3">
      <c r="A4605" s="17" t="str">
        <f>"76516"</f>
        <v>76516</v>
      </c>
      <c r="B4605" s="5" t="s">
        <v>4760</v>
      </c>
      <c r="C4605" s="17">
        <v>19900101</v>
      </c>
      <c r="D4605" s="17">
        <v>22991231</v>
      </c>
      <c r="E4605" s="25">
        <v>0</v>
      </c>
    </row>
    <row r="4606" spans="1:5" ht="26" x14ac:dyDescent="0.3">
      <c r="A4606" s="17" t="str">
        <f>"76519"</f>
        <v>76519</v>
      </c>
      <c r="B4606" s="5" t="s">
        <v>4761</v>
      </c>
      <c r="C4606" s="17">
        <v>19900101</v>
      </c>
      <c r="D4606" s="17">
        <v>22991231</v>
      </c>
      <c r="E4606" s="25">
        <v>0</v>
      </c>
    </row>
    <row r="4607" spans="1:5" ht="26" x14ac:dyDescent="0.3">
      <c r="A4607" s="17" t="str">
        <f>"76529"</f>
        <v>76529</v>
      </c>
      <c r="B4607" s="5" t="s">
        <v>4762</v>
      </c>
      <c r="C4607" s="17">
        <v>19900101</v>
      </c>
      <c r="D4607" s="17">
        <v>22991231</v>
      </c>
      <c r="E4607" s="25">
        <v>0</v>
      </c>
    </row>
    <row r="4608" spans="1:5" x14ac:dyDescent="0.3">
      <c r="A4608" s="17" t="str">
        <f>"76536"</f>
        <v>76536</v>
      </c>
      <c r="B4608" s="5" t="s">
        <v>4763</v>
      </c>
      <c r="C4608" s="17">
        <v>19900101</v>
      </c>
      <c r="D4608" s="17">
        <v>22991231</v>
      </c>
      <c r="E4608" s="25">
        <v>0</v>
      </c>
    </row>
    <row r="4609" spans="1:5" x14ac:dyDescent="0.3">
      <c r="A4609" s="17" t="str">
        <f>"76604"</f>
        <v>76604</v>
      </c>
      <c r="B4609" s="5" t="s">
        <v>4764</v>
      </c>
      <c r="C4609" s="17">
        <v>19900101</v>
      </c>
      <c r="D4609" s="17">
        <v>22991231</v>
      </c>
      <c r="E4609" s="25">
        <v>0</v>
      </c>
    </row>
    <row r="4610" spans="1:5" x14ac:dyDescent="0.3">
      <c r="A4610" s="17" t="str">
        <f>"76641"</f>
        <v>76641</v>
      </c>
      <c r="B4610" s="5" t="s">
        <v>4765</v>
      </c>
      <c r="C4610" s="17">
        <v>20230101</v>
      </c>
      <c r="D4610" s="17">
        <v>22991231</v>
      </c>
      <c r="E4610" s="25">
        <v>0</v>
      </c>
    </row>
    <row r="4611" spans="1:5" x14ac:dyDescent="0.3">
      <c r="A4611" s="17" t="str">
        <f>"76642"</f>
        <v>76642</v>
      </c>
      <c r="B4611" s="5" t="s">
        <v>4766</v>
      </c>
      <c r="C4611" s="17">
        <v>20230101</v>
      </c>
      <c r="D4611" s="17">
        <v>22991231</v>
      </c>
      <c r="E4611" s="25">
        <v>0</v>
      </c>
    </row>
    <row r="4612" spans="1:5" x14ac:dyDescent="0.3">
      <c r="A4612" s="17" t="str">
        <f>"76700"</f>
        <v>76700</v>
      </c>
      <c r="B4612" s="5" t="s">
        <v>4767</v>
      </c>
      <c r="C4612" s="17">
        <v>19900101</v>
      </c>
      <c r="D4612" s="17">
        <v>22991231</v>
      </c>
      <c r="E4612" s="25">
        <v>54.47</v>
      </c>
    </row>
    <row r="4613" spans="1:5" x14ac:dyDescent="0.3">
      <c r="A4613" s="17" t="str">
        <f>"76705"</f>
        <v>76705</v>
      </c>
      <c r="B4613" s="5" t="s">
        <v>4768</v>
      </c>
      <c r="C4613" s="17">
        <v>19900101</v>
      </c>
      <c r="D4613" s="17">
        <v>22991231</v>
      </c>
      <c r="E4613" s="25">
        <v>54.47</v>
      </c>
    </row>
    <row r="4614" spans="1:5" x14ac:dyDescent="0.3">
      <c r="A4614" s="17" t="str">
        <f>"76706"</f>
        <v>76706</v>
      </c>
      <c r="B4614" s="5" t="s">
        <v>4769</v>
      </c>
      <c r="C4614" s="17">
        <v>20170101</v>
      </c>
      <c r="D4614" s="17">
        <v>22991231</v>
      </c>
      <c r="E4614" s="24" t="s">
        <v>7128</v>
      </c>
    </row>
    <row r="4615" spans="1:5" ht="26" x14ac:dyDescent="0.3">
      <c r="A4615" s="17" t="str">
        <f>"76770"</f>
        <v>76770</v>
      </c>
      <c r="B4615" s="5" t="s">
        <v>4770</v>
      </c>
      <c r="C4615" s="17">
        <v>19980101</v>
      </c>
      <c r="D4615" s="17">
        <v>22991231</v>
      </c>
      <c r="E4615" s="25">
        <v>54.47</v>
      </c>
    </row>
    <row r="4616" spans="1:5" ht="26" x14ac:dyDescent="0.3">
      <c r="A4616" s="17" t="str">
        <f>"76775"</f>
        <v>76775</v>
      </c>
      <c r="B4616" s="5" t="s">
        <v>4771</v>
      </c>
      <c r="C4616" s="17">
        <v>19900101</v>
      </c>
      <c r="D4616" s="17">
        <v>22991231</v>
      </c>
      <c r="E4616" s="25">
        <v>0</v>
      </c>
    </row>
    <row r="4617" spans="1:5" x14ac:dyDescent="0.3">
      <c r="A4617" s="17" t="str">
        <f>"76776"</f>
        <v>76776</v>
      </c>
      <c r="B4617" s="5" t="s">
        <v>4772</v>
      </c>
      <c r="C4617" s="17">
        <v>20230101</v>
      </c>
      <c r="D4617" s="17">
        <v>22991231</v>
      </c>
      <c r="E4617" s="25">
        <v>54.47</v>
      </c>
    </row>
    <row r="4618" spans="1:5" x14ac:dyDescent="0.3">
      <c r="A4618" s="17" t="str">
        <f>"76800"</f>
        <v>76800</v>
      </c>
      <c r="B4618" s="5" t="s">
        <v>4773</v>
      </c>
      <c r="C4618" s="17">
        <v>20230101</v>
      </c>
      <c r="D4618" s="17">
        <v>22991231</v>
      </c>
      <c r="E4618" s="25">
        <v>0</v>
      </c>
    </row>
    <row r="4619" spans="1:5" ht="26" x14ac:dyDescent="0.3">
      <c r="A4619" s="17" t="str">
        <f>"76801"</f>
        <v>76801</v>
      </c>
      <c r="B4619" s="5" t="s">
        <v>4774</v>
      </c>
      <c r="C4619" s="17">
        <v>20230101</v>
      </c>
      <c r="D4619" s="17">
        <v>22991231</v>
      </c>
      <c r="E4619" s="25">
        <v>54.47</v>
      </c>
    </row>
    <row r="4620" spans="1:5" ht="26" x14ac:dyDescent="0.3">
      <c r="A4620" s="17" t="str">
        <f>"76802"</f>
        <v>76802</v>
      </c>
      <c r="B4620" s="5" t="s">
        <v>4775</v>
      </c>
      <c r="C4620" s="17">
        <v>20230101</v>
      </c>
      <c r="D4620" s="17">
        <v>22991231</v>
      </c>
      <c r="E4620" s="25">
        <v>0</v>
      </c>
    </row>
    <row r="4621" spans="1:5" ht="26" x14ac:dyDescent="0.3">
      <c r="A4621" s="17" t="str">
        <f>"76805"</f>
        <v>76805</v>
      </c>
      <c r="B4621" s="5" t="s">
        <v>4776</v>
      </c>
      <c r="C4621" s="17">
        <v>20230101</v>
      </c>
      <c r="D4621" s="17">
        <v>22991231</v>
      </c>
      <c r="E4621" s="25">
        <v>54.47</v>
      </c>
    </row>
    <row r="4622" spans="1:5" ht="26" x14ac:dyDescent="0.3">
      <c r="A4622" s="17" t="str">
        <f>"76810"</f>
        <v>76810</v>
      </c>
      <c r="B4622" s="5" t="s">
        <v>4777</v>
      </c>
      <c r="C4622" s="17">
        <v>19920115</v>
      </c>
      <c r="D4622" s="17">
        <v>22991231</v>
      </c>
      <c r="E4622" s="25">
        <v>0</v>
      </c>
    </row>
    <row r="4623" spans="1:5" ht="26" x14ac:dyDescent="0.3">
      <c r="A4623" s="17" t="str">
        <f>"76811"</f>
        <v>76811</v>
      </c>
      <c r="B4623" s="5" t="s">
        <v>4778</v>
      </c>
      <c r="C4623" s="17">
        <v>20230101</v>
      </c>
      <c r="D4623" s="17">
        <v>22991231</v>
      </c>
      <c r="E4623" s="25">
        <v>104.77</v>
      </c>
    </row>
    <row r="4624" spans="1:5" ht="26" x14ac:dyDescent="0.3">
      <c r="A4624" s="17" t="str">
        <f>"76812"</f>
        <v>76812</v>
      </c>
      <c r="B4624" s="5" t="s">
        <v>4779</v>
      </c>
      <c r="C4624" s="17">
        <v>20230101</v>
      </c>
      <c r="D4624" s="17">
        <v>22991231</v>
      </c>
      <c r="E4624" s="25">
        <v>0</v>
      </c>
    </row>
    <row r="4625" spans="1:5" ht="52" x14ac:dyDescent="0.3">
      <c r="A4625" s="17" t="str">
        <f>"76813"</f>
        <v>76813</v>
      </c>
      <c r="B4625" s="5" t="s">
        <v>4780</v>
      </c>
      <c r="C4625" s="17">
        <v>20230101</v>
      </c>
      <c r="D4625" s="17">
        <v>22991231</v>
      </c>
      <c r="E4625" s="25">
        <v>0</v>
      </c>
    </row>
    <row r="4626" spans="1:5" ht="52" x14ac:dyDescent="0.3">
      <c r="A4626" s="17" t="str">
        <f>"76814"</f>
        <v>76814</v>
      </c>
      <c r="B4626" s="5" t="s">
        <v>4781</v>
      </c>
      <c r="C4626" s="17">
        <v>20230101</v>
      </c>
      <c r="D4626" s="17">
        <v>22991231</v>
      </c>
      <c r="E4626" s="25">
        <v>0</v>
      </c>
    </row>
    <row r="4627" spans="1:5" x14ac:dyDescent="0.3">
      <c r="A4627" s="17" t="str">
        <f>"76815"</f>
        <v>76815</v>
      </c>
      <c r="B4627" s="5" t="s">
        <v>4782</v>
      </c>
      <c r="C4627" s="17">
        <v>20230101</v>
      </c>
      <c r="D4627" s="17">
        <v>22991231</v>
      </c>
      <c r="E4627" s="25">
        <v>0</v>
      </c>
    </row>
    <row r="4628" spans="1:5" x14ac:dyDescent="0.3">
      <c r="A4628" s="17" t="str">
        <f>"76816"</f>
        <v>76816</v>
      </c>
      <c r="B4628" s="5" t="s">
        <v>4783</v>
      </c>
      <c r="C4628" s="17">
        <v>19900101</v>
      </c>
      <c r="D4628" s="17">
        <v>22991231</v>
      </c>
      <c r="E4628" s="25">
        <v>0</v>
      </c>
    </row>
    <row r="4629" spans="1:5" x14ac:dyDescent="0.3">
      <c r="A4629" s="17" t="str">
        <f>"76817"</f>
        <v>76817</v>
      </c>
      <c r="B4629" s="5" t="s">
        <v>4784</v>
      </c>
      <c r="C4629" s="17">
        <v>20230101</v>
      </c>
      <c r="D4629" s="17">
        <v>22991231</v>
      </c>
      <c r="E4629" s="25">
        <v>0</v>
      </c>
    </row>
    <row r="4630" spans="1:5" x14ac:dyDescent="0.3">
      <c r="A4630" s="17" t="str">
        <f>"76818"</f>
        <v>76818</v>
      </c>
      <c r="B4630" s="5" t="s">
        <v>4785</v>
      </c>
      <c r="C4630" s="17">
        <v>20230101</v>
      </c>
      <c r="D4630" s="17">
        <v>22991231</v>
      </c>
      <c r="E4630" s="25">
        <v>54.47</v>
      </c>
    </row>
    <row r="4631" spans="1:5" x14ac:dyDescent="0.3">
      <c r="A4631" s="17" t="str">
        <f>"76819"</f>
        <v>76819</v>
      </c>
      <c r="B4631" s="5" t="s">
        <v>4786</v>
      </c>
      <c r="C4631" s="17">
        <v>20010101</v>
      </c>
      <c r="D4631" s="17">
        <v>22991231</v>
      </c>
      <c r="E4631" s="25">
        <v>55.05</v>
      </c>
    </row>
    <row r="4632" spans="1:5" ht="26" x14ac:dyDescent="0.3">
      <c r="A4632" s="17" t="str">
        <f>"76820"</f>
        <v>76820</v>
      </c>
      <c r="B4632" s="5" t="s">
        <v>4787</v>
      </c>
      <c r="C4632" s="17">
        <v>20230101</v>
      </c>
      <c r="D4632" s="17">
        <v>22991231</v>
      </c>
      <c r="E4632" s="25">
        <v>0</v>
      </c>
    </row>
    <row r="4633" spans="1:5" ht="26" x14ac:dyDescent="0.3">
      <c r="A4633" s="17" t="str">
        <f>"76821"</f>
        <v>76821</v>
      </c>
      <c r="B4633" s="5" t="s">
        <v>4788</v>
      </c>
      <c r="C4633" s="17">
        <v>20230101</v>
      </c>
      <c r="D4633" s="17">
        <v>22991231</v>
      </c>
      <c r="E4633" s="25">
        <v>0</v>
      </c>
    </row>
    <row r="4634" spans="1:5" x14ac:dyDescent="0.3">
      <c r="A4634" s="17" t="str">
        <f>"76825"</f>
        <v>76825</v>
      </c>
      <c r="B4634" s="5" t="s">
        <v>4789</v>
      </c>
      <c r="C4634" s="17">
        <v>19900101</v>
      </c>
      <c r="D4634" s="17">
        <v>22991231</v>
      </c>
      <c r="E4634" s="25">
        <v>191.1</v>
      </c>
    </row>
    <row r="4635" spans="1:5" x14ac:dyDescent="0.3">
      <c r="A4635" s="17" t="str">
        <f>"76826"</f>
        <v>76826</v>
      </c>
      <c r="B4635" s="5" t="s">
        <v>4790</v>
      </c>
      <c r="C4635" s="17">
        <v>20230101</v>
      </c>
      <c r="D4635" s="17">
        <v>22991231</v>
      </c>
      <c r="E4635" s="25">
        <v>119.79</v>
      </c>
    </row>
    <row r="4636" spans="1:5" x14ac:dyDescent="0.3">
      <c r="A4636" s="17" t="str">
        <f>"76827"</f>
        <v>76827</v>
      </c>
      <c r="B4636" s="5" t="s">
        <v>4791</v>
      </c>
      <c r="C4636" s="17">
        <v>20230101</v>
      </c>
      <c r="D4636" s="17">
        <v>22991231</v>
      </c>
      <c r="E4636" s="25">
        <v>0</v>
      </c>
    </row>
    <row r="4637" spans="1:5" ht="26" x14ac:dyDescent="0.3">
      <c r="A4637" s="17" t="str">
        <f>"76828"</f>
        <v>76828</v>
      </c>
      <c r="B4637" s="5" t="s">
        <v>4792</v>
      </c>
      <c r="C4637" s="17">
        <v>20230101</v>
      </c>
      <c r="D4637" s="17">
        <v>22991231</v>
      </c>
      <c r="E4637" s="25">
        <v>0</v>
      </c>
    </row>
    <row r="4638" spans="1:5" ht="26" x14ac:dyDescent="0.3">
      <c r="A4638" s="17" t="str">
        <f>"76830"</f>
        <v>76830</v>
      </c>
      <c r="B4638" s="5" t="s">
        <v>4793</v>
      </c>
      <c r="C4638" s="17">
        <v>20230101</v>
      </c>
      <c r="D4638" s="17">
        <v>22991231</v>
      </c>
      <c r="E4638" s="25">
        <v>54.47</v>
      </c>
    </row>
    <row r="4639" spans="1:5" x14ac:dyDescent="0.3">
      <c r="A4639" s="17" t="str">
        <f>"76831"</f>
        <v>76831</v>
      </c>
      <c r="B4639" s="5" t="s">
        <v>4794</v>
      </c>
      <c r="C4639" s="17">
        <v>19980101</v>
      </c>
      <c r="D4639" s="17">
        <v>22991231</v>
      </c>
      <c r="E4639" s="25">
        <v>85.7</v>
      </c>
    </row>
    <row r="4640" spans="1:5" x14ac:dyDescent="0.3">
      <c r="A4640" s="17" t="str">
        <f>"76856"</f>
        <v>76856</v>
      </c>
      <c r="B4640" s="5" t="s">
        <v>4795</v>
      </c>
      <c r="C4640" s="17">
        <v>19900101</v>
      </c>
      <c r="D4640" s="17">
        <v>22991231</v>
      </c>
      <c r="E4640" s="25">
        <v>54.47</v>
      </c>
    </row>
    <row r="4641" spans="1:5" x14ac:dyDescent="0.3">
      <c r="A4641" s="17" t="str">
        <f>"76857"</f>
        <v>76857</v>
      </c>
      <c r="B4641" s="5" t="s">
        <v>4796</v>
      </c>
      <c r="C4641" s="17">
        <v>19900101</v>
      </c>
      <c r="D4641" s="17">
        <v>22991231</v>
      </c>
      <c r="E4641" s="25">
        <v>29.71</v>
      </c>
    </row>
    <row r="4642" spans="1:5" x14ac:dyDescent="0.3">
      <c r="A4642" s="17" t="str">
        <f>"76870"</f>
        <v>76870</v>
      </c>
      <c r="B4642" s="5" t="s">
        <v>4797</v>
      </c>
      <c r="C4642" s="17">
        <v>19980101</v>
      </c>
      <c r="D4642" s="17">
        <v>22991231</v>
      </c>
      <c r="E4642" s="25">
        <v>0</v>
      </c>
    </row>
    <row r="4643" spans="1:5" x14ac:dyDescent="0.3">
      <c r="A4643" s="17" t="str">
        <f>"76872"</f>
        <v>76872</v>
      </c>
      <c r="B4643" s="5" t="s">
        <v>4798</v>
      </c>
      <c r="C4643" s="17">
        <v>20240101</v>
      </c>
      <c r="D4643" s="17">
        <v>22991231</v>
      </c>
      <c r="E4643" s="25">
        <v>54.47</v>
      </c>
    </row>
    <row r="4644" spans="1:5" x14ac:dyDescent="0.3">
      <c r="A4644" s="17" t="str">
        <f>"76873"</f>
        <v>76873</v>
      </c>
      <c r="B4644" s="5" t="s">
        <v>4799</v>
      </c>
      <c r="C4644" s="17">
        <v>20000101</v>
      </c>
      <c r="D4644" s="17">
        <v>22991231</v>
      </c>
      <c r="E4644" s="25">
        <v>54.47</v>
      </c>
    </row>
    <row r="4645" spans="1:5" x14ac:dyDescent="0.3">
      <c r="A4645" s="17" t="str">
        <f>"76881"</f>
        <v>76881</v>
      </c>
      <c r="B4645" s="5" t="s">
        <v>4800</v>
      </c>
      <c r="C4645" s="17">
        <v>20230101</v>
      </c>
      <c r="D4645" s="17">
        <v>22991231</v>
      </c>
      <c r="E4645" s="25">
        <v>20.64</v>
      </c>
    </row>
    <row r="4646" spans="1:5" ht="26" x14ac:dyDescent="0.3">
      <c r="A4646" s="17" t="str">
        <f>"76882"</f>
        <v>76882</v>
      </c>
      <c r="B4646" s="5" t="s">
        <v>4801</v>
      </c>
      <c r="C4646" s="17">
        <v>20230101</v>
      </c>
      <c r="D4646" s="17">
        <v>22991231</v>
      </c>
      <c r="E4646" s="25">
        <v>0</v>
      </c>
    </row>
    <row r="4647" spans="1:5" x14ac:dyDescent="0.3">
      <c r="A4647" s="17" t="str">
        <f>"76885"</f>
        <v>76885</v>
      </c>
      <c r="B4647" s="5" t="s">
        <v>4802</v>
      </c>
      <c r="C4647" s="17">
        <v>19980101</v>
      </c>
      <c r="D4647" s="17">
        <v>22991231</v>
      </c>
      <c r="E4647" s="25">
        <v>0</v>
      </c>
    </row>
    <row r="4648" spans="1:5" x14ac:dyDescent="0.3">
      <c r="A4648" s="17" t="str">
        <f>"76886"</f>
        <v>76886</v>
      </c>
      <c r="B4648" s="5" t="s">
        <v>4803</v>
      </c>
      <c r="C4648" s="17">
        <v>19980101</v>
      </c>
      <c r="D4648" s="17">
        <v>22991231</v>
      </c>
      <c r="E4648" s="25">
        <v>0</v>
      </c>
    </row>
    <row r="4649" spans="1:5" x14ac:dyDescent="0.3">
      <c r="A4649" s="17" t="str">
        <f>"76932"</f>
        <v>76932</v>
      </c>
      <c r="B4649" s="5" t="s">
        <v>4804</v>
      </c>
      <c r="C4649" s="17">
        <v>20230101</v>
      </c>
      <c r="D4649" s="17">
        <v>22991231</v>
      </c>
      <c r="E4649" s="25">
        <v>0</v>
      </c>
    </row>
    <row r="4650" spans="1:5" ht="26" x14ac:dyDescent="0.3">
      <c r="A4650" s="17" t="str">
        <f>"76936"</f>
        <v>76936</v>
      </c>
      <c r="B4650" s="5" t="s">
        <v>4805</v>
      </c>
      <c r="C4650" s="17">
        <v>20230101</v>
      </c>
      <c r="D4650" s="17">
        <v>22991231</v>
      </c>
      <c r="E4650" s="25">
        <v>155.52000000000001</v>
      </c>
    </row>
    <row r="4651" spans="1:5" x14ac:dyDescent="0.3">
      <c r="A4651" s="17" t="str">
        <f>"76937"</f>
        <v>76937</v>
      </c>
      <c r="B4651" s="5" t="s">
        <v>4806</v>
      </c>
      <c r="C4651" s="17">
        <v>20230101</v>
      </c>
      <c r="D4651" s="17">
        <v>22991231</v>
      </c>
      <c r="E4651" s="25">
        <v>0</v>
      </c>
    </row>
    <row r="4652" spans="1:5" x14ac:dyDescent="0.3">
      <c r="A4652" s="17" t="str">
        <f>"76940"</f>
        <v>76940</v>
      </c>
      <c r="B4652" s="5" t="s">
        <v>4807</v>
      </c>
      <c r="C4652" s="17">
        <v>20230101</v>
      </c>
      <c r="D4652" s="17">
        <v>22991231</v>
      </c>
      <c r="E4652" s="25">
        <v>0</v>
      </c>
    </row>
    <row r="4653" spans="1:5" ht="26" x14ac:dyDescent="0.3">
      <c r="A4653" s="17" t="str">
        <f>"76941"</f>
        <v>76941</v>
      </c>
      <c r="B4653" s="5" t="s">
        <v>4808</v>
      </c>
      <c r="C4653" s="17">
        <v>20230101</v>
      </c>
      <c r="D4653" s="17">
        <v>22991231</v>
      </c>
      <c r="E4653" s="25">
        <v>0</v>
      </c>
    </row>
    <row r="4654" spans="1:5" x14ac:dyDescent="0.3">
      <c r="A4654" s="17" t="str">
        <f>"76942"</f>
        <v>76942</v>
      </c>
      <c r="B4654" s="5" t="s">
        <v>4809</v>
      </c>
      <c r="C4654" s="17">
        <v>19900101</v>
      </c>
      <c r="D4654" s="17">
        <v>22991231</v>
      </c>
      <c r="E4654" s="25">
        <v>0</v>
      </c>
    </row>
    <row r="4655" spans="1:5" x14ac:dyDescent="0.3">
      <c r="A4655" s="17" t="str">
        <f>"76945"</f>
        <v>76945</v>
      </c>
      <c r="B4655" s="5" t="s">
        <v>4810</v>
      </c>
      <c r="C4655" s="17">
        <v>20230101</v>
      </c>
      <c r="D4655" s="17">
        <v>22991231</v>
      </c>
      <c r="E4655" s="25">
        <v>0</v>
      </c>
    </row>
    <row r="4656" spans="1:5" ht="26" x14ac:dyDescent="0.3">
      <c r="A4656" s="17" t="str">
        <f>"76946"</f>
        <v>76946</v>
      </c>
      <c r="B4656" s="5" t="s">
        <v>4811</v>
      </c>
      <c r="C4656" s="17">
        <v>19900101</v>
      </c>
      <c r="D4656" s="17">
        <v>22991231</v>
      </c>
      <c r="E4656" s="25">
        <v>0</v>
      </c>
    </row>
    <row r="4657" spans="1:5" x14ac:dyDescent="0.3">
      <c r="A4657" s="17" t="str">
        <f>"76948"</f>
        <v>76948</v>
      </c>
      <c r="B4657" s="5" t="s">
        <v>4812</v>
      </c>
      <c r="C4657" s="17">
        <v>20230101</v>
      </c>
      <c r="D4657" s="17">
        <v>22991231</v>
      </c>
      <c r="E4657" s="25">
        <v>0</v>
      </c>
    </row>
    <row r="4658" spans="1:5" ht="26" x14ac:dyDescent="0.3">
      <c r="A4658" s="17" t="str">
        <f>"76965"</f>
        <v>76965</v>
      </c>
      <c r="B4658" s="5" t="s">
        <v>4813</v>
      </c>
      <c r="C4658" s="17">
        <v>19960101</v>
      </c>
      <c r="D4658" s="17">
        <v>22991231</v>
      </c>
      <c r="E4658" s="25">
        <v>0</v>
      </c>
    </row>
    <row r="4659" spans="1:5" ht="26" x14ac:dyDescent="0.3">
      <c r="A4659" s="17" t="str">
        <f>"76975"</f>
        <v>76975</v>
      </c>
      <c r="B4659" s="5" t="s">
        <v>4814</v>
      </c>
      <c r="C4659" s="17">
        <v>19940101</v>
      </c>
      <c r="D4659" s="17">
        <v>22991231</v>
      </c>
      <c r="E4659" s="25">
        <v>0</v>
      </c>
    </row>
    <row r="4660" spans="1:5" x14ac:dyDescent="0.3">
      <c r="A4660" s="17" t="str">
        <f>"76977"</f>
        <v>76977</v>
      </c>
      <c r="B4660" s="5" t="s">
        <v>4815</v>
      </c>
      <c r="C4660" s="17">
        <v>19990101</v>
      </c>
      <c r="D4660" s="17">
        <v>22991231</v>
      </c>
      <c r="E4660" s="25">
        <v>4.6900000000000004</v>
      </c>
    </row>
    <row r="4661" spans="1:5" ht="26" x14ac:dyDescent="0.3">
      <c r="A4661" s="17" t="str">
        <f>"76978"</f>
        <v>76978</v>
      </c>
      <c r="B4661" s="5" t="s">
        <v>4816</v>
      </c>
      <c r="C4661" s="17">
        <v>20190101</v>
      </c>
      <c r="D4661" s="17">
        <v>22991231</v>
      </c>
      <c r="E4661" s="25">
        <v>91.04</v>
      </c>
    </row>
    <row r="4662" spans="1:5" ht="26" x14ac:dyDescent="0.3">
      <c r="A4662" s="17" t="str">
        <f>"76979"</f>
        <v>76979</v>
      </c>
      <c r="B4662" s="5" t="s">
        <v>4817</v>
      </c>
      <c r="C4662" s="17">
        <v>20190101</v>
      </c>
      <c r="D4662" s="17">
        <v>22991231</v>
      </c>
      <c r="E4662" s="25">
        <v>0</v>
      </c>
    </row>
    <row r="4663" spans="1:5" ht="26" x14ac:dyDescent="0.3">
      <c r="A4663" s="17" t="str">
        <f>"76981"</f>
        <v>76981</v>
      </c>
      <c r="B4663" s="5" t="s">
        <v>4818</v>
      </c>
      <c r="C4663" s="17">
        <v>20190101</v>
      </c>
      <c r="D4663" s="17">
        <v>22991231</v>
      </c>
      <c r="E4663" s="25">
        <v>54.47</v>
      </c>
    </row>
    <row r="4664" spans="1:5" ht="26" x14ac:dyDescent="0.3">
      <c r="A4664" s="17" t="str">
        <f>"76982"</f>
        <v>76982</v>
      </c>
      <c r="B4664" s="5" t="s">
        <v>4819</v>
      </c>
      <c r="C4664" s="17">
        <v>20190101</v>
      </c>
      <c r="D4664" s="17">
        <v>22991231</v>
      </c>
      <c r="E4664" s="25">
        <v>54.47</v>
      </c>
    </row>
    <row r="4665" spans="1:5" ht="26" x14ac:dyDescent="0.3">
      <c r="A4665" s="17" t="str">
        <f>"76983"</f>
        <v>76983</v>
      </c>
      <c r="B4665" s="5" t="s">
        <v>4820</v>
      </c>
      <c r="C4665" s="17">
        <v>20190101</v>
      </c>
      <c r="D4665" s="17">
        <v>22991231</v>
      </c>
      <c r="E4665" s="25">
        <v>0</v>
      </c>
    </row>
    <row r="4666" spans="1:5" x14ac:dyDescent="0.3">
      <c r="A4666" s="17" t="str">
        <f>"76998"</f>
        <v>76998</v>
      </c>
      <c r="B4666" s="5" t="s">
        <v>4821</v>
      </c>
      <c r="C4666" s="17">
        <v>20230101</v>
      </c>
      <c r="D4666" s="17">
        <v>22991231</v>
      </c>
      <c r="E4666" s="25">
        <v>0</v>
      </c>
    </row>
    <row r="4667" spans="1:5" x14ac:dyDescent="0.3">
      <c r="A4667" s="17" t="str">
        <f>"76999"</f>
        <v>76999</v>
      </c>
      <c r="B4667" s="5" t="s">
        <v>4822</v>
      </c>
      <c r="C4667" s="17">
        <v>20230101</v>
      </c>
      <c r="D4667" s="17">
        <v>22991231</v>
      </c>
      <c r="E4667" s="25">
        <v>0</v>
      </c>
    </row>
    <row r="4668" spans="1:5" ht="26" x14ac:dyDescent="0.3">
      <c r="A4668" s="17" t="str">
        <f>"77001"</f>
        <v>77001</v>
      </c>
      <c r="B4668" s="5" t="s">
        <v>4823</v>
      </c>
      <c r="C4668" s="17">
        <v>20230101</v>
      </c>
      <c r="D4668" s="17">
        <v>22991231</v>
      </c>
      <c r="E4668" s="25">
        <v>0</v>
      </c>
    </row>
    <row r="4669" spans="1:5" x14ac:dyDescent="0.3">
      <c r="A4669" s="17" t="str">
        <f>"77002"</f>
        <v>77002</v>
      </c>
      <c r="B4669" s="5" t="s">
        <v>4824</v>
      </c>
      <c r="C4669" s="17">
        <v>20230101</v>
      </c>
      <c r="D4669" s="17">
        <v>22991231</v>
      </c>
      <c r="E4669" s="25">
        <v>0</v>
      </c>
    </row>
    <row r="4670" spans="1:5" ht="26" x14ac:dyDescent="0.3">
      <c r="A4670" s="17" t="str">
        <f>"77003"</f>
        <v>77003</v>
      </c>
      <c r="B4670" s="5" t="s">
        <v>4825</v>
      </c>
      <c r="C4670" s="17">
        <v>20230101</v>
      </c>
      <c r="D4670" s="17">
        <v>22991231</v>
      </c>
      <c r="E4670" s="25">
        <v>0</v>
      </c>
    </row>
    <row r="4671" spans="1:5" x14ac:dyDescent="0.3">
      <c r="A4671" s="17" t="str">
        <f>"77011"</f>
        <v>77011</v>
      </c>
      <c r="B4671" s="5" t="s">
        <v>4826</v>
      </c>
      <c r="C4671" s="17">
        <v>20230101</v>
      </c>
      <c r="D4671" s="17">
        <v>22991231</v>
      </c>
      <c r="E4671" s="25">
        <v>0</v>
      </c>
    </row>
    <row r="4672" spans="1:5" ht="26" x14ac:dyDescent="0.3">
      <c r="A4672" s="17" t="str">
        <f>"77012"</f>
        <v>77012</v>
      </c>
      <c r="B4672" s="5" t="s">
        <v>4827</v>
      </c>
      <c r="C4672" s="17">
        <v>20230101</v>
      </c>
      <c r="D4672" s="17">
        <v>22991231</v>
      </c>
      <c r="E4672" s="25">
        <v>0</v>
      </c>
    </row>
    <row r="4673" spans="1:5" x14ac:dyDescent="0.3">
      <c r="A4673" s="17" t="str">
        <f>"77013"</f>
        <v>77013</v>
      </c>
      <c r="B4673" s="5" t="s">
        <v>4828</v>
      </c>
      <c r="C4673" s="17">
        <v>20230101</v>
      </c>
      <c r="D4673" s="17">
        <v>22991231</v>
      </c>
      <c r="E4673" s="25">
        <v>0</v>
      </c>
    </row>
    <row r="4674" spans="1:5" ht="26" x14ac:dyDescent="0.3">
      <c r="A4674" s="17" t="str">
        <f>"77014"</f>
        <v>77014</v>
      </c>
      <c r="B4674" s="5" t="s">
        <v>4829</v>
      </c>
      <c r="C4674" s="17">
        <v>20230101</v>
      </c>
      <c r="D4674" s="17">
        <v>22991231</v>
      </c>
      <c r="E4674" s="25">
        <v>0</v>
      </c>
    </row>
    <row r="4675" spans="1:5" ht="26" x14ac:dyDescent="0.3">
      <c r="A4675" s="17" t="str">
        <f>"77021"</f>
        <v>77021</v>
      </c>
      <c r="B4675" s="5" t="s">
        <v>4830</v>
      </c>
      <c r="C4675" s="17">
        <v>20230101</v>
      </c>
      <c r="D4675" s="17">
        <v>22991231</v>
      </c>
      <c r="E4675" s="25">
        <v>0</v>
      </c>
    </row>
    <row r="4676" spans="1:5" x14ac:dyDescent="0.3">
      <c r="A4676" s="17" t="str">
        <f>"77022"</f>
        <v>77022</v>
      </c>
      <c r="B4676" s="5" t="s">
        <v>4831</v>
      </c>
      <c r="C4676" s="17">
        <v>20230101</v>
      </c>
      <c r="D4676" s="17">
        <v>22991231</v>
      </c>
      <c r="E4676" s="25">
        <v>0</v>
      </c>
    </row>
    <row r="4677" spans="1:5" x14ac:dyDescent="0.3">
      <c r="A4677" s="17" t="str">
        <f>"77046"</f>
        <v>77046</v>
      </c>
      <c r="B4677" s="5" t="s">
        <v>4832</v>
      </c>
      <c r="C4677" s="17">
        <v>20190101</v>
      </c>
      <c r="D4677" s="17">
        <v>22991231</v>
      </c>
      <c r="E4677" s="25">
        <v>121.41</v>
      </c>
    </row>
    <row r="4678" spans="1:5" x14ac:dyDescent="0.3">
      <c r="A4678" s="17" t="str">
        <f>"77047"</f>
        <v>77047</v>
      </c>
      <c r="B4678" s="5" t="s">
        <v>4833</v>
      </c>
      <c r="C4678" s="17">
        <v>20190101</v>
      </c>
      <c r="D4678" s="17">
        <v>22991231</v>
      </c>
      <c r="E4678" s="25">
        <v>121.41</v>
      </c>
    </row>
    <row r="4679" spans="1:5" x14ac:dyDescent="0.3">
      <c r="A4679" s="17" t="str">
        <f>"77048"</f>
        <v>77048</v>
      </c>
      <c r="B4679" s="5" t="s">
        <v>4834</v>
      </c>
      <c r="C4679" s="17">
        <v>20190101</v>
      </c>
      <c r="D4679" s="17">
        <v>22991231</v>
      </c>
      <c r="E4679" s="24" t="s">
        <v>7128</v>
      </c>
    </row>
    <row r="4680" spans="1:5" x14ac:dyDescent="0.3">
      <c r="A4680" s="17" t="str">
        <f>"77049"</f>
        <v>77049</v>
      </c>
      <c r="B4680" s="5" t="s">
        <v>4835</v>
      </c>
      <c r="C4680" s="17">
        <v>20190101</v>
      </c>
      <c r="D4680" s="17">
        <v>22991231</v>
      </c>
      <c r="E4680" s="24" t="s">
        <v>7128</v>
      </c>
    </row>
    <row r="4681" spans="1:5" ht="26" x14ac:dyDescent="0.3">
      <c r="A4681" s="17" t="str">
        <f>"77053"</f>
        <v>77053</v>
      </c>
      <c r="B4681" s="5" t="s">
        <v>4836</v>
      </c>
      <c r="C4681" s="17">
        <v>20230101</v>
      </c>
      <c r="D4681" s="17">
        <v>22991231</v>
      </c>
      <c r="E4681" s="25">
        <v>0</v>
      </c>
    </row>
    <row r="4682" spans="1:5" ht="26" x14ac:dyDescent="0.3">
      <c r="A4682" s="17" t="str">
        <f>"77054"</f>
        <v>77054</v>
      </c>
      <c r="B4682" s="5" t="s">
        <v>4837</v>
      </c>
      <c r="C4682" s="17">
        <v>20230101</v>
      </c>
      <c r="D4682" s="17">
        <v>22991231</v>
      </c>
      <c r="E4682" s="25">
        <v>0</v>
      </c>
    </row>
    <row r="4683" spans="1:5" x14ac:dyDescent="0.3">
      <c r="A4683" s="17" t="str">
        <f>"77065"</f>
        <v>77065</v>
      </c>
      <c r="B4683" s="5" t="s">
        <v>4838</v>
      </c>
      <c r="C4683" s="17">
        <v>20170101</v>
      </c>
      <c r="D4683" s="17">
        <v>22991231</v>
      </c>
      <c r="E4683" s="24" t="s">
        <v>7128</v>
      </c>
    </row>
    <row r="4684" spans="1:5" x14ac:dyDescent="0.3">
      <c r="A4684" s="17" t="str">
        <f>"77066"</f>
        <v>77066</v>
      </c>
      <c r="B4684" s="5" t="s">
        <v>4839</v>
      </c>
      <c r="C4684" s="17">
        <v>20170101</v>
      </c>
      <c r="D4684" s="17">
        <v>22991231</v>
      </c>
      <c r="E4684" s="24" t="s">
        <v>7128</v>
      </c>
    </row>
    <row r="4685" spans="1:5" x14ac:dyDescent="0.3">
      <c r="A4685" s="17" t="str">
        <f>"77067"</f>
        <v>77067</v>
      </c>
      <c r="B4685" s="5" t="s">
        <v>4840</v>
      </c>
      <c r="C4685" s="17">
        <v>20170101</v>
      </c>
      <c r="D4685" s="17">
        <v>22991231</v>
      </c>
      <c r="E4685" s="24" t="s">
        <v>7128</v>
      </c>
    </row>
    <row r="4686" spans="1:5" ht="26" x14ac:dyDescent="0.3">
      <c r="A4686" s="17" t="str">
        <f>"77071"</f>
        <v>77071</v>
      </c>
      <c r="B4686" s="5" t="s">
        <v>4841</v>
      </c>
      <c r="C4686" s="17">
        <v>20230101</v>
      </c>
      <c r="D4686" s="17">
        <v>22991231</v>
      </c>
      <c r="E4686" s="25">
        <v>0</v>
      </c>
    </row>
    <row r="4687" spans="1:5" x14ac:dyDescent="0.3">
      <c r="A4687" s="17" t="str">
        <f>"77072"</f>
        <v>77072</v>
      </c>
      <c r="B4687" s="5" t="s">
        <v>4842</v>
      </c>
      <c r="C4687" s="17">
        <v>20230101</v>
      </c>
      <c r="D4687" s="17">
        <v>22991231</v>
      </c>
      <c r="E4687" s="25">
        <v>0</v>
      </c>
    </row>
    <row r="4688" spans="1:5" x14ac:dyDescent="0.3">
      <c r="A4688" s="17" t="str">
        <f>"77073"</f>
        <v>77073</v>
      </c>
      <c r="B4688" s="5" t="s">
        <v>4843</v>
      </c>
      <c r="C4688" s="17">
        <v>20230101</v>
      </c>
      <c r="D4688" s="17">
        <v>22991231</v>
      </c>
      <c r="E4688" s="25">
        <v>0</v>
      </c>
    </row>
    <row r="4689" spans="1:5" x14ac:dyDescent="0.3">
      <c r="A4689" s="17" t="str">
        <f>"77074"</f>
        <v>77074</v>
      </c>
      <c r="B4689" s="5" t="s">
        <v>4844</v>
      </c>
      <c r="C4689" s="17">
        <v>20230101</v>
      </c>
      <c r="D4689" s="17">
        <v>22991231</v>
      </c>
      <c r="E4689" s="25">
        <v>0</v>
      </c>
    </row>
    <row r="4690" spans="1:5" x14ac:dyDescent="0.3">
      <c r="A4690" s="17" t="str">
        <f>"77075"</f>
        <v>77075</v>
      </c>
      <c r="B4690" s="5" t="s">
        <v>4845</v>
      </c>
      <c r="C4690" s="17">
        <v>20230101</v>
      </c>
      <c r="D4690" s="17">
        <v>22991231</v>
      </c>
      <c r="E4690" s="25">
        <v>0</v>
      </c>
    </row>
    <row r="4691" spans="1:5" x14ac:dyDescent="0.3">
      <c r="A4691" s="17" t="str">
        <f>"77076"</f>
        <v>77076</v>
      </c>
      <c r="B4691" s="5" t="s">
        <v>4846</v>
      </c>
      <c r="C4691" s="17">
        <v>20230101</v>
      </c>
      <c r="D4691" s="17">
        <v>22991231</v>
      </c>
      <c r="E4691" s="25">
        <v>0</v>
      </c>
    </row>
    <row r="4692" spans="1:5" x14ac:dyDescent="0.3">
      <c r="A4692" s="17" t="str">
        <f>"77077"</f>
        <v>77077</v>
      </c>
      <c r="B4692" s="5" t="s">
        <v>4847</v>
      </c>
      <c r="C4692" s="17">
        <v>20230101</v>
      </c>
      <c r="D4692" s="17">
        <v>22991231</v>
      </c>
      <c r="E4692" s="25">
        <v>0</v>
      </c>
    </row>
    <row r="4693" spans="1:5" ht="26" x14ac:dyDescent="0.3">
      <c r="A4693" s="17" t="str">
        <f>"77078"</f>
        <v>77078</v>
      </c>
      <c r="B4693" s="5" t="s">
        <v>4848</v>
      </c>
      <c r="C4693" s="17">
        <v>20230101</v>
      </c>
      <c r="D4693" s="17">
        <v>22991231</v>
      </c>
      <c r="E4693" s="25">
        <v>45.03</v>
      </c>
    </row>
    <row r="4694" spans="1:5" ht="26" x14ac:dyDescent="0.3">
      <c r="A4694" s="17" t="str">
        <f>"77080"</f>
        <v>77080</v>
      </c>
      <c r="B4694" s="5" t="s">
        <v>4849</v>
      </c>
      <c r="C4694" s="17">
        <v>20230101</v>
      </c>
      <c r="D4694" s="17">
        <v>22991231</v>
      </c>
      <c r="E4694" s="25">
        <v>29.71</v>
      </c>
    </row>
    <row r="4695" spans="1:5" ht="26" x14ac:dyDescent="0.3">
      <c r="A4695" s="17" t="str">
        <f>"77081"</f>
        <v>77081</v>
      </c>
      <c r="B4695" s="5" t="s">
        <v>4850</v>
      </c>
      <c r="C4695" s="17">
        <v>20230101</v>
      </c>
      <c r="D4695" s="17">
        <v>22991231</v>
      </c>
      <c r="E4695" s="25">
        <v>22.83</v>
      </c>
    </row>
    <row r="4696" spans="1:5" x14ac:dyDescent="0.3">
      <c r="A4696" s="17" t="str">
        <f>"77084"</f>
        <v>77084</v>
      </c>
      <c r="B4696" s="5" t="s">
        <v>4851</v>
      </c>
      <c r="C4696" s="17">
        <v>20230101</v>
      </c>
      <c r="D4696" s="17">
        <v>22991231</v>
      </c>
      <c r="E4696" s="25">
        <v>121.41</v>
      </c>
    </row>
    <row r="4697" spans="1:5" ht="26" x14ac:dyDescent="0.3">
      <c r="A4697" s="17" t="str">
        <f>"77085"</f>
        <v>77085</v>
      </c>
      <c r="B4697" s="5" t="s">
        <v>4852</v>
      </c>
      <c r="C4697" s="17">
        <v>20230101</v>
      </c>
      <c r="D4697" s="17">
        <v>22991231</v>
      </c>
      <c r="E4697" s="25">
        <v>0</v>
      </c>
    </row>
    <row r="4698" spans="1:5" x14ac:dyDescent="0.3">
      <c r="A4698" s="17" t="str">
        <f>"77086"</f>
        <v>77086</v>
      </c>
      <c r="B4698" s="5" t="s">
        <v>4853</v>
      </c>
      <c r="C4698" s="17">
        <v>20230101</v>
      </c>
      <c r="D4698" s="17">
        <v>22991231</v>
      </c>
      <c r="E4698" s="25">
        <v>0</v>
      </c>
    </row>
    <row r="4699" spans="1:5" x14ac:dyDescent="0.3">
      <c r="A4699" s="17" t="str">
        <f>"77261"</f>
        <v>77261</v>
      </c>
      <c r="B4699" s="5" t="s">
        <v>4854</v>
      </c>
      <c r="C4699" s="17">
        <v>19900101</v>
      </c>
      <c r="D4699" s="17">
        <v>22991231</v>
      </c>
      <c r="E4699" s="24" t="s">
        <v>7128</v>
      </c>
    </row>
    <row r="4700" spans="1:5" x14ac:dyDescent="0.3">
      <c r="A4700" s="17" t="str">
        <f>"77262"</f>
        <v>77262</v>
      </c>
      <c r="B4700" s="5" t="s">
        <v>4855</v>
      </c>
      <c r="C4700" s="17">
        <v>19900101</v>
      </c>
      <c r="D4700" s="17">
        <v>22991231</v>
      </c>
      <c r="E4700" s="24" t="s">
        <v>7128</v>
      </c>
    </row>
    <row r="4701" spans="1:5" x14ac:dyDescent="0.3">
      <c r="A4701" s="17" t="str">
        <f>"77263"</f>
        <v>77263</v>
      </c>
      <c r="B4701" s="5" t="s">
        <v>4856</v>
      </c>
      <c r="C4701" s="17">
        <v>19900101</v>
      </c>
      <c r="D4701" s="17">
        <v>22991231</v>
      </c>
      <c r="E4701" s="24" t="s">
        <v>7128</v>
      </c>
    </row>
    <row r="4702" spans="1:5" ht="26" x14ac:dyDescent="0.3">
      <c r="A4702" s="17" t="str">
        <f>"77280"</f>
        <v>77280</v>
      </c>
      <c r="B4702" s="5" t="s">
        <v>4857</v>
      </c>
      <c r="C4702" s="17">
        <v>19900101</v>
      </c>
      <c r="D4702" s="17">
        <v>22991231</v>
      </c>
      <c r="E4702" s="25">
        <v>67.23</v>
      </c>
    </row>
    <row r="4703" spans="1:5" ht="26" x14ac:dyDescent="0.3">
      <c r="A4703" s="17" t="str">
        <f>"77285"</f>
        <v>77285</v>
      </c>
      <c r="B4703" s="5" t="s">
        <v>4858</v>
      </c>
      <c r="C4703" s="17">
        <v>19900101</v>
      </c>
      <c r="D4703" s="17">
        <v>22991231</v>
      </c>
      <c r="E4703" s="25">
        <v>183.07</v>
      </c>
    </row>
    <row r="4704" spans="1:5" ht="52" x14ac:dyDescent="0.3">
      <c r="A4704" s="17" t="str">
        <f>"77290"</f>
        <v>77290</v>
      </c>
      <c r="B4704" s="5" t="s">
        <v>4859</v>
      </c>
      <c r="C4704" s="17">
        <v>19900101</v>
      </c>
      <c r="D4704" s="17">
        <v>22991231</v>
      </c>
      <c r="E4704" s="25">
        <v>183.07</v>
      </c>
    </row>
    <row r="4705" spans="1:5" ht="26" x14ac:dyDescent="0.3">
      <c r="A4705" s="17" t="str">
        <f>"77293"</f>
        <v>77293</v>
      </c>
      <c r="B4705" s="5" t="s">
        <v>4860</v>
      </c>
      <c r="C4705" s="17">
        <v>20230101</v>
      </c>
      <c r="D4705" s="17">
        <v>22991231</v>
      </c>
      <c r="E4705" s="25">
        <v>0</v>
      </c>
    </row>
    <row r="4706" spans="1:5" x14ac:dyDescent="0.3">
      <c r="A4706" s="17" t="str">
        <f>"77295"</f>
        <v>77295</v>
      </c>
      <c r="B4706" s="5" t="s">
        <v>4861</v>
      </c>
      <c r="C4706" s="17">
        <v>19940101</v>
      </c>
      <c r="D4706" s="17">
        <v>22991231</v>
      </c>
      <c r="E4706" s="25">
        <v>309</v>
      </c>
    </row>
    <row r="4707" spans="1:5" ht="26" x14ac:dyDescent="0.3">
      <c r="A4707" s="17" t="str">
        <f>"77299"</f>
        <v>77299</v>
      </c>
      <c r="B4707" s="5" t="s">
        <v>4862</v>
      </c>
      <c r="C4707" s="17">
        <v>19900101</v>
      </c>
      <c r="D4707" s="17">
        <v>22991231</v>
      </c>
      <c r="E4707" s="25">
        <v>67.23</v>
      </c>
    </row>
    <row r="4708" spans="1:5" x14ac:dyDescent="0.3">
      <c r="A4708" s="17" t="str">
        <f>"77300"</f>
        <v>77300</v>
      </c>
      <c r="B4708" s="5" t="s">
        <v>4863</v>
      </c>
      <c r="C4708" s="17">
        <v>19900101</v>
      </c>
      <c r="D4708" s="17">
        <v>22991231</v>
      </c>
      <c r="E4708" s="25">
        <v>41.28</v>
      </c>
    </row>
    <row r="4709" spans="1:5" x14ac:dyDescent="0.3">
      <c r="A4709" s="17" t="str">
        <f>"77301"</f>
        <v>77301</v>
      </c>
      <c r="B4709" s="5" t="s">
        <v>4864</v>
      </c>
      <c r="C4709" s="17">
        <v>20230101</v>
      </c>
      <c r="D4709" s="17">
        <v>22991231</v>
      </c>
      <c r="E4709" s="25">
        <v>686.53</v>
      </c>
    </row>
    <row r="4710" spans="1:5" ht="26" x14ac:dyDescent="0.3">
      <c r="A4710" s="17" t="str">
        <f>"77306"</f>
        <v>77306</v>
      </c>
      <c r="B4710" s="5" t="s">
        <v>4865</v>
      </c>
      <c r="C4710" s="17">
        <v>20230101</v>
      </c>
      <c r="D4710" s="17">
        <v>22991231</v>
      </c>
      <c r="E4710" s="25">
        <v>92.89</v>
      </c>
    </row>
    <row r="4711" spans="1:5" ht="26" x14ac:dyDescent="0.3">
      <c r="A4711" s="17" t="str">
        <f>"77307"</f>
        <v>77307</v>
      </c>
      <c r="B4711" s="5" t="s">
        <v>4866</v>
      </c>
      <c r="C4711" s="17">
        <v>20230101</v>
      </c>
      <c r="D4711" s="17">
        <v>22991231</v>
      </c>
      <c r="E4711" s="25">
        <v>173.89</v>
      </c>
    </row>
    <row r="4712" spans="1:5" ht="26" x14ac:dyDescent="0.3">
      <c r="A4712" s="17" t="str">
        <f>"77316"</f>
        <v>77316</v>
      </c>
      <c r="B4712" s="5" t="s">
        <v>4867</v>
      </c>
      <c r="C4712" s="17">
        <v>20230101</v>
      </c>
      <c r="D4712" s="17">
        <v>22991231</v>
      </c>
      <c r="E4712" s="25">
        <v>183.9</v>
      </c>
    </row>
    <row r="4713" spans="1:5" ht="26" x14ac:dyDescent="0.3">
      <c r="A4713" s="17" t="str">
        <f>"77317"</f>
        <v>77317</v>
      </c>
      <c r="B4713" s="5" t="s">
        <v>4868</v>
      </c>
      <c r="C4713" s="17">
        <v>20230101</v>
      </c>
      <c r="D4713" s="17">
        <v>22991231</v>
      </c>
      <c r="E4713" s="25">
        <v>183.07</v>
      </c>
    </row>
    <row r="4714" spans="1:5" ht="26" x14ac:dyDescent="0.3">
      <c r="A4714" s="17" t="str">
        <f>"77318"</f>
        <v>77318</v>
      </c>
      <c r="B4714" s="5" t="s">
        <v>4869</v>
      </c>
      <c r="C4714" s="17">
        <v>20230101</v>
      </c>
      <c r="D4714" s="17">
        <v>22991231</v>
      </c>
      <c r="E4714" s="25">
        <v>183.07</v>
      </c>
    </row>
    <row r="4715" spans="1:5" ht="26" x14ac:dyDescent="0.3">
      <c r="A4715" s="17" t="str">
        <f>"77321"</f>
        <v>77321</v>
      </c>
      <c r="B4715" s="5" t="s">
        <v>4870</v>
      </c>
      <c r="C4715" s="17">
        <v>19900101</v>
      </c>
      <c r="D4715" s="17">
        <v>22991231</v>
      </c>
      <c r="E4715" s="25">
        <v>57.23</v>
      </c>
    </row>
    <row r="4716" spans="1:5" x14ac:dyDescent="0.3">
      <c r="A4716" s="17" t="str">
        <f>"77331"</f>
        <v>77331</v>
      </c>
      <c r="B4716" s="5" t="s">
        <v>4871</v>
      </c>
      <c r="C4716" s="17">
        <v>19900101</v>
      </c>
      <c r="D4716" s="17">
        <v>22991231</v>
      </c>
      <c r="E4716" s="25">
        <v>32.22</v>
      </c>
    </row>
    <row r="4717" spans="1:5" ht="26" x14ac:dyDescent="0.3">
      <c r="A4717" s="17" t="str">
        <f>"77332"</f>
        <v>77332</v>
      </c>
      <c r="B4717" s="5" t="s">
        <v>4872</v>
      </c>
      <c r="C4717" s="17">
        <v>19900101</v>
      </c>
      <c r="D4717" s="17">
        <v>22991231</v>
      </c>
      <c r="E4717" s="25">
        <v>21.89</v>
      </c>
    </row>
    <row r="4718" spans="1:5" ht="26" x14ac:dyDescent="0.3">
      <c r="A4718" s="17" t="str">
        <f>"77333"</f>
        <v>77333</v>
      </c>
      <c r="B4718" s="5" t="s">
        <v>4873</v>
      </c>
      <c r="C4718" s="17">
        <v>19900101</v>
      </c>
      <c r="D4718" s="17">
        <v>22991231</v>
      </c>
      <c r="E4718" s="25">
        <v>67.23</v>
      </c>
    </row>
    <row r="4719" spans="1:5" ht="26" x14ac:dyDescent="0.3">
      <c r="A4719" s="17" t="str">
        <f>"77334"</f>
        <v>77334</v>
      </c>
      <c r="B4719" s="5" t="s">
        <v>4874</v>
      </c>
      <c r="C4719" s="17">
        <v>19900101</v>
      </c>
      <c r="D4719" s="17">
        <v>22991231</v>
      </c>
      <c r="E4719" s="25">
        <v>80.069999999999993</v>
      </c>
    </row>
    <row r="4720" spans="1:5" ht="26" x14ac:dyDescent="0.3">
      <c r="A4720" s="17" t="str">
        <f>"77336"</f>
        <v>77336</v>
      </c>
      <c r="B4720" s="5" t="s">
        <v>4875</v>
      </c>
      <c r="C4720" s="17">
        <v>19900101</v>
      </c>
      <c r="D4720" s="17">
        <v>22991231</v>
      </c>
      <c r="E4720" s="25">
        <v>67.23</v>
      </c>
    </row>
    <row r="4721" spans="1:5" ht="26" x14ac:dyDescent="0.3">
      <c r="A4721" s="17" t="str">
        <f>"77338"</f>
        <v>77338</v>
      </c>
      <c r="B4721" s="5" t="s">
        <v>4876</v>
      </c>
      <c r="C4721" s="17">
        <v>20230101</v>
      </c>
      <c r="D4721" s="17">
        <v>22991231</v>
      </c>
      <c r="E4721" s="25">
        <v>183.07</v>
      </c>
    </row>
    <row r="4722" spans="1:5" x14ac:dyDescent="0.3">
      <c r="A4722" s="17" t="str">
        <f>"77370"</f>
        <v>77370</v>
      </c>
      <c r="B4722" s="5" t="s">
        <v>4877</v>
      </c>
      <c r="C4722" s="17">
        <v>19900101</v>
      </c>
      <c r="D4722" s="17">
        <v>22991231</v>
      </c>
      <c r="E4722" s="25">
        <v>67.23</v>
      </c>
    </row>
    <row r="4723" spans="1:5" ht="26" x14ac:dyDescent="0.3">
      <c r="A4723" s="17" t="str">
        <f>"77385"</f>
        <v>77385</v>
      </c>
      <c r="B4723" s="5" t="s">
        <v>4878</v>
      </c>
      <c r="C4723" s="17">
        <v>20230101</v>
      </c>
      <c r="D4723" s="17">
        <v>22991231</v>
      </c>
      <c r="E4723" s="25">
        <v>291.66000000000003</v>
      </c>
    </row>
    <row r="4724" spans="1:5" ht="26" x14ac:dyDescent="0.3">
      <c r="A4724" s="17" t="str">
        <f>"77386"</f>
        <v>77386</v>
      </c>
      <c r="B4724" s="5" t="s">
        <v>4879</v>
      </c>
      <c r="C4724" s="17">
        <v>20230101</v>
      </c>
      <c r="D4724" s="17">
        <v>22991231</v>
      </c>
      <c r="E4724" s="25">
        <v>291.66000000000003</v>
      </c>
    </row>
    <row r="4725" spans="1:5" ht="26" x14ac:dyDescent="0.3">
      <c r="A4725" s="17" t="str">
        <f>"77387"</f>
        <v>77387</v>
      </c>
      <c r="B4725" s="5" t="s">
        <v>4880</v>
      </c>
      <c r="C4725" s="17">
        <v>20230101</v>
      </c>
      <c r="D4725" s="17">
        <v>22991231</v>
      </c>
      <c r="E4725" s="25">
        <v>0</v>
      </c>
    </row>
    <row r="4726" spans="1:5" ht="26" x14ac:dyDescent="0.3">
      <c r="A4726" s="17" t="str">
        <f>"77399"</f>
        <v>77399</v>
      </c>
      <c r="B4726" s="5" t="s">
        <v>4881</v>
      </c>
      <c r="C4726" s="17">
        <v>19900101</v>
      </c>
      <c r="D4726" s="17">
        <v>22991231</v>
      </c>
      <c r="E4726" s="25">
        <v>67.23</v>
      </c>
    </row>
    <row r="4727" spans="1:5" ht="26" x14ac:dyDescent="0.3">
      <c r="A4727" s="17" t="str">
        <f>"77401"</f>
        <v>77401</v>
      </c>
      <c r="B4727" s="5" t="s">
        <v>4882</v>
      </c>
      <c r="C4727" s="17">
        <v>20230101</v>
      </c>
      <c r="D4727" s="17">
        <v>22991231</v>
      </c>
      <c r="E4727" s="25">
        <v>38.78</v>
      </c>
    </row>
    <row r="4728" spans="1:5" x14ac:dyDescent="0.3">
      <c r="A4728" s="17" t="str">
        <f>"77402"</f>
        <v>77402</v>
      </c>
      <c r="B4728" s="5" t="s">
        <v>4883</v>
      </c>
      <c r="C4728" s="17">
        <v>20230101</v>
      </c>
      <c r="D4728" s="17">
        <v>22991231</v>
      </c>
      <c r="E4728" s="25">
        <v>59.41</v>
      </c>
    </row>
    <row r="4729" spans="1:5" x14ac:dyDescent="0.3">
      <c r="A4729" s="17" t="str">
        <f>"77407"</f>
        <v>77407</v>
      </c>
      <c r="B4729" s="5" t="s">
        <v>4884</v>
      </c>
      <c r="C4729" s="17">
        <v>20230101</v>
      </c>
      <c r="D4729" s="17">
        <v>22991231</v>
      </c>
      <c r="E4729" s="25">
        <v>133.16</v>
      </c>
    </row>
    <row r="4730" spans="1:5" x14ac:dyDescent="0.3">
      <c r="A4730" s="17" t="str">
        <f>"77412"</f>
        <v>77412</v>
      </c>
      <c r="B4730" s="5" t="s">
        <v>4885</v>
      </c>
      <c r="C4730" s="17">
        <v>20230101</v>
      </c>
      <c r="D4730" s="17">
        <v>22991231</v>
      </c>
      <c r="E4730" s="25">
        <v>133.16</v>
      </c>
    </row>
    <row r="4731" spans="1:5" x14ac:dyDescent="0.3">
      <c r="A4731" s="17" t="str">
        <f>"77417"</f>
        <v>77417</v>
      </c>
      <c r="B4731" s="5" t="s">
        <v>4886</v>
      </c>
      <c r="C4731" s="17">
        <v>19910401</v>
      </c>
      <c r="D4731" s="17">
        <v>22991231</v>
      </c>
      <c r="E4731" s="25">
        <v>0</v>
      </c>
    </row>
    <row r="4732" spans="1:5" ht="26" x14ac:dyDescent="0.3">
      <c r="A4732" s="17" t="str">
        <f>"77423"</f>
        <v>77423</v>
      </c>
      <c r="B4732" s="5" t="s">
        <v>4887</v>
      </c>
      <c r="C4732" s="17">
        <v>20230101</v>
      </c>
      <c r="D4732" s="17">
        <v>22991231</v>
      </c>
      <c r="E4732" s="25">
        <v>30.65</v>
      </c>
    </row>
    <row r="4733" spans="1:5" ht="26" x14ac:dyDescent="0.3">
      <c r="A4733" s="17" t="str">
        <f>"77424"</f>
        <v>77424</v>
      </c>
      <c r="B4733" s="5" t="s">
        <v>4888</v>
      </c>
      <c r="C4733" s="17">
        <v>20230101</v>
      </c>
      <c r="D4733" s="17">
        <v>22991231</v>
      </c>
      <c r="E4733" s="25">
        <v>2052.13</v>
      </c>
    </row>
    <row r="4734" spans="1:5" ht="26" x14ac:dyDescent="0.3">
      <c r="A4734" s="17" t="str">
        <f>"77425"</f>
        <v>77425</v>
      </c>
      <c r="B4734" s="5" t="s">
        <v>4889</v>
      </c>
      <c r="C4734" s="17">
        <v>20230101</v>
      </c>
      <c r="D4734" s="17">
        <v>22991231</v>
      </c>
      <c r="E4734" s="25">
        <v>2052.13</v>
      </c>
    </row>
    <row r="4735" spans="1:5" ht="26" x14ac:dyDescent="0.3">
      <c r="A4735" s="17" t="str">
        <f>"77427"</f>
        <v>77427</v>
      </c>
      <c r="B4735" s="5" t="s">
        <v>4890</v>
      </c>
      <c r="C4735" s="17">
        <v>20000101</v>
      </c>
      <c r="D4735" s="17">
        <v>22991231</v>
      </c>
      <c r="E4735" s="24" t="s">
        <v>7128</v>
      </c>
    </row>
    <row r="4736" spans="1:5" ht="26" x14ac:dyDescent="0.3">
      <c r="A4736" s="17" t="str">
        <f>"77431"</f>
        <v>77431</v>
      </c>
      <c r="B4736" s="5" t="s">
        <v>4891</v>
      </c>
      <c r="C4736" s="17">
        <v>19910401</v>
      </c>
      <c r="D4736" s="17">
        <v>22991231</v>
      </c>
      <c r="E4736" s="24" t="s">
        <v>7128</v>
      </c>
    </row>
    <row r="4737" spans="1:5" ht="26" x14ac:dyDescent="0.3">
      <c r="A4737" s="17" t="str">
        <f>"77432"</f>
        <v>77432</v>
      </c>
      <c r="B4737" s="5" t="s">
        <v>4892</v>
      </c>
      <c r="C4737" s="17">
        <v>19940101</v>
      </c>
      <c r="D4737" s="17">
        <v>22991231</v>
      </c>
      <c r="E4737" s="24" t="s">
        <v>7128</v>
      </c>
    </row>
    <row r="4738" spans="1:5" ht="26" x14ac:dyDescent="0.3">
      <c r="A4738" s="17" t="str">
        <f>"77435"</f>
        <v>77435</v>
      </c>
      <c r="B4738" s="5" t="s">
        <v>4893</v>
      </c>
      <c r="C4738" s="17">
        <v>20230101</v>
      </c>
      <c r="D4738" s="17">
        <v>22991231</v>
      </c>
      <c r="E4738" s="25">
        <v>0</v>
      </c>
    </row>
    <row r="4739" spans="1:5" x14ac:dyDescent="0.3">
      <c r="A4739" s="17" t="str">
        <f>"77470"</f>
        <v>77470</v>
      </c>
      <c r="B4739" s="5" t="s">
        <v>4894</v>
      </c>
      <c r="C4739" s="17">
        <v>19900101</v>
      </c>
      <c r="D4739" s="17">
        <v>22991231</v>
      </c>
      <c r="E4739" s="25">
        <v>66.31</v>
      </c>
    </row>
    <row r="4740" spans="1:5" x14ac:dyDescent="0.3">
      <c r="A4740" s="17" t="str">
        <f>"77499"</f>
        <v>77499</v>
      </c>
      <c r="B4740" s="5" t="s">
        <v>4895</v>
      </c>
      <c r="C4740" s="17">
        <v>19900101</v>
      </c>
      <c r="D4740" s="17">
        <v>22991231</v>
      </c>
      <c r="E4740" s="24" t="s">
        <v>7128</v>
      </c>
    </row>
    <row r="4741" spans="1:5" x14ac:dyDescent="0.3">
      <c r="A4741" s="17" t="str">
        <f>"77520"</f>
        <v>77520</v>
      </c>
      <c r="B4741" s="5" t="s">
        <v>4896</v>
      </c>
      <c r="C4741" s="17">
        <v>20230101</v>
      </c>
      <c r="D4741" s="17">
        <v>22991231</v>
      </c>
      <c r="E4741" s="25">
        <v>291.66000000000003</v>
      </c>
    </row>
    <row r="4742" spans="1:5" ht="26" x14ac:dyDescent="0.3">
      <c r="A4742" s="17" t="str">
        <f>"77522"</f>
        <v>77522</v>
      </c>
      <c r="B4742" s="5" t="s">
        <v>4897</v>
      </c>
      <c r="C4742" s="17">
        <v>20230101</v>
      </c>
      <c r="D4742" s="17">
        <v>22991231</v>
      </c>
      <c r="E4742" s="25">
        <v>702.88</v>
      </c>
    </row>
    <row r="4743" spans="1:5" x14ac:dyDescent="0.3">
      <c r="A4743" s="17" t="str">
        <f>"77523"</f>
        <v>77523</v>
      </c>
      <c r="B4743" s="5" t="s">
        <v>4898</v>
      </c>
      <c r="C4743" s="17">
        <v>20230101</v>
      </c>
      <c r="D4743" s="17">
        <v>22991231</v>
      </c>
      <c r="E4743" s="25">
        <v>702.88</v>
      </c>
    </row>
    <row r="4744" spans="1:5" x14ac:dyDescent="0.3">
      <c r="A4744" s="17" t="str">
        <f>"77525"</f>
        <v>77525</v>
      </c>
      <c r="B4744" s="5" t="s">
        <v>4899</v>
      </c>
      <c r="C4744" s="17">
        <v>20230101</v>
      </c>
      <c r="D4744" s="17">
        <v>22991231</v>
      </c>
      <c r="E4744" s="25">
        <v>702.88</v>
      </c>
    </row>
    <row r="4745" spans="1:5" ht="39" x14ac:dyDescent="0.3">
      <c r="A4745" s="17" t="str">
        <f>"77600"</f>
        <v>77600</v>
      </c>
      <c r="B4745" s="5" t="s">
        <v>4900</v>
      </c>
      <c r="C4745" s="17">
        <v>19900101</v>
      </c>
      <c r="D4745" s="17">
        <v>22991231</v>
      </c>
      <c r="E4745" s="25">
        <v>133.16</v>
      </c>
    </row>
    <row r="4746" spans="1:5" ht="39" x14ac:dyDescent="0.3">
      <c r="A4746" s="17" t="str">
        <f>"77605"</f>
        <v>77605</v>
      </c>
      <c r="B4746" s="5" t="s">
        <v>4901</v>
      </c>
      <c r="C4746" s="17">
        <v>19900101</v>
      </c>
      <c r="D4746" s="17">
        <v>22991231</v>
      </c>
      <c r="E4746" s="25">
        <v>355.24</v>
      </c>
    </row>
    <row r="4747" spans="1:5" ht="26" x14ac:dyDescent="0.3">
      <c r="A4747" s="17" t="str">
        <f>"77610"</f>
        <v>77610</v>
      </c>
      <c r="B4747" s="5" t="s">
        <v>4902</v>
      </c>
      <c r="C4747" s="17">
        <v>19900101</v>
      </c>
      <c r="D4747" s="17">
        <v>22991231</v>
      </c>
      <c r="E4747" s="25">
        <v>291.66000000000003</v>
      </c>
    </row>
    <row r="4748" spans="1:5" ht="39" x14ac:dyDescent="0.3">
      <c r="A4748" s="17" t="str">
        <f>"77615"</f>
        <v>77615</v>
      </c>
      <c r="B4748" s="5" t="s">
        <v>4903</v>
      </c>
      <c r="C4748" s="17">
        <v>19900101</v>
      </c>
      <c r="D4748" s="17">
        <v>22991231</v>
      </c>
      <c r="E4748" s="25">
        <v>291.66000000000003</v>
      </c>
    </row>
    <row r="4749" spans="1:5" ht="26" x14ac:dyDescent="0.3">
      <c r="A4749" s="17" t="str">
        <f>"77620"</f>
        <v>77620</v>
      </c>
      <c r="B4749" s="5" t="s">
        <v>4904</v>
      </c>
      <c r="C4749" s="17">
        <v>20230101</v>
      </c>
      <c r="D4749" s="17">
        <v>22991231</v>
      </c>
      <c r="E4749" s="25">
        <v>291.66000000000003</v>
      </c>
    </row>
    <row r="4750" spans="1:5" x14ac:dyDescent="0.3">
      <c r="A4750" s="17" t="str">
        <f>"77750"</f>
        <v>77750</v>
      </c>
      <c r="B4750" s="5" t="s">
        <v>4905</v>
      </c>
      <c r="C4750" s="17">
        <v>19900101</v>
      </c>
      <c r="D4750" s="17">
        <v>22991231</v>
      </c>
      <c r="E4750" s="25">
        <v>204.55</v>
      </c>
    </row>
    <row r="4751" spans="1:5" x14ac:dyDescent="0.3">
      <c r="A4751" s="17" t="str">
        <f>"77761"</f>
        <v>77761</v>
      </c>
      <c r="B4751" s="5" t="s">
        <v>4906</v>
      </c>
      <c r="C4751" s="17">
        <v>19900101</v>
      </c>
      <c r="D4751" s="17">
        <v>22991231</v>
      </c>
      <c r="E4751" s="25">
        <v>268.02999999999997</v>
      </c>
    </row>
    <row r="4752" spans="1:5" ht="26" x14ac:dyDescent="0.3">
      <c r="A4752" s="17" t="str">
        <f>"77762"</f>
        <v>77762</v>
      </c>
      <c r="B4752" s="5" t="s">
        <v>4907</v>
      </c>
      <c r="C4752" s="17">
        <v>19900101</v>
      </c>
      <c r="D4752" s="17">
        <v>22991231</v>
      </c>
      <c r="E4752" s="25">
        <v>329.34</v>
      </c>
    </row>
    <row r="4753" spans="1:5" ht="26" x14ac:dyDescent="0.3">
      <c r="A4753" s="17" t="str">
        <f>"77763"</f>
        <v>77763</v>
      </c>
      <c r="B4753" s="5" t="s">
        <v>4908</v>
      </c>
      <c r="C4753" s="17">
        <v>19900101</v>
      </c>
      <c r="D4753" s="17">
        <v>22991231</v>
      </c>
      <c r="E4753" s="25">
        <v>448.18</v>
      </c>
    </row>
    <row r="4754" spans="1:5" ht="26" x14ac:dyDescent="0.3">
      <c r="A4754" s="17" t="str">
        <f>"77767"</f>
        <v>77767</v>
      </c>
      <c r="B4754" s="5" t="s">
        <v>4909</v>
      </c>
      <c r="C4754" s="17">
        <v>20230101</v>
      </c>
      <c r="D4754" s="17">
        <v>22991231</v>
      </c>
      <c r="E4754" s="25">
        <v>133.16</v>
      </c>
    </row>
    <row r="4755" spans="1:5" ht="39" x14ac:dyDescent="0.3">
      <c r="A4755" s="17" t="str">
        <f>"77768"</f>
        <v>77768</v>
      </c>
      <c r="B4755" s="5" t="s">
        <v>4910</v>
      </c>
      <c r="C4755" s="17">
        <v>20230101</v>
      </c>
      <c r="D4755" s="17">
        <v>22991231</v>
      </c>
      <c r="E4755" s="25">
        <v>133.16</v>
      </c>
    </row>
    <row r="4756" spans="1:5" x14ac:dyDescent="0.3">
      <c r="A4756" s="17" t="str">
        <f>"77770"</f>
        <v>77770</v>
      </c>
      <c r="B4756" s="5" t="s">
        <v>4911</v>
      </c>
      <c r="C4756" s="17">
        <v>20230101</v>
      </c>
      <c r="D4756" s="17">
        <v>22991231</v>
      </c>
      <c r="E4756" s="25">
        <v>261.45999999999998</v>
      </c>
    </row>
    <row r="4757" spans="1:5" x14ac:dyDescent="0.3">
      <c r="A4757" s="17" t="str">
        <f>"77771"</f>
        <v>77771</v>
      </c>
      <c r="B4757" s="5" t="s">
        <v>4912</v>
      </c>
      <c r="C4757" s="17">
        <v>20230101</v>
      </c>
      <c r="D4757" s="17">
        <v>22991231</v>
      </c>
      <c r="E4757" s="25">
        <v>355.24</v>
      </c>
    </row>
    <row r="4758" spans="1:5" ht="26" x14ac:dyDescent="0.3">
      <c r="A4758" s="17" t="str">
        <f>"77772"</f>
        <v>77772</v>
      </c>
      <c r="B4758" s="5" t="s">
        <v>4913</v>
      </c>
      <c r="C4758" s="17">
        <v>20230101</v>
      </c>
      <c r="D4758" s="17">
        <v>22991231</v>
      </c>
      <c r="E4758" s="25">
        <v>355.24</v>
      </c>
    </row>
    <row r="4759" spans="1:5" x14ac:dyDescent="0.3">
      <c r="A4759" s="17" t="str">
        <f>"77778"</f>
        <v>77778</v>
      </c>
      <c r="B4759" s="5" t="s">
        <v>4914</v>
      </c>
      <c r="C4759" s="17">
        <v>19900101</v>
      </c>
      <c r="D4759" s="17">
        <v>22991231</v>
      </c>
      <c r="E4759" s="25">
        <v>355.24</v>
      </c>
    </row>
    <row r="4760" spans="1:5" x14ac:dyDescent="0.3">
      <c r="A4760" s="17" t="str">
        <f>"77789"</f>
        <v>77789</v>
      </c>
      <c r="B4760" s="5" t="s">
        <v>4915</v>
      </c>
      <c r="C4760" s="17">
        <v>19900101</v>
      </c>
      <c r="D4760" s="17">
        <v>22991231</v>
      </c>
      <c r="E4760" s="25">
        <v>59.41</v>
      </c>
    </row>
    <row r="4761" spans="1:5" ht="26" x14ac:dyDescent="0.3">
      <c r="A4761" s="17" t="str">
        <f>"77790"</f>
        <v>77790</v>
      </c>
      <c r="B4761" s="5" t="s">
        <v>4916</v>
      </c>
      <c r="C4761" s="17">
        <v>19900101</v>
      </c>
      <c r="D4761" s="17">
        <v>22991231</v>
      </c>
      <c r="E4761" s="25">
        <v>0</v>
      </c>
    </row>
    <row r="4762" spans="1:5" x14ac:dyDescent="0.3">
      <c r="A4762" s="17" t="str">
        <f>"77799"</f>
        <v>77799</v>
      </c>
      <c r="B4762" s="5" t="s">
        <v>4917</v>
      </c>
      <c r="C4762" s="17">
        <v>19900101</v>
      </c>
      <c r="D4762" s="17">
        <v>22991231</v>
      </c>
      <c r="E4762" s="25">
        <v>59.41</v>
      </c>
    </row>
    <row r="4763" spans="1:5" x14ac:dyDescent="0.3">
      <c r="A4763" s="17" t="str">
        <f>"78012"</f>
        <v>78012</v>
      </c>
      <c r="B4763" s="5" t="s">
        <v>4918</v>
      </c>
      <c r="C4763" s="17">
        <v>20230101</v>
      </c>
      <c r="D4763" s="17">
        <v>22991231</v>
      </c>
      <c r="E4763" s="25">
        <v>204.35</v>
      </c>
    </row>
    <row r="4764" spans="1:5" x14ac:dyDescent="0.3">
      <c r="A4764" s="17" t="str">
        <f>"78013"</f>
        <v>78013</v>
      </c>
      <c r="B4764" s="5" t="s">
        <v>4919</v>
      </c>
      <c r="C4764" s="17">
        <v>20230101</v>
      </c>
      <c r="D4764" s="17">
        <v>22991231</v>
      </c>
      <c r="E4764" s="25">
        <v>204.35</v>
      </c>
    </row>
    <row r="4765" spans="1:5" ht="26" x14ac:dyDescent="0.3">
      <c r="A4765" s="17" t="str">
        <f>"78014"</f>
        <v>78014</v>
      </c>
      <c r="B4765" s="5" t="s">
        <v>4920</v>
      </c>
      <c r="C4765" s="17">
        <v>20230101</v>
      </c>
      <c r="D4765" s="17">
        <v>22991231</v>
      </c>
      <c r="E4765" s="25">
        <v>204.35</v>
      </c>
    </row>
    <row r="4766" spans="1:5" ht="26" x14ac:dyDescent="0.3">
      <c r="A4766" s="17" t="str">
        <f>"78015"</f>
        <v>78015</v>
      </c>
      <c r="B4766" s="5" t="s">
        <v>4921</v>
      </c>
      <c r="C4766" s="17">
        <v>19900101</v>
      </c>
      <c r="D4766" s="17">
        <v>22991231</v>
      </c>
      <c r="E4766" s="25">
        <v>204.35</v>
      </c>
    </row>
    <row r="4767" spans="1:5" ht="26" x14ac:dyDescent="0.3">
      <c r="A4767" s="17" t="str">
        <f>"78016"</f>
        <v>78016</v>
      </c>
      <c r="B4767" s="5" t="s">
        <v>4922</v>
      </c>
      <c r="C4767" s="17">
        <v>19900101</v>
      </c>
      <c r="D4767" s="17">
        <v>22991231</v>
      </c>
      <c r="E4767" s="25">
        <v>204.35</v>
      </c>
    </row>
    <row r="4768" spans="1:5" ht="26" x14ac:dyDescent="0.3">
      <c r="A4768" s="17" t="str">
        <f>"78018"</f>
        <v>78018</v>
      </c>
      <c r="B4768" s="5" t="s">
        <v>4923</v>
      </c>
      <c r="C4768" s="17">
        <v>19900101</v>
      </c>
      <c r="D4768" s="17">
        <v>22991231</v>
      </c>
      <c r="E4768" s="25">
        <v>267.8</v>
      </c>
    </row>
    <row r="4769" spans="1:5" ht="26" x14ac:dyDescent="0.3">
      <c r="A4769" s="17" t="str">
        <f>"78020"</f>
        <v>78020</v>
      </c>
      <c r="B4769" s="5" t="s">
        <v>4924</v>
      </c>
      <c r="C4769" s="17">
        <v>19990101</v>
      </c>
      <c r="D4769" s="17">
        <v>22991231</v>
      </c>
      <c r="E4769" s="25">
        <v>0</v>
      </c>
    </row>
    <row r="4770" spans="1:5" x14ac:dyDescent="0.3">
      <c r="A4770" s="17" t="str">
        <f>"78070"</f>
        <v>78070</v>
      </c>
      <c r="B4770" s="5" t="s">
        <v>4925</v>
      </c>
      <c r="C4770" s="17">
        <v>19900101</v>
      </c>
      <c r="D4770" s="17">
        <v>22991231</v>
      </c>
      <c r="E4770" s="25">
        <v>204.35</v>
      </c>
    </row>
    <row r="4771" spans="1:5" ht="26" x14ac:dyDescent="0.3">
      <c r="A4771" s="17" t="str">
        <f>"78071"</f>
        <v>78071</v>
      </c>
      <c r="B4771" s="5" t="s">
        <v>4926</v>
      </c>
      <c r="C4771" s="17">
        <v>20230101</v>
      </c>
      <c r="D4771" s="17">
        <v>22991231</v>
      </c>
      <c r="E4771" s="25">
        <v>204.35</v>
      </c>
    </row>
    <row r="4772" spans="1:5" ht="26" x14ac:dyDescent="0.3">
      <c r="A4772" s="17" t="str">
        <f>"78072"</f>
        <v>78072</v>
      </c>
      <c r="B4772" s="5" t="s">
        <v>4927</v>
      </c>
      <c r="C4772" s="17">
        <v>20230101</v>
      </c>
      <c r="D4772" s="17">
        <v>22991231</v>
      </c>
      <c r="E4772" s="25">
        <v>267.8</v>
      </c>
    </row>
    <row r="4773" spans="1:5" x14ac:dyDescent="0.3">
      <c r="A4773" s="17" t="str">
        <f>"78075"</f>
        <v>78075</v>
      </c>
      <c r="B4773" s="5" t="s">
        <v>4928</v>
      </c>
      <c r="C4773" s="17">
        <v>19900101</v>
      </c>
      <c r="D4773" s="17">
        <v>22991231</v>
      </c>
      <c r="E4773" s="25">
        <v>703.54</v>
      </c>
    </row>
    <row r="4774" spans="1:5" x14ac:dyDescent="0.3">
      <c r="A4774" s="17" t="str">
        <f>"78099"</f>
        <v>78099</v>
      </c>
      <c r="B4774" s="5" t="s">
        <v>4929</v>
      </c>
      <c r="C4774" s="17">
        <v>19900101</v>
      </c>
      <c r="D4774" s="17">
        <v>22991231</v>
      </c>
      <c r="E4774" s="25">
        <v>204.35</v>
      </c>
    </row>
    <row r="4775" spans="1:5" ht="26" x14ac:dyDescent="0.3">
      <c r="A4775" s="17" t="str">
        <f>"78102"</f>
        <v>78102</v>
      </c>
      <c r="B4775" s="5" t="s">
        <v>4930</v>
      </c>
      <c r="C4775" s="17">
        <v>19900101</v>
      </c>
      <c r="D4775" s="17">
        <v>22991231</v>
      </c>
      <c r="E4775" s="25">
        <v>204.35</v>
      </c>
    </row>
    <row r="4776" spans="1:5" ht="26" x14ac:dyDescent="0.3">
      <c r="A4776" s="17" t="str">
        <f>"78103"</f>
        <v>78103</v>
      </c>
      <c r="B4776" s="5" t="s">
        <v>4931</v>
      </c>
      <c r="C4776" s="17">
        <v>19900101</v>
      </c>
      <c r="D4776" s="17">
        <v>22991231</v>
      </c>
      <c r="E4776" s="25">
        <v>204.35</v>
      </c>
    </row>
    <row r="4777" spans="1:5" ht="26" x14ac:dyDescent="0.3">
      <c r="A4777" s="17" t="str">
        <f>"78104"</f>
        <v>78104</v>
      </c>
      <c r="B4777" s="5" t="s">
        <v>4932</v>
      </c>
      <c r="C4777" s="17">
        <v>19900101</v>
      </c>
      <c r="D4777" s="17">
        <v>22991231</v>
      </c>
      <c r="E4777" s="25">
        <v>204.35</v>
      </c>
    </row>
    <row r="4778" spans="1:5" ht="26" x14ac:dyDescent="0.3">
      <c r="A4778" s="17" t="str">
        <f>"78110"</f>
        <v>78110</v>
      </c>
      <c r="B4778" s="5" t="s">
        <v>4933</v>
      </c>
      <c r="C4778" s="17">
        <v>19900101</v>
      </c>
      <c r="D4778" s="17">
        <v>22991231</v>
      </c>
      <c r="E4778" s="25">
        <v>703.54</v>
      </c>
    </row>
    <row r="4779" spans="1:5" ht="26" x14ac:dyDescent="0.3">
      <c r="A4779" s="17" t="str">
        <f>"78111"</f>
        <v>78111</v>
      </c>
      <c r="B4779" s="5" t="s">
        <v>4934</v>
      </c>
      <c r="C4779" s="17">
        <v>19900101</v>
      </c>
      <c r="D4779" s="17">
        <v>22991231</v>
      </c>
      <c r="E4779" s="25">
        <v>703.54</v>
      </c>
    </row>
    <row r="4780" spans="1:5" ht="26" x14ac:dyDescent="0.3">
      <c r="A4780" s="17" t="str">
        <f>"78120"</f>
        <v>78120</v>
      </c>
      <c r="B4780" s="5" t="s">
        <v>4935</v>
      </c>
      <c r="C4780" s="17">
        <v>19900101</v>
      </c>
      <c r="D4780" s="17">
        <v>22991231</v>
      </c>
      <c r="E4780" s="25">
        <v>204.35</v>
      </c>
    </row>
    <row r="4781" spans="1:5" ht="26" x14ac:dyDescent="0.3">
      <c r="A4781" s="17" t="str">
        <f>"78121"</f>
        <v>78121</v>
      </c>
      <c r="B4781" s="5" t="s">
        <v>4936</v>
      </c>
      <c r="C4781" s="17">
        <v>19900101</v>
      </c>
      <c r="D4781" s="17">
        <v>22991231</v>
      </c>
      <c r="E4781" s="25">
        <v>267.8</v>
      </c>
    </row>
    <row r="4782" spans="1:5" x14ac:dyDescent="0.3">
      <c r="A4782" s="17" t="str">
        <f>"78122"</f>
        <v>78122</v>
      </c>
      <c r="B4782" s="5" t="s">
        <v>4937</v>
      </c>
      <c r="C4782" s="17">
        <v>19900101</v>
      </c>
      <c r="D4782" s="17">
        <v>22991231</v>
      </c>
      <c r="E4782" s="25">
        <v>267.8</v>
      </c>
    </row>
    <row r="4783" spans="1:5" ht="26" x14ac:dyDescent="0.3">
      <c r="A4783" s="17" t="str">
        <f>"78130"</f>
        <v>78130</v>
      </c>
      <c r="B4783" s="5" t="s">
        <v>4938</v>
      </c>
      <c r="C4783" s="17">
        <v>19900101</v>
      </c>
      <c r="D4783" s="17">
        <v>22991231</v>
      </c>
      <c r="E4783" s="25">
        <v>204.35</v>
      </c>
    </row>
    <row r="4784" spans="1:5" ht="26" x14ac:dyDescent="0.3">
      <c r="A4784" s="17" t="str">
        <f>"78140"</f>
        <v>78140</v>
      </c>
      <c r="B4784" s="5" t="s">
        <v>4939</v>
      </c>
      <c r="C4784" s="17">
        <v>19900101</v>
      </c>
      <c r="D4784" s="17">
        <v>22991231</v>
      </c>
      <c r="E4784" s="25">
        <v>204.35</v>
      </c>
    </row>
    <row r="4785" spans="1:5" x14ac:dyDescent="0.3">
      <c r="A4785" s="17" t="str">
        <f>"78185"</f>
        <v>78185</v>
      </c>
      <c r="B4785" s="5" t="s">
        <v>4940</v>
      </c>
      <c r="C4785" s="17">
        <v>19900101</v>
      </c>
      <c r="D4785" s="17">
        <v>22991231</v>
      </c>
      <c r="E4785" s="25">
        <v>204.35</v>
      </c>
    </row>
    <row r="4786" spans="1:5" x14ac:dyDescent="0.3">
      <c r="A4786" s="17" t="str">
        <f>"78191"</f>
        <v>78191</v>
      </c>
      <c r="B4786" s="5" t="s">
        <v>4941</v>
      </c>
      <c r="C4786" s="17">
        <v>19900101</v>
      </c>
      <c r="D4786" s="17">
        <v>22991231</v>
      </c>
      <c r="E4786" s="25">
        <v>204.35</v>
      </c>
    </row>
    <row r="4787" spans="1:5" x14ac:dyDescent="0.3">
      <c r="A4787" s="17" t="str">
        <f>"78195"</f>
        <v>78195</v>
      </c>
      <c r="B4787" s="5" t="s">
        <v>4942</v>
      </c>
      <c r="C4787" s="17">
        <v>19900101</v>
      </c>
      <c r="D4787" s="17">
        <v>22991231</v>
      </c>
      <c r="E4787" s="25">
        <v>267.8</v>
      </c>
    </row>
    <row r="4788" spans="1:5" ht="26" x14ac:dyDescent="0.3">
      <c r="A4788" s="17" t="str">
        <f>"78199"</f>
        <v>78199</v>
      </c>
      <c r="B4788" s="5" t="s">
        <v>4943</v>
      </c>
      <c r="C4788" s="17">
        <v>19900101</v>
      </c>
      <c r="D4788" s="17">
        <v>22991231</v>
      </c>
      <c r="E4788" s="25">
        <v>204.35</v>
      </c>
    </row>
    <row r="4789" spans="1:5" x14ac:dyDescent="0.3">
      <c r="A4789" s="17" t="str">
        <f>"78201"</f>
        <v>78201</v>
      </c>
      <c r="B4789" s="5" t="s">
        <v>4944</v>
      </c>
      <c r="C4789" s="17">
        <v>19900101</v>
      </c>
      <c r="D4789" s="17">
        <v>22991231</v>
      </c>
      <c r="E4789" s="25">
        <v>267.8</v>
      </c>
    </row>
    <row r="4790" spans="1:5" x14ac:dyDescent="0.3">
      <c r="A4790" s="17" t="str">
        <f>"78202"</f>
        <v>78202</v>
      </c>
      <c r="B4790" s="5" t="s">
        <v>4945</v>
      </c>
      <c r="C4790" s="17">
        <v>19900101</v>
      </c>
      <c r="D4790" s="17">
        <v>22991231</v>
      </c>
      <c r="E4790" s="25">
        <v>267.8</v>
      </c>
    </row>
    <row r="4791" spans="1:5" x14ac:dyDescent="0.3">
      <c r="A4791" s="17" t="str">
        <f>"78215"</f>
        <v>78215</v>
      </c>
      <c r="B4791" s="5" t="s">
        <v>4946</v>
      </c>
      <c r="C4791" s="17">
        <v>19900101</v>
      </c>
      <c r="D4791" s="17">
        <v>22991231</v>
      </c>
      <c r="E4791" s="25">
        <v>204.35</v>
      </c>
    </row>
    <row r="4792" spans="1:5" ht="26" x14ac:dyDescent="0.3">
      <c r="A4792" s="17" t="str">
        <f>"78216"</f>
        <v>78216</v>
      </c>
      <c r="B4792" s="5" t="s">
        <v>4947</v>
      </c>
      <c r="C4792" s="17">
        <v>19900101</v>
      </c>
      <c r="D4792" s="17">
        <v>22991231</v>
      </c>
      <c r="E4792" s="25">
        <v>204.35</v>
      </c>
    </row>
    <row r="4793" spans="1:5" ht="26" x14ac:dyDescent="0.3">
      <c r="A4793" s="17" t="str">
        <f>"78226"</f>
        <v>78226</v>
      </c>
      <c r="B4793" s="5" t="s">
        <v>4948</v>
      </c>
      <c r="C4793" s="17">
        <v>20230101</v>
      </c>
      <c r="D4793" s="17">
        <v>22991231</v>
      </c>
      <c r="E4793" s="25">
        <v>204.35</v>
      </c>
    </row>
    <row r="4794" spans="1:5" ht="26" x14ac:dyDescent="0.3">
      <c r="A4794" s="17" t="str">
        <f>"78227"</f>
        <v>78227</v>
      </c>
      <c r="B4794" s="5" t="s">
        <v>4949</v>
      </c>
      <c r="C4794" s="17">
        <v>20230101</v>
      </c>
      <c r="D4794" s="17">
        <v>22991231</v>
      </c>
      <c r="E4794" s="25">
        <v>267.8</v>
      </c>
    </row>
    <row r="4795" spans="1:5" x14ac:dyDescent="0.3">
      <c r="A4795" s="17" t="str">
        <f>"78230"</f>
        <v>78230</v>
      </c>
      <c r="B4795" s="5" t="s">
        <v>4950</v>
      </c>
      <c r="C4795" s="17">
        <v>19900101</v>
      </c>
      <c r="D4795" s="17">
        <v>22991231</v>
      </c>
      <c r="E4795" s="25">
        <v>204.35</v>
      </c>
    </row>
    <row r="4796" spans="1:5" ht="26" x14ac:dyDescent="0.3">
      <c r="A4796" s="17" t="str">
        <f>"78231"</f>
        <v>78231</v>
      </c>
      <c r="B4796" s="5" t="s">
        <v>4951</v>
      </c>
      <c r="C4796" s="17">
        <v>19900101</v>
      </c>
      <c r="D4796" s="17">
        <v>22991231</v>
      </c>
      <c r="E4796" s="25">
        <v>204.35</v>
      </c>
    </row>
    <row r="4797" spans="1:5" ht="26" x14ac:dyDescent="0.3">
      <c r="A4797" s="17" t="str">
        <f>"78232"</f>
        <v>78232</v>
      </c>
      <c r="B4797" s="5" t="s">
        <v>4952</v>
      </c>
      <c r="C4797" s="17">
        <v>19900101</v>
      </c>
      <c r="D4797" s="17">
        <v>22991231</v>
      </c>
      <c r="E4797" s="25">
        <v>204.35</v>
      </c>
    </row>
    <row r="4798" spans="1:5" ht="26" x14ac:dyDescent="0.3">
      <c r="A4798" s="17" t="str">
        <f>"78258"</f>
        <v>78258</v>
      </c>
      <c r="B4798" s="5" t="s">
        <v>4953</v>
      </c>
      <c r="C4798" s="17">
        <v>19900101</v>
      </c>
      <c r="D4798" s="17">
        <v>22991231</v>
      </c>
      <c r="E4798" s="25">
        <v>204.35</v>
      </c>
    </row>
    <row r="4799" spans="1:5" x14ac:dyDescent="0.3">
      <c r="A4799" s="17" t="str">
        <f>"78261"</f>
        <v>78261</v>
      </c>
      <c r="B4799" s="5" t="s">
        <v>4954</v>
      </c>
      <c r="C4799" s="17">
        <v>19900101</v>
      </c>
      <c r="D4799" s="17">
        <v>22991231</v>
      </c>
      <c r="E4799" s="25">
        <v>204.35</v>
      </c>
    </row>
    <row r="4800" spans="1:5" ht="26" x14ac:dyDescent="0.3">
      <c r="A4800" s="17" t="str">
        <f>"78262"</f>
        <v>78262</v>
      </c>
      <c r="B4800" s="5" t="s">
        <v>4955</v>
      </c>
      <c r="C4800" s="17">
        <v>19900101</v>
      </c>
      <c r="D4800" s="17">
        <v>22991231</v>
      </c>
      <c r="E4800" s="25">
        <v>204.35</v>
      </c>
    </row>
    <row r="4801" spans="1:5" ht="26" x14ac:dyDescent="0.3">
      <c r="A4801" s="17" t="str">
        <f>"78264"</f>
        <v>78264</v>
      </c>
      <c r="B4801" s="5" t="s">
        <v>4956</v>
      </c>
      <c r="C4801" s="17">
        <v>19900101</v>
      </c>
      <c r="D4801" s="17">
        <v>22991231</v>
      </c>
      <c r="E4801" s="25">
        <v>204.35</v>
      </c>
    </row>
    <row r="4802" spans="1:5" ht="26" x14ac:dyDescent="0.3">
      <c r="A4802" s="17" t="str">
        <f>"78265"</f>
        <v>78265</v>
      </c>
      <c r="B4802" s="5" t="s">
        <v>4957</v>
      </c>
      <c r="C4802" s="17">
        <v>20230101</v>
      </c>
      <c r="D4802" s="17">
        <v>22991231</v>
      </c>
      <c r="E4802" s="25">
        <v>204.35</v>
      </c>
    </row>
    <row r="4803" spans="1:5" ht="26" x14ac:dyDescent="0.3">
      <c r="A4803" s="17" t="str">
        <f>"78266"</f>
        <v>78266</v>
      </c>
      <c r="B4803" s="5" t="s">
        <v>4958</v>
      </c>
      <c r="C4803" s="17">
        <v>20230101</v>
      </c>
      <c r="D4803" s="17">
        <v>22991231</v>
      </c>
      <c r="E4803" s="25">
        <v>267.8</v>
      </c>
    </row>
    <row r="4804" spans="1:5" ht="26" x14ac:dyDescent="0.3">
      <c r="A4804" s="17" t="str">
        <f>"78267"</f>
        <v>78267</v>
      </c>
      <c r="B4804" s="5" t="s">
        <v>4959</v>
      </c>
      <c r="C4804" s="17">
        <v>20000101</v>
      </c>
      <c r="D4804" s="17">
        <v>22991231</v>
      </c>
      <c r="E4804" s="24" t="s">
        <v>7128</v>
      </c>
    </row>
    <row r="4805" spans="1:5" ht="26" x14ac:dyDescent="0.3">
      <c r="A4805" s="17" t="str">
        <f>"78268"</f>
        <v>78268</v>
      </c>
      <c r="B4805" s="5" t="s">
        <v>4960</v>
      </c>
      <c r="C4805" s="17">
        <v>20000101</v>
      </c>
      <c r="D4805" s="17">
        <v>22991231</v>
      </c>
      <c r="E4805" s="24" t="s">
        <v>7128</v>
      </c>
    </row>
    <row r="4806" spans="1:5" x14ac:dyDescent="0.3">
      <c r="A4806" s="17" t="str">
        <f>"78278"</f>
        <v>78278</v>
      </c>
      <c r="B4806" s="5" t="s">
        <v>4961</v>
      </c>
      <c r="C4806" s="17">
        <v>19900101</v>
      </c>
      <c r="D4806" s="17">
        <v>22991231</v>
      </c>
      <c r="E4806" s="25">
        <v>204.35</v>
      </c>
    </row>
    <row r="4807" spans="1:5" ht="26" x14ac:dyDescent="0.3">
      <c r="A4807" s="17" t="str">
        <f>"78282"</f>
        <v>78282</v>
      </c>
      <c r="B4807" s="5" t="s">
        <v>4962</v>
      </c>
      <c r="C4807" s="17">
        <v>19900101</v>
      </c>
      <c r="D4807" s="17">
        <v>22991231</v>
      </c>
      <c r="E4807" s="25">
        <v>204.35</v>
      </c>
    </row>
    <row r="4808" spans="1:5" x14ac:dyDescent="0.3">
      <c r="A4808" s="17" t="str">
        <f>"78290"</f>
        <v>78290</v>
      </c>
      <c r="B4808" s="5" t="s">
        <v>4963</v>
      </c>
      <c r="C4808" s="17">
        <v>19900101</v>
      </c>
      <c r="D4808" s="17">
        <v>22991231</v>
      </c>
      <c r="E4808" s="25">
        <v>204.35</v>
      </c>
    </row>
    <row r="4809" spans="1:5" ht="39" x14ac:dyDescent="0.3">
      <c r="A4809" s="17" t="str">
        <f>"78291"</f>
        <v>78291</v>
      </c>
      <c r="B4809" s="5" t="s">
        <v>4964</v>
      </c>
      <c r="C4809" s="17">
        <v>19900101</v>
      </c>
      <c r="D4809" s="17">
        <v>22991231</v>
      </c>
      <c r="E4809" s="25">
        <v>204.35</v>
      </c>
    </row>
    <row r="4810" spans="1:5" x14ac:dyDescent="0.3">
      <c r="A4810" s="17" t="str">
        <f>"78299"</f>
        <v>78299</v>
      </c>
      <c r="B4810" s="5" t="s">
        <v>4965</v>
      </c>
      <c r="C4810" s="17">
        <v>19900101</v>
      </c>
      <c r="D4810" s="17">
        <v>22991231</v>
      </c>
      <c r="E4810" s="25">
        <v>204.35</v>
      </c>
    </row>
    <row r="4811" spans="1:5" ht="26" x14ac:dyDescent="0.3">
      <c r="A4811" s="17" t="str">
        <f>"78300"</f>
        <v>78300</v>
      </c>
      <c r="B4811" s="5" t="s">
        <v>4966</v>
      </c>
      <c r="C4811" s="17">
        <v>19900101</v>
      </c>
      <c r="D4811" s="17">
        <v>22991231</v>
      </c>
      <c r="E4811" s="25">
        <v>204.35</v>
      </c>
    </row>
    <row r="4812" spans="1:5" ht="26" x14ac:dyDescent="0.3">
      <c r="A4812" s="17" t="str">
        <f>"78305"</f>
        <v>78305</v>
      </c>
      <c r="B4812" s="5" t="s">
        <v>4967</v>
      </c>
      <c r="C4812" s="17">
        <v>19900101</v>
      </c>
      <c r="D4812" s="17">
        <v>22991231</v>
      </c>
      <c r="E4812" s="25">
        <v>204.35</v>
      </c>
    </row>
    <row r="4813" spans="1:5" ht="26" x14ac:dyDescent="0.3">
      <c r="A4813" s="17" t="str">
        <f>"78306"</f>
        <v>78306</v>
      </c>
      <c r="B4813" s="5" t="s">
        <v>4968</v>
      </c>
      <c r="C4813" s="17">
        <v>19900101</v>
      </c>
      <c r="D4813" s="17">
        <v>22991231</v>
      </c>
      <c r="E4813" s="25">
        <v>204.35</v>
      </c>
    </row>
    <row r="4814" spans="1:5" ht="26" x14ac:dyDescent="0.3">
      <c r="A4814" s="17" t="str">
        <f>"78315"</f>
        <v>78315</v>
      </c>
      <c r="B4814" s="5" t="s">
        <v>4969</v>
      </c>
      <c r="C4814" s="17">
        <v>19900101</v>
      </c>
      <c r="D4814" s="17">
        <v>22991231</v>
      </c>
      <c r="E4814" s="25">
        <v>204.35</v>
      </c>
    </row>
    <row r="4815" spans="1:5" ht="26" x14ac:dyDescent="0.3">
      <c r="A4815" s="17" t="str">
        <f>"78350"</f>
        <v>78350</v>
      </c>
      <c r="B4815" s="5" t="s">
        <v>4970</v>
      </c>
      <c r="C4815" s="17">
        <v>19900101</v>
      </c>
      <c r="D4815" s="17">
        <v>22991231</v>
      </c>
      <c r="E4815" s="24" t="s">
        <v>7128</v>
      </c>
    </row>
    <row r="4816" spans="1:5" ht="26" x14ac:dyDescent="0.3">
      <c r="A4816" s="17" t="str">
        <f>"78351"</f>
        <v>78351</v>
      </c>
      <c r="B4816" s="5" t="s">
        <v>4971</v>
      </c>
      <c r="C4816" s="17">
        <v>19900101</v>
      </c>
      <c r="D4816" s="17">
        <v>22991231</v>
      </c>
      <c r="E4816" s="24" t="s">
        <v>7128</v>
      </c>
    </row>
    <row r="4817" spans="1:5" ht="26" x14ac:dyDescent="0.3">
      <c r="A4817" s="17" t="str">
        <f>"78399"</f>
        <v>78399</v>
      </c>
      <c r="B4817" s="5" t="s">
        <v>4972</v>
      </c>
      <c r="C4817" s="17">
        <v>19900101</v>
      </c>
      <c r="D4817" s="17">
        <v>22991231</v>
      </c>
      <c r="E4817" s="25">
        <v>204.35</v>
      </c>
    </row>
    <row r="4818" spans="1:5" ht="26" x14ac:dyDescent="0.3">
      <c r="A4818" s="17" t="str">
        <f>"78414"</f>
        <v>78414</v>
      </c>
      <c r="B4818" s="5" t="s">
        <v>4973</v>
      </c>
      <c r="C4818" s="17">
        <v>19900101</v>
      </c>
      <c r="D4818" s="17">
        <v>22991231</v>
      </c>
      <c r="E4818" s="25">
        <v>267.8</v>
      </c>
    </row>
    <row r="4819" spans="1:5" x14ac:dyDescent="0.3">
      <c r="A4819" s="17" t="str">
        <f>"78428"</f>
        <v>78428</v>
      </c>
      <c r="B4819" s="5" t="s">
        <v>4974</v>
      </c>
      <c r="C4819" s="17">
        <v>19900101</v>
      </c>
      <c r="D4819" s="17">
        <v>22991231</v>
      </c>
      <c r="E4819" s="25">
        <v>204.35</v>
      </c>
    </row>
    <row r="4820" spans="1:5" ht="26" x14ac:dyDescent="0.3">
      <c r="A4820" s="17" t="str">
        <f>"78429"</f>
        <v>78429</v>
      </c>
      <c r="B4820" s="5" t="s">
        <v>4975</v>
      </c>
      <c r="C4820" s="17">
        <v>20200101</v>
      </c>
      <c r="D4820" s="17">
        <v>22991231</v>
      </c>
      <c r="E4820" s="25">
        <v>775.13</v>
      </c>
    </row>
    <row r="4821" spans="1:5" ht="39" x14ac:dyDescent="0.3">
      <c r="A4821" s="17" t="str">
        <f>"78430"</f>
        <v>78430</v>
      </c>
      <c r="B4821" s="5" t="s">
        <v>4976</v>
      </c>
      <c r="C4821" s="17">
        <v>20200101</v>
      </c>
      <c r="D4821" s="17">
        <v>22991231</v>
      </c>
      <c r="E4821" s="25">
        <v>775.13</v>
      </c>
    </row>
    <row r="4822" spans="1:5" ht="39" x14ac:dyDescent="0.3">
      <c r="A4822" s="17" t="str">
        <f>"78431"</f>
        <v>78431</v>
      </c>
      <c r="B4822" s="5" t="s">
        <v>4977</v>
      </c>
      <c r="C4822" s="17">
        <v>20200101</v>
      </c>
      <c r="D4822" s="17">
        <v>22991231</v>
      </c>
      <c r="E4822" s="25">
        <v>1170.3</v>
      </c>
    </row>
    <row r="4823" spans="1:5" ht="39" x14ac:dyDescent="0.3">
      <c r="A4823" s="17" t="str">
        <f>"78432"</f>
        <v>78432</v>
      </c>
      <c r="B4823" s="5" t="s">
        <v>4978</v>
      </c>
      <c r="C4823" s="17">
        <v>20200101</v>
      </c>
      <c r="D4823" s="17">
        <v>22991231</v>
      </c>
      <c r="E4823" s="25">
        <v>962.29</v>
      </c>
    </row>
    <row r="4824" spans="1:5" ht="39" x14ac:dyDescent="0.3">
      <c r="A4824" s="17" t="str">
        <f>"78433"</f>
        <v>78433</v>
      </c>
      <c r="B4824" s="5" t="s">
        <v>4979</v>
      </c>
      <c r="C4824" s="17">
        <v>20200101</v>
      </c>
      <c r="D4824" s="17">
        <v>22991231</v>
      </c>
      <c r="E4824" s="25">
        <v>1014.29</v>
      </c>
    </row>
    <row r="4825" spans="1:5" ht="26" x14ac:dyDescent="0.3">
      <c r="A4825" s="17" t="str">
        <f>"78434"</f>
        <v>78434</v>
      </c>
      <c r="B4825" s="5" t="s">
        <v>4980</v>
      </c>
      <c r="C4825" s="17">
        <v>20200101</v>
      </c>
      <c r="D4825" s="17">
        <v>22991231</v>
      </c>
      <c r="E4825" s="25">
        <v>0</v>
      </c>
    </row>
    <row r="4826" spans="1:5" ht="26" x14ac:dyDescent="0.3">
      <c r="A4826" s="17" t="str">
        <f>"78445"</f>
        <v>78445</v>
      </c>
      <c r="B4826" s="5" t="s">
        <v>4981</v>
      </c>
      <c r="C4826" s="17">
        <v>19900101</v>
      </c>
      <c r="D4826" s="17">
        <v>22991231</v>
      </c>
      <c r="E4826" s="25">
        <v>204.35</v>
      </c>
    </row>
    <row r="4827" spans="1:5" ht="26" x14ac:dyDescent="0.3">
      <c r="A4827" s="17" t="str">
        <f>"78451"</f>
        <v>78451</v>
      </c>
      <c r="B4827" s="5" t="s">
        <v>4982</v>
      </c>
      <c r="C4827" s="17">
        <v>20230101</v>
      </c>
      <c r="D4827" s="17">
        <v>22991231</v>
      </c>
      <c r="E4827" s="25">
        <v>703.54</v>
      </c>
    </row>
    <row r="4828" spans="1:5" ht="26" x14ac:dyDescent="0.3">
      <c r="A4828" s="17" t="str">
        <f>"78452"</f>
        <v>78452</v>
      </c>
      <c r="B4828" s="5" t="s">
        <v>4983</v>
      </c>
      <c r="C4828" s="17">
        <v>20230101</v>
      </c>
      <c r="D4828" s="17">
        <v>22991231</v>
      </c>
      <c r="E4828" s="25">
        <v>703.54</v>
      </c>
    </row>
    <row r="4829" spans="1:5" ht="26" x14ac:dyDescent="0.3">
      <c r="A4829" s="17" t="str">
        <f>"78453"</f>
        <v>78453</v>
      </c>
      <c r="B4829" s="5" t="s">
        <v>4984</v>
      </c>
      <c r="C4829" s="17">
        <v>20230101</v>
      </c>
      <c r="D4829" s="17">
        <v>22991231</v>
      </c>
      <c r="E4829" s="25">
        <v>703.54</v>
      </c>
    </row>
    <row r="4830" spans="1:5" ht="26" x14ac:dyDescent="0.3">
      <c r="A4830" s="17" t="str">
        <f>"78454"</f>
        <v>78454</v>
      </c>
      <c r="B4830" s="5" t="s">
        <v>4985</v>
      </c>
      <c r="C4830" s="17">
        <v>20230101</v>
      </c>
      <c r="D4830" s="17">
        <v>22991231</v>
      </c>
      <c r="E4830" s="25">
        <v>703.54</v>
      </c>
    </row>
    <row r="4831" spans="1:5" ht="26" x14ac:dyDescent="0.3">
      <c r="A4831" s="17" t="str">
        <f>"78456"</f>
        <v>78456</v>
      </c>
      <c r="B4831" s="5" t="s">
        <v>4986</v>
      </c>
      <c r="C4831" s="17">
        <v>20000101</v>
      </c>
      <c r="D4831" s="17">
        <v>22991231</v>
      </c>
      <c r="E4831" s="25">
        <v>703.54</v>
      </c>
    </row>
    <row r="4832" spans="1:5" ht="26" x14ac:dyDescent="0.3">
      <c r="A4832" s="17" t="str">
        <f>"78457"</f>
        <v>78457</v>
      </c>
      <c r="B4832" s="5" t="s">
        <v>4987</v>
      </c>
      <c r="C4832" s="17">
        <v>19900101</v>
      </c>
      <c r="D4832" s="17">
        <v>22991231</v>
      </c>
      <c r="E4832" s="25">
        <v>267.8</v>
      </c>
    </row>
    <row r="4833" spans="1:5" ht="26" x14ac:dyDescent="0.3">
      <c r="A4833" s="17" t="str">
        <f>"78458"</f>
        <v>78458</v>
      </c>
      <c r="B4833" s="5" t="s">
        <v>4988</v>
      </c>
      <c r="C4833" s="17">
        <v>19900101</v>
      </c>
      <c r="D4833" s="17">
        <v>22991231</v>
      </c>
      <c r="E4833" s="25">
        <v>204.35</v>
      </c>
    </row>
    <row r="4834" spans="1:5" ht="26" x14ac:dyDescent="0.3">
      <c r="A4834" s="17" t="str">
        <f>"78459"</f>
        <v>78459</v>
      </c>
      <c r="B4834" s="5" t="s">
        <v>4989</v>
      </c>
      <c r="C4834" s="17">
        <v>20151001</v>
      </c>
      <c r="D4834" s="17">
        <v>22991231</v>
      </c>
      <c r="E4834" s="25">
        <v>703.54</v>
      </c>
    </row>
    <row r="4835" spans="1:5" ht="26" x14ac:dyDescent="0.3">
      <c r="A4835" s="17" t="str">
        <f>"78466"</f>
        <v>78466</v>
      </c>
      <c r="B4835" s="5" t="s">
        <v>4990</v>
      </c>
      <c r="C4835" s="17">
        <v>20230101</v>
      </c>
      <c r="D4835" s="17">
        <v>22991231</v>
      </c>
      <c r="E4835" s="25">
        <v>204.35</v>
      </c>
    </row>
    <row r="4836" spans="1:5" ht="39" x14ac:dyDescent="0.3">
      <c r="A4836" s="17" t="str">
        <f>"78468"</f>
        <v>78468</v>
      </c>
      <c r="B4836" s="5" t="s">
        <v>4991</v>
      </c>
      <c r="C4836" s="17">
        <v>20230101</v>
      </c>
      <c r="D4836" s="17">
        <v>22991231</v>
      </c>
      <c r="E4836" s="25">
        <v>267.8</v>
      </c>
    </row>
    <row r="4837" spans="1:5" ht="26" x14ac:dyDescent="0.3">
      <c r="A4837" s="17" t="str">
        <f>"78469"</f>
        <v>78469</v>
      </c>
      <c r="B4837" s="5" t="s">
        <v>4992</v>
      </c>
      <c r="C4837" s="17">
        <v>20230101</v>
      </c>
      <c r="D4837" s="17">
        <v>22991231</v>
      </c>
      <c r="E4837" s="25">
        <v>267.8</v>
      </c>
    </row>
    <row r="4838" spans="1:5" ht="52" x14ac:dyDescent="0.3">
      <c r="A4838" s="17" t="str">
        <f>"78472"</f>
        <v>78472</v>
      </c>
      <c r="B4838" s="5" t="s">
        <v>4993</v>
      </c>
      <c r="C4838" s="17">
        <v>20230101</v>
      </c>
      <c r="D4838" s="17">
        <v>22991231</v>
      </c>
      <c r="E4838" s="25">
        <v>204.35</v>
      </c>
    </row>
    <row r="4839" spans="1:5" ht="52" x14ac:dyDescent="0.3">
      <c r="A4839" s="17" t="str">
        <f>"78473"</f>
        <v>78473</v>
      </c>
      <c r="B4839" s="5" t="s">
        <v>4994</v>
      </c>
      <c r="C4839" s="17">
        <v>19920115</v>
      </c>
      <c r="D4839" s="17">
        <v>22991231</v>
      </c>
      <c r="E4839" s="25">
        <v>204.35</v>
      </c>
    </row>
    <row r="4840" spans="1:5" ht="52" x14ac:dyDescent="0.3">
      <c r="A4840" s="17" t="str">
        <f>"78481"</f>
        <v>78481</v>
      </c>
      <c r="B4840" s="5" t="s">
        <v>4995</v>
      </c>
      <c r="C4840" s="17">
        <v>20230101</v>
      </c>
      <c r="D4840" s="17">
        <v>22991231</v>
      </c>
      <c r="E4840" s="25">
        <v>267.8</v>
      </c>
    </row>
    <row r="4841" spans="1:5" ht="52" x14ac:dyDescent="0.3">
      <c r="A4841" s="17" t="str">
        <f>"78483"</f>
        <v>78483</v>
      </c>
      <c r="B4841" s="5" t="s">
        <v>4996</v>
      </c>
      <c r="C4841" s="17">
        <v>19920115</v>
      </c>
      <c r="D4841" s="17">
        <v>22991231</v>
      </c>
      <c r="E4841" s="25">
        <v>267.8</v>
      </c>
    </row>
    <row r="4842" spans="1:5" ht="26" x14ac:dyDescent="0.3">
      <c r="A4842" s="17" t="str">
        <f>"78491"</f>
        <v>78491</v>
      </c>
      <c r="B4842" s="5" t="s">
        <v>4997</v>
      </c>
      <c r="C4842" s="17">
        <v>20151001</v>
      </c>
      <c r="D4842" s="17">
        <v>22991231</v>
      </c>
      <c r="E4842" s="25">
        <v>775.13</v>
      </c>
    </row>
    <row r="4843" spans="1:5" ht="26" x14ac:dyDescent="0.3">
      <c r="A4843" s="17" t="str">
        <f>"78492"</f>
        <v>78492</v>
      </c>
      <c r="B4843" s="5" t="s">
        <v>4998</v>
      </c>
      <c r="C4843" s="17">
        <v>20151001</v>
      </c>
      <c r="D4843" s="17">
        <v>22991231</v>
      </c>
      <c r="E4843" s="25">
        <v>775.13</v>
      </c>
    </row>
    <row r="4844" spans="1:5" ht="65" x14ac:dyDescent="0.3">
      <c r="A4844" s="17" t="str">
        <f>"78494"</f>
        <v>78494</v>
      </c>
      <c r="B4844" s="5" t="s">
        <v>4999</v>
      </c>
      <c r="C4844" s="17">
        <v>20151001</v>
      </c>
      <c r="D4844" s="17">
        <v>22991231</v>
      </c>
      <c r="E4844" s="25">
        <v>204.35</v>
      </c>
    </row>
    <row r="4845" spans="1:5" ht="26" x14ac:dyDescent="0.3">
      <c r="A4845" s="17" t="str">
        <f>"78496"</f>
        <v>78496</v>
      </c>
      <c r="B4845" s="5" t="s">
        <v>5000</v>
      </c>
      <c r="C4845" s="17">
        <v>20060915</v>
      </c>
      <c r="D4845" s="17">
        <v>22991231</v>
      </c>
      <c r="E4845" s="25">
        <v>0</v>
      </c>
    </row>
    <row r="4846" spans="1:5" ht="26" x14ac:dyDescent="0.3">
      <c r="A4846" s="17" t="str">
        <f>"78499"</f>
        <v>78499</v>
      </c>
      <c r="B4846" s="5" t="s">
        <v>5001</v>
      </c>
      <c r="C4846" s="17">
        <v>20151001</v>
      </c>
      <c r="D4846" s="17">
        <v>22991231</v>
      </c>
      <c r="E4846" s="25">
        <v>204.35</v>
      </c>
    </row>
    <row r="4847" spans="1:5" x14ac:dyDescent="0.3">
      <c r="A4847" s="17" t="str">
        <f>"78579"</f>
        <v>78579</v>
      </c>
      <c r="B4847" s="5" t="s">
        <v>5002</v>
      </c>
      <c r="C4847" s="17">
        <v>20230101</v>
      </c>
      <c r="D4847" s="17">
        <v>22991231</v>
      </c>
      <c r="E4847" s="25">
        <v>204.35</v>
      </c>
    </row>
    <row r="4848" spans="1:5" x14ac:dyDescent="0.3">
      <c r="A4848" s="17" t="str">
        <f>"78580"</f>
        <v>78580</v>
      </c>
      <c r="B4848" s="5" t="s">
        <v>5003</v>
      </c>
      <c r="C4848" s="17">
        <v>19900101</v>
      </c>
      <c r="D4848" s="17">
        <v>22991231</v>
      </c>
      <c r="E4848" s="25">
        <v>204.35</v>
      </c>
    </row>
    <row r="4849" spans="1:5" ht="26" x14ac:dyDescent="0.3">
      <c r="A4849" s="17" t="str">
        <f>"78582"</f>
        <v>78582</v>
      </c>
      <c r="B4849" s="5" t="s">
        <v>5004</v>
      </c>
      <c r="C4849" s="17">
        <v>20230101</v>
      </c>
      <c r="D4849" s="17">
        <v>22991231</v>
      </c>
      <c r="E4849" s="25">
        <v>267.8</v>
      </c>
    </row>
    <row r="4850" spans="1:5" ht="26" x14ac:dyDescent="0.3">
      <c r="A4850" s="17" t="str">
        <f>"78597"</f>
        <v>78597</v>
      </c>
      <c r="B4850" s="5" t="s">
        <v>5005</v>
      </c>
      <c r="C4850" s="17">
        <v>20230101</v>
      </c>
      <c r="D4850" s="17">
        <v>22991231</v>
      </c>
      <c r="E4850" s="25">
        <v>204.35</v>
      </c>
    </row>
    <row r="4851" spans="1:5" ht="26" x14ac:dyDescent="0.3">
      <c r="A4851" s="17" t="str">
        <f>"78598"</f>
        <v>78598</v>
      </c>
      <c r="B4851" s="5" t="s">
        <v>5006</v>
      </c>
      <c r="C4851" s="17">
        <v>20230101</v>
      </c>
      <c r="D4851" s="17">
        <v>22991231</v>
      </c>
      <c r="E4851" s="25">
        <v>267.8</v>
      </c>
    </row>
    <row r="4852" spans="1:5" ht="26" x14ac:dyDescent="0.3">
      <c r="A4852" s="17" t="str">
        <f>"78599"</f>
        <v>78599</v>
      </c>
      <c r="B4852" s="5" t="s">
        <v>5007</v>
      </c>
      <c r="C4852" s="17">
        <v>20151001</v>
      </c>
      <c r="D4852" s="17">
        <v>22991231</v>
      </c>
      <c r="E4852" s="25">
        <v>204.35</v>
      </c>
    </row>
    <row r="4853" spans="1:5" ht="26" x14ac:dyDescent="0.3">
      <c r="A4853" s="17" t="str">
        <f>"78600"</f>
        <v>78600</v>
      </c>
      <c r="B4853" s="5" t="s">
        <v>5008</v>
      </c>
      <c r="C4853" s="17">
        <v>19900101</v>
      </c>
      <c r="D4853" s="17">
        <v>22991231</v>
      </c>
      <c r="E4853" s="25">
        <v>204.35</v>
      </c>
    </row>
    <row r="4854" spans="1:5" x14ac:dyDescent="0.3">
      <c r="A4854" s="17" t="str">
        <f>"78601"</f>
        <v>78601</v>
      </c>
      <c r="B4854" s="5" t="s">
        <v>5009</v>
      </c>
      <c r="C4854" s="17">
        <v>19900101</v>
      </c>
      <c r="D4854" s="17">
        <v>22991231</v>
      </c>
      <c r="E4854" s="25">
        <v>204.35</v>
      </c>
    </row>
    <row r="4855" spans="1:5" ht="26" x14ac:dyDescent="0.3">
      <c r="A4855" s="17" t="str">
        <f>"78605"</f>
        <v>78605</v>
      </c>
      <c r="B4855" s="5" t="s">
        <v>5010</v>
      </c>
      <c r="C4855" s="17">
        <v>19900101</v>
      </c>
      <c r="D4855" s="17">
        <v>22991231</v>
      </c>
      <c r="E4855" s="25">
        <v>267.8</v>
      </c>
    </row>
    <row r="4856" spans="1:5" ht="26" x14ac:dyDescent="0.3">
      <c r="A4856" s="17" t="str">
        <f>"78606"</f>
        <v>78606</v>
      </c>
      <c r="B4856" s="5" t="s">
        <v>5011</v>
      </c>
      <c r="C4856" s="17">
        <v>19900101</v>
      </c>
      <c r="D4856" s="17">
        <v>22991231</v>
      </c>
      <c r="E4856" s="25">
        <v>267.8</v>
      </c>
    </row>
    <row r="4857" spans="1:5" ht="26" x14ac:dyDescent="0.3">
      <c r="A4857" s="17" t="str">
        <f>"78608"</f>
        <v>78608</v>
      </c>
      <c r="B4857" s="5" t="s">
        <v>5012</v>
      </c>
      <c r="C4857" s="17">
        <v>20151001</v>
      </c>
      <c r="D4857" s="17">
        <v>22991231</v>
      </c>
      <c r="E4857" s="25">
        <v>775.13</v>
      </c>
    </row>
    <row r="4858" spans="1:5" ht="26" x14ac:dyDescent="0.3">
      <c r="A4858" s="17" t="str">
        <f>"78609"</f>
        <v>78609</v>
      </c>
      <c r="B4858" s="5" t="s">
        <v>5013</v>
      </c>
      <c r="C4858" s="17">
        <v>20151001</v>
      </c>
      <c r="D4858" s="17">
        <v>22991231</v>
      </c>
      <c r="E4858" s="24" t="s">
        <v>7128</v>
      </c>
    </row>
    <row r="4859" spans="1:5" x14ac:dyDescent="0.3">
      <c r="A4859" s="17" t="str">
        <f>"78610"</f>
        <v>78610</v>
      </c>
      <c r="B4859" s="5" t="s">
        <v>5014</v>
      </c>
      <c r="C4859" s="17">
        <v>19900101</v>
      </c>
      <c r="D4859" s="17">
        <v>22991231</v>
      </c>
      <c r="E4859" s="25">
        <v>267.8</v>
      </c>
    </row>
    <row r="4860" spans="1:5" ht="26" x14ac:dyDescent="0.3">
      <c r="A4860" s="17" t="str">
        <f>"78630"</f>
        <v>78630</v>
      </c>
      <c r="B4860" s="5" t="s">
        <v>5015</v>
      </c>
      <c r="C4860" s="17">
        <v>19900101</v>
      </c>
      <c r="D4860" s="17">
        <v>22991231</v>
      </c>
      <c r="E4860" s="25">
        <v>267.8</v>
      </c>
    </row>
    <row r="4861" spans="1:5" ht="26" x14ac:dyDescent="0.3">
      <c r="A4861" s="17" t="str">
        <f>"78635"</f>
        <v>78635</v>
      </c>
      <c r="B4861" s="5" t="s">
        <v>5016</v>
      </c>
      <c r="C4861" s="17">
        <v>19900101</v>
      </c>
      <c r="D4861" s="17">
        <v>22991231</v>
      </c>
      <c r="E4861" s="25">
        <v>267.8</v>
      </c>
    </row>
    <row r="4862" spans="1:5" ht="26" x14ac:dyDescent="0.3">
      <c r="A4862" s="17" t="str">
        <f>"78645"</f>
        <v>78645</v>
      </c>
      <c r="B4862" s="5" t="s">
        <v>5017</v>
      </c>
      <c r="C4862" s="17">
        <v>19900101</v>
      </c>
      <c r="D4862" s="17">
        <v>22991231</v>
      </c>
      <c r="E4862" s="25">
        <v>267.8</v>
      </c>
    </row>
    <row r="4863" spans="1:5" ht="26" x14ac:dyDescent="0.3">
      <c r="A4863" s="17" t="str">
        <f>"78650"</f>
        <v>78650</v>
      </c>
      <c r="B4863" s="5" t="s">
        <v>5018</v>
      </c>
      <c r="C4863" s="17">
        <v>19900101</v>
      </c>
      <c r="D4863" s="17">
        <v>22991231</v>
      </c>
      <c r="E4863" s="25">
        <v>703.54</v>
      </c>
    </row>
    <row r="4864" spans="1:5" ht="26" x14ac:dyDescent="0.3">
      <c r="A4864" s="17" t="str">
        <f>"78660"</f>
        <v>78660</v>
      </c>
      <c r="B4864" s="5" t="s">
        <v>5019</v>
      </c>
      <c r="C4864" s="17">
        <v>19900101</v>
      </c>
      <c r="D4864" s="17">
        <v>22991231</v>
      </c>
      <c r="E4864" s="25">
        <v>204.35</v>
      </c>
    </row>
    <row r="4865" spans="1:5" x14ac:dyDescent="0.3">
      <c r="A4865" s="17" t="str">
        <f>"78699"</f>
        <v>78699</v>
      </c>
      <c r="B4865" s="5" t="s">
        <v>5020</v>
      </c>
      <c r="C4865" s="17">
        <v>20151001</v>
      </c>
      <c r="D4865" s="17">
        <v>22991231</v>
      </c>
      <c r="E4865" s="25">
        <v>204.35</v>
      </c>
    </row>
    <row r="4866" spans="1:5" x14ac:dyDescent="0.3">
      <c r="A4866" s="17" t="str">
        <f>"78700"</f>
        <v>78700</v>
      </c>
      <c r="B4866" s="5" t="s">
        <v>5021</v>
      </c>
      <c r="C4866" s="17">
        <v>19900101</v>
      </c>
      <c r="D4866" s="17">
        <v>22991231</v>
      </c>
      <c r="E4866" s="25">
        <v>204.35</v>
      </c>
    </row>
    <row r="4867" spans="1:5" ht="26" x14ac:dyDescent="0.3">
      <c r="A4867" s="17" t="str">
        <f>"78701"</f>
        <v>78701</v>
      </c>
      <c r="B4867" s="5" t="s">
        <v>5022</v>
      </c>
      <c r="C4867" s="17">
        <v>19900101</v>
      </c>
      <c r="D4867" s="17">
        <v>22991231</v>
      </c>
      <c r="E4867" s="25">
        <v>204.35</v>
      </c>
    </row>
    <row r="4868" spans="1:5" ht="26" x14ac:dyDescent="0.3">
      <c r="A4868" s="17" t="str">
        <f>"78707"</f>
        <v>78707</v>
      </c>
      <c r="B4868" s="5" t="s">
        <v>5023</v>
      </c>
      <c r="C4868" s="17">
        <v>19900101</v>
      </c>
      <c r="D4868" s="17">
        <v>22991231</v>
      </c>
      <c r="E4868" s="25">
        <v>267.8</v>
      </c>
    </row>
    <row r="4869" spans="1:5" ht="26" x14ac:dyDescent="0.3">
      <c r="A4869" s="17" t="str">
        <f>"78708"</f>
        <v>78708</v>
      </c>
      <c r="B4869" s="5" t="s">
        <v>5024</v>
      </c>
      <c r="C4869" s="17">
        <v>19980101</v>
      </c>
      <c r="D4869" s="17">
        <v>22991231</v>
      </c>
      <c r="E4869" s="25">
        <v>267.8</v>
      </c>
    </row>
    <row r="4870" spans="1:5" ht="26" x14ac:dyDescent="0.3">
      <c r="A4870" s="17" t="str">
        <f>"78709"</f>
        <v>78709</v>
      </c>
      <c r="B4870" s="5" t="s">
        <v>5025</v>
      </c>
      <c r="C4870" s="17">
        <v>19980101</v>
      </c>
      <c r="D4870" s="17">
        <v>22991231</v>
      </c>
      <c r="E4870" s="25">
        <v>267.8</v>
      </c>
    </row>
    <row r="4871" spans="1:5" x14ac:dyDescent="0.3">
      <c r="A4871" s="17" t="str">
        <f>"78725"</f>
        <v>78725</v>
      </c>
      <c r="B4871" s="5" t="s">
        <v>5026</v>
      </c>
      <c r="C4871" s="17">
        <v>19900101</v>
      </c>
      <c r="D4871" s="17">
        <v>22991231</v>
      </c>
      <c r="E4871" s="25">
        <v>204.35</v>
      </c>
    </row>
    <row r="4872" spans="1:5" ht="26" x14ac:dyDescent="0.3">
      <c r="A4872" s="17" t="str">
        <f>"78730"</f>
        <v>78730</v>
      </c>
      <c r="B4872" s="5" t="s">
        <v>5027</v>
      </c>
      <c r="C4872" s="17">
        <v>19900101</v>
      </c>
      <c r="D4872" s="17">
        <v>22991231</v>
      </c>
      <c r="E4872" s="25">
        <v>0</v>
      </c>
    </row>
    <row r="4873" spans="1:5" x14ac:dyDescent="0.3">
      <c r="A4873" s="17" t="str">
        <f>"78740"</f>
        <v>78740</v>
      </c>
      <c r="B4873" s="5" t="s">
        <v>5028</v>
      </c>
      <c r="C4873" s="17">
        <v>19900101</v>
      </c>
      <c r="D4873" s="17">
        <v>22991231</v>
      </c>
      <c r="E4873" s="25">
        <v>204.35</v>
      </c>
    </row>
    <row r="4874" spans="1:5" ht="26" x14ac:dyDescent="0.3">
      <c r="A4874" s="17" t="str">
        <f>"78761"</f>
        <v>78761</v>
      </c>
      <c r="B4874" s="5" t="s">
        <v>5029</v>
      </c>
      <c r="C4874" s="17">
        <v>19900101</v>
      </c>
      <c r="D4874" s="17">
        <v>22991231</v>
      </c>
      <c r="E4874" s="25">
        <v>204.35</v>
      </c>
    </row>
    <row r="4875" spans="1:5" ht="26" x14ac:dyDescent="0.3">
      <c r="A4875" s="17" t="str">
        <f>"78799"</f>
        <v>78799</v>
      </c>
      <c r="B4875" s="5" t="s">
        <v>5030</v>
      </c>
      <c r="C4875" s="17">
        <v>20151001</v>
      </c>
      <c r="D4875" s="17">
        <v>22991231</v>
      </c>
      <c r="E4875" s="25">
        <v>204.35</v>
      </c>
    </row>
    <row r="4876" spans="1:5" x14ac:dyDescent="0.3">
      <c r="A4876" s="17" t="str">
        <f>"78800"</f>
        <v>78800</v>
      </c>
      <c r="B4876" s="5" t="s">
        <v>5031</v>
      </c>
      <c r="C4876" s="17">
        <v>19900101</v>
      </c>
      <c r="D4876" s="17">
        <v>22991231</v>
      </c>
      <c r="E4876" s="25">
        <v>204.35</v>
      </c>
    </row>
    <row r="4877" spans="1:5" x14ac:dyDescent="0.3">
      <c r="A4877" s="17" t="str">
        <f>"78801"</f>
        <v>78801</v>
      </c>
      <c r="B4877" s="5" t="s">
        <v>5032</v>
      </c>
      <c r="C4877" s="17">
        <v>19900101</v>
      </c>
      <c r="D4877" s="17">
        <v>22991231</v>
      </c>
      <c r="E4877" s="25">
        <v>204.35</v>
      </c>
    </row>
    <row r="4878" spans="1:5" x14ac:dyDescent="0.3">
      <c r="A4878" s="17" t="str">
        <f>"78802"</f>
        <v>78802</v>
      </c>
      <c r="B4878" s="5" t="s">
        <v>5033</v>
      </c>
      <c r="C4878" s="17">
        <v>19900101</v>
      </c>
      <c r="D4878" s="17">
        <v>22991231</v>
      </c>
      <c r="E4878" s="25">
        <v>703.54</v>
      </c>
    </row>
    <row r="4879" spans="1:5" ht="26" x14ac:dyDescent="0.3">
      <c r="A4879" s="17" t="str">
        <f>"78803"</f>
        <v>78803</v>
      </c>
      <c r="B4879" s="5" t="s">
        <v>5034</v>
      </c>
      <c r="C4879" s="17">
        <v>20200101</v>
      </c>
      <c r="D4879" s="17">
        <v>22991231</v>
      </c>
      <c r="E4879" s="25">
        <v>703.54</v>
      </c>
    </row>
    <row r="4880" spans="1:5" ht="26" x14ac:dyDescent="0.3">
      <c r="A4880" s="17" t="str">
        <f>"78804"</f>
        <v>78804</v>
      </c>
      <c r="B4880" s="5" t="s">
        <v>5035</v>
      </c>
      <c r="C4880" s="17">
        <v>20200101</v>
      </c>
      <c r="D4880" s="17">
        <v>22991231</v>
      </c>
      <c r="E4880" s="25">
        <v>703.54</v>
      </c>
    </row>
    <row r="4881" spans="1:5" ht="26" x14ac:dyDescent="0.3">
      <c r="A4881" s="17" t="str">
        <f>"78808"</f>
        <v>78808</v>
      </c>
      <c r="B4881" s="5" t="s">
        <v>5036</v>
      </c>
      <c r="C4881" s="17">
        <v>20230101</v>
      </c>
      <c r="D4881" s="17">
        <v>22991231</v>
      </c>
      <c r="E4881" s="25">
        <v>0</v>
      </c>
    </row>
    <row r="4882" spans="1:5" x14ac:dyDescent="0.3">
      <c r="A4882" s="17" t="str">
        <f>"78811"</f>
        <v>78811</v>
      </c>
      <c r="B4882" s="5" t="s">
        <v>5037</v>
      </c>
      <c r="C4882" s="17">
        <v>20230101</v>
      </c>
      <c r="D4882" s="17">
        <v>22991231</v>
      </c>
      <c r="E4882" s="25">
        <v>703.54</v>
      </c>
    </row>
    <row r="4883" spans="1:5" ht="26" x14ac:dyDescent="0.3">
      <c r="A4883" s="17" t="str">
        <f>"78812"</f>
        <v>78812</v>
      </c>
      <c r="B4883" s="5" t="s">
        <v>5038</v>
      </c>
      <c r="C4883" s="17">
        <v>20230101</v>
      </c>
      <c r="D4883" s="17">
        <v>22991231</v>
      </c>
      <c r="E4883" s="25">
        <v>775.13</v>
      </c>
    </row>
    <row r="4884" spans="1:5" x14ac:dyDescent="0.3">
      <c r="A4884" s="17" t="str">
        <f>"78813"</f>
        <v>78813</v>
      </c>
      <c r="B4884" s="5" t="s">
        <v>5039</v>
      </c>
      <c r="C4884" s="17">
        <v>20230101</v>
      </c>
      <c r="D4884" s="17">
        <v>22991231</v>
      </c>
      <c r="E4884" s="25">
        <v>775.13</v>
      </c>
    </row>
    <row r="4885" spans="1:5" ht="26" x14ac:dyDescent="0.3">
      <c r="A4885" s="17" t="str">
        <f>"78814"</f>
        <v>78814</v>
      </c>
      <c r="B4885" s="5" t="s">
        <v>5040</v>
      </c>
      <c r="C4885" s="17">
        <v>20230101</v>
      </c>
      <c r="D4885" s="17">
        <v>22991231</v>
      </c>
      <c r="E4885" s="25">
        <v>775.13</v>
      </c>
    </row>
    <row r="4886" spans="1:5" ht="26" x14ac:dyDescent="0.3">
      <c r="A4886" s="17" t="str">
        <f>"78815"</f>
        <v>78815</v>
      </c>
      <c r="B4886" s="5" t="s">
        <v>5041</v>
      </c>
      <c r="C4886" s="17">
        <v>20230101</v>
      </c>
      <c r="D4886" s="17">
        <v>22991231</v>
      </c>
      <c r="E4886" s="25">
        <v>775.13</v>
      </c>
    </row>
    <row r="4887" spans="1:5" ht="26" x14ac:dyDescent="0.3">
      <c r="A4887" s="17" t="str">
        <f>"78816"</f>
        <v>78816</v>
      </c>
      <c r="B4887" s="5" t="s">
        <v>5042</v>
      </c>
      <c r="C4887" s="17">
        <v>20230101</v>
      </c>
      <c r="D4887" s="17">
        <v>22991231</v>
      </c>
      <c r="E4887" s="25">
        <v>775.13</v>
      </c>
    </row>
    <row r="4888" spans="1:5" ht="39" x14ac:dyDescent="0.3">
      <c r="A4888" s="17" t="str">
        <f>"78830"</f>
        <v>78830</v>
      </c>
      <c r="B4888" s="5" t="s">
        <v>5043</v>
      </c>
      <c r="C4888" s="17">
        <v>20200101</v>
      </c>
      <c r="D4888" s="17">
        <v>22991231</v>
      </c>
      <c r="E4888" s="25">
        <v>703.54</v>
      </c>
    </row>
    <row r="4889" spans="1:5" ht="52" x14ac:dyDescent="0.3">
      <c r="A4889" s="17" t="str">
        <f>"78831"</f>
        <v>78831</v>
      </c>
      <c r="B4889" s="5" t="s">
        <v>5044</v>
      </c>
      <c r="C4889" s="17">
        <v>20200101</v>
      </c>
      <c r="D4889" s="17">
        <v>22991231</v>
      </c>
      <c r="E4889" s="25">
        <v>703.54</v>
      </c>
    </row>
    <row r="4890" spans="1:5" ht="52" x14ac:dyDescent="0.3">
      <c r="A4890" s="17" t="str">
        <f>"78832"</f>
        <v>78832</v>
      </c>
      <c r="B4890" s="5" t="s">
        <v>5045</v>
      </c>
      <c r="C4890" s="17">
        <v>20200101</v>
      </c>
      <c r="D4890" s="17">
        <v>22991231</v>
      </c>
      <c r="E4890" s="25">
        <v>775.13</v>
      </c>
    </row>
    <row r="4891" spans="1:5" x14ac:dyDescent="0.3">
      <c r="A4891" s="17" t="str">
        <f>"78835"</f>
        <v>78835</v>
      </c>
      <c r="B4891" s="5" t="s">
        <v>5046</v>
      </c>
      <c r="C4891" s="17">
        <v>20200101</v>
      </c>
      <c r="D4891" s="17">
        <v>22991231</v>
      </c>
      <c r="E4891" s="24" t="s">
        <v>7128</v>
      </c>
    </row>
    <row r="4892" spans="1:5" x14ac:dyDescent="0.3">
      <c r="A4892" s="17" t="str">
        <f>"78999"</f>
        <v>78999</v>
      </c>
      <c r="B4892" s="5" t="s">
        <v>5047</v>
      </c>
      <c r="C4892" s="17">
        <v>20151001</v>
      </c>
      <c r="D4892" s="17">
        <v>22991231</v>
      </c>
      <c r="E4892" s="25">
        <v>204.35</v>
      </c>
    </row>
    <row r="4893" spans="1:5" x14ac:dyDescent="0.3">
      <c r="A4893" s="17" t="str">
        <f>"79005"</f>
        <v>79005</v>
      </c>
      <c r="B4893" s="5" t="s">
        <v>5048</v>
      </c>
      <c r="C4893" s="17">
        <v>20230101</v>
      </c>
      <c r="D4893" s="17">
        <v>22991231</v>
      </c>
      <c r="E4893" s="25">
        <v>66.31</v>
      </c>
    </row>
    <row r="4894" spans="1:5" x14ac:dyDescent="0.3">
      <c r="A4894" s="17" t="str">
        <f>"79101"</f>
        <v>79101</v>
      </c>
      <c r="B4894" s="5" t="s">
        <v>5049</v>
      </c>
      <c r="C4894" s="17">
        <v>20230101</v>
      </c>
      <c r="D4894" s="17">
        <v>22991231</v>
      </c>
      <c r="E4894" s="25">
        <v>72.25</v>
      </c>
    </row>
    <row r="4895" spans="1:5" x14ac:dyDescent="0.3">
      <c r="A4895" s="17" t="str">
        <f>"79200"</f>
        <v>79200</v>
      </c>
      <c r="B4895" s="5" t="s">
        <v>5050</v>
      </c>
      <c r="C4895" s="17">
        <v>19900101</v>
      </c>
      <c r="D4895" s="17">
        <v>22991231</v>
      </c>
      <c r="E4895" s="25">
        <v>58.17</v>
      </c>
    </row>
    <row r="4896" spans="1:5" x14ac:dyDescent="0.3">
      <c r="A4896" s="17" t="str">
        <f>"79300"</f>
        <v>79300</v>
      </c>
      <c r="B4896" s="5" t="s">
        <v>5051</v>
      </c>
      <c r="C4896" s="17">
        <v>19900101</v>
      </c>
      <c r="D4896" s="17">
        <v>22991231</v>
      </c>
      <c r="E4896" s="25">
        <v>123.26</v>
      </c>
    </row>
    <row r="4897" spans="1:5" ht="26" x14ac:dyDescent="0.3">
      <c r="A4897" s="17" t="str">
        <f>"79403"</f>
        <v>79403</v>
      </c>
      <c r="B4897" s="5" t="s">
        <v>5052</v>
      </c>
      <c r="C4897" s="17">
        <v>20230101</v>
      </c>
      <c r="D4897" s="17">
        <v>22991231</v>
      </c>
      <c r="E4897" s="25">
        <v>121.97</v>
      </c>
    </row>
    <row r="4898" spans="1:5" x14ac:dyDescent="0.3">
      <c r="A4898" s="17" t="str">
        <f>"79440"</f>
        <v>79440</v>
      </c>
      <c r="B4898" s="5" t="s">
        <v>5053</v>
      </c>
      <c r="C4898" s="17">
        <v>19900101</v>
      </c>
      <c r="D4898" s="17">
        <v>22991231</v>
      </c>
      <c r="E4898" s="25">
        <v>46.29</v>
      </c>
    </row>
    <row r="4899" spans="1:5" ht="26" x14ac:dyDescent="0.3">
      <c r="A4899" s="17" t="str">
        <f>"79445"</f>
        <v>79445</v>
      </c>
      <c r="B4899" s="5" t="s">
        <v>5054</v>
      </c>
      <c r="C4899" s="17">
        <v>20230101</v>
      </c>
      <c r="D4899" s="17">
        <v>22991231</v>
      </c>
      <c r="E4899" s="25">
        <v>123.26</v>
      </c>
    </row>
    <row r="4900" spans="1:5" x14ac:dyDescent="0.3">
      <c r="A4900" s="17" t="str">
        <f>"79999"</f>
        <v>79999</v>
      </c>
      <c r="B4900" s="5" t="s">
        <v>5055</v>
      </c>
      <c r="C4900" s="17">
        <v>20151001</v>
      </c>
      <c r="D4900" s="17">
        <v>22991231</v>
      </c>
      <c r="E4900" s="25">
        <v>123.26</v>
      </c>
    </row>
    <row r="4901" spans="1:5" x14ac:dyDescent="0.3">
      <c r="A4901" s="17" t="str">
        <f>"90284"</f>
        <v>90284</v>
      </c>
      <c r="B4901" s="5" t="s">
        <v>5056</v>
      </c>
      <c r="C4901" s="17">
        <v>20080101</v>
      </c>
      <c r="D4901" s="17">
        <v>22991231</v>
      </c>
      <c r="E4901" s="24" t="s">
        <v>7128</v>
      </c>
    </row>
    <row r="4902" spans="1:5" ht="26" x14ac:dyDescent="0.3">
      <c r="A4902" s="17" t="str">
        <f>"90371"</f>
        <v>90371</v>
      </c>
      <c r="B4902" s="5" t="s">
        <v>5057</v>
      </c>
      <c r="C4902" s="17">
        <v>20230101</v>
      </c>
      <c r="D4902" s="17">
        <v>22991231</v>
      </c>
      <c r="E4902" s="25">
        <v>131.71</v>
      </c>
    </row>
    <row r="4903" spans="1:5" x14ac:dyDescent="0.3">
      <c r="A4903" s="17" t="str">
        <f>"90375"</f>
        <v>90375</v>
      </c>
      <c r="B4903" s="5" t="s">
        <v>5058</v>
      </c>
      <c r="C4903" s="17">
        <v>20230101</v>
      </c>
      <c r="D4903" s="17">
        <v>22991231</v>
      </c>
      <c r="E4903" s="25">
        <v>276.97000000000003</v>
      </c>
    </row>
    <row r="4904" spans="1:5" ht="26" x14ac:dyDescent="0.3">
      <c r="A4904" s="17" t="str">
        <f>"90376"</f>
        <v>90376</v>
      </c>
      <c r="B4904" s="5" t="s">
        <v>5059</v>
      </c>
      <c r="C4904" s="17">
        <v>20230101</v>
      </c>
      <c r="D4904" s="17">
        <v>22991231</v>
      </c>
      <c r="E4904" s="25">
        <v>458.2</v>
      </c>
    </row>
    <row r="4905" spans="1:5" ht="26" x14ac:dyDescent="0.3">
      <c r="A4905" s="17" t="str">
        <f>"90377"</f>
        <v>90377</v>
      </c>
      <c r="B4905" s="5" t="s">
        <v>5060</v>
      </c>
      <c r="C4905" s="17">
        <v>20230101</v>
      </c>
      <c r="D4905" s="17">
        <v>22991231</v>
      </c>
      <c r="E4905" s="25">
        <v>244.81</v>
      </c>
    </row>
    <row r="4906" spans="1:5" ht="26" x14ac:dyDescent="0.3">
      <c r="A4906" s="17" t="str">
        <f>"90378"</f>
        <v>90378</v>
      </c>
      <c r="B4906" s="5" t="s">
        <v>5061</v>
      </c>
      <c r="C4906" s="17">
        <v>20230101</v>
      </c>
      <c r="D4906" s="17">
        <v>22991231</v>
      </c>
      <c r="E4906" s="25">
        <v>0</v>
      </c>
    </row>
    <row r="4907" spans="1:5" ht="26" x14ac:dyDescent="0.3">
      <c r="A4907" s="17" t="str">
        <f>"90384"</f>
        <v>90384</v>
      </c>
      <c r="B4907" s="5" t="s">
        <v>5062</v>
      </c>
      <c r="C4907" s="17">
        <v>19990101</v>
      </c>
      <c r="D4907" s="17">
        <v>22991231</v>
      </c>
      <c r="E4907" s="24" t="s">
        <v>7128</v>
      </c>
    </row>
    <row r="4908" spans="1:5" ht="26" x14ac:dyDescent="0.3">
      <c r="A4908" s="17" t="str">
        <f>"90385"</f>
        <v>90385</v>
      </c>
      <c r="B4908" s="5" t="s">
        <v>5063</v>
      </c>
      <c r="C4908" s="17">
        <v>19990101</v>
      </c>
      <c r="D4908" s="17">
        <v>22991231</v>
      </c>
      <c r="E4908" s="24" t="s">
        <v>7128</v>
      </c>
    </row>
    <row r="4909" spans="1:5" x14ac:dyDescent="0.3">
      <c r="A4909" s="17" t="str">
        <f>"90386"</f>
        <v>90386</v>
      </c>
      <c r="B4909" s="5" t="s">
        <v>5064</v>
      </c>
      <c r="C4909" s="17">
        <v>19990101</v>
      </c>
      <c r="D4909" s="17">
        <v>22991231</v>
      </c>
      <c r="E4909" s="24" t="s">
        <v>7128</v>
      </c>
    </row>
    <row r="4910" spans="1:5" ht="26" x14ac:dyDescent="0.3">
      <c r="A4910" s="17" t="str">
        <f>"90393"</f>
        <v>90393</v>
      </c>
      <c r="B4910" s="5" t="s">
        <v>5065</v>
      </c>
      <c r="C4910" s="17">
        <v>20230101</v>
      </c>
      <c r="D4910" s="17">
        <v>22991231</v>
      </c>
      <c r="E4910" s="24">
        <v>0</v>
      </c>
    </row>
    <row r="4911" spans="1:5" ht="26" x14ac:dyDescent="0.3">
      <c r="A4911" s="17" t="str">
        <f>"90396"</f>
        <v>90396</v>
      </c>
      <c r="B4911" s="5" t="s">
        <v>5066</v>
      </c>
      <c r="C4911" s="17">
        <v>20230101</v>
      </c>
      <c r="D4911" s="17">
        <v>22991231</v>
      </c>
      <c r="E4911" s="25">
        <v>2154.77</v>
      </c>
    </row>
    <row r="4912" spans="1:5" x14ac:dyDescent="0.3">
      <c r="A4912" s="17" t="str">
        <f>"90476"</f>
        <v>90476</v>
      </c>
      <c r="B4912" s="5" t="s">
        <v>5067</v>
      </c>
      <c r="C4912" s="17">
        <v>20230101</v>
      </c>
      <c r="D4912" s="17">
        <v>22991231</v>
      </c>
      <c r="E4912" s="25">
        <v>43.94</v>
      </c>
    </row>
    <row r="4913" spans="1:5" ht="52" x14ac:dyDescent="0.3">
      <c r="A4913" s="17" t="str">
        <f>"90480"</f>
        <v>90480</v>
      </c>
      <c r="B4913" s="5" t="s">
        <v>5068</v>
      </c>
      <c r="C4913" s="17">
        <v>20230911</v>
      </c>
      <c r="D4913" s="17">
        <v>22991231</v>
      </c>
      <c r="E4913" s="24" t="s">
        <v>7128</v>
      </c>
    </row>
    <row r="4914" spans="1:5" x14ac:dyDescent="0.3">
      <c r="A4914" s="17" t="str">
        <f>"90581"</f>
        <v>90581</v>
      </c>
      <c r="B4914" s="5" t="s">
        <v>5069</v>
      </c>
      <c r="C4914" s="17">
        <v>20230101</v>
      </c>
      <c r="D4914" s="17">
        <v>22991231</v>
      </c>
      <c r="E4914" s="25">
        <v>0</v>
      </c>
    </row>
    <row r="4915" spans="1:5" ht="52" x14ac:dyDescent="0.3">
      <c r="A4915" s="17" t="str">
        <f>"90611"</f>
        <v>90611</v>
      </c>
      <c r="B4915" s="5" t="s">
        <v>5070</v>
      </c>
      <c r="C4915" s="17">
        <v>20220726</v>
      </c>
      <c r="D4915" s="17">
        <v>22991231</v>
      </c>
      <c r="E4915" s="25">
        <v>0</v>
      </c>
    </row>
    <row r="4916" spans="1:5" ht="26" x14ac:dyDescent="0.3">
      <c r="A4916" s="17" t="str">
        <f>"90622"</f>
        <v>90622</v>
      </c>
      <c r="B4916" s="5" t="s">
        <v>5071</v>
      </c>
      <c r="C4916" s="17">
        <v>20220726</v>
      </c>
      <c r="D4916" s="17">
        <v>22991231</v>
      </c>
      <c r="E4916" s="25">
        <v>0</v>
      </c>
    </row>
    <row r="4917" spans="1:5" x14ac:dyDescent="0.3">
      <c r="A4917" s="17" t="str">
        <f>"90630"</f>
        <v>90630</v>
      </c>
      <c r="B4917" s="5" t="s">
        <v>5072</v>
      </c>
      <c r="C4917" s="17">
        <v>20230101</v>
      </c>
      <c r="D4917" s="17">
        <v>22991231</v>
      </c>
      <c r="E4917" s="25">
        <v>0</v>
      </c>
    </row>
    <row r="4918" spans="1:5" x14ac:dyDescent="0.3">
      <c r="A4918" s="17" t="str">
        <f>"90632"</f>
        <v>90632</v>
      </c>
      <c r="B4918" s="5" t="s">
        <v>5073</v>
      </c>
      <c r="C4918" s="17">
        <v>20230101</v>
      </c>
      <c r="D4918" s="17">
        <v>22991231</v>
      </c>
      <c r="E4918" s="25">
        <v>0</v>
      </c>
    </row>
    <row r="4919" spans="1:5" ht="26" x14ac:dyDescent="0.3">
      <c r="A4919" s="17" t="str">
        <f>"90633"</f>
        <v>90633</v>
      </c>
      <c r="B4919" s="5" t="s">
        <v>5074</v>
      </c>
      <c r="C4919" s="17">
        <v>20230101</v>
      </c>
      <c r="D4919" s="17">
        <v>22991231</v>
      </c>
      <c r="E4919" s="25">
        <v>0</v>
      </c>
    </row>
    <row r="4920" spans="1:5" ht="26" x14ac:dyDescent="0.3">
      <c r="A4920" s="17" t="str">
        <f>"90634"</f>
        <v>90634</v>
      </c>
      <c r="B4920" s="5" t="s">
        <v>5075</v>
      </c>
      <c r="C4920" s="17">
        <v>20230101</v>
      </c>
      <c r="D4920" s="17">
        <v>22991231</v>
      </c>
      <c r="E4920" s="25">
        <v>0</v>
      </c>
    </row>
    <row r="4921" spans="1:5" x14ac:dyDescent="0.3">
      <c r="A4921" s="17" t="str">
        <f>"90636"</f>
        <v>90636</v>
      </c>
      <c r="B4921" s="5" t="s">
        <v>5076</v>
      </c>
      <c r="C4921" s="17">
        <v>20230101</v>
      </c>
      <c r="D4921" s="17">
        <v>22991231</v>
      </c>
      <c r="E4921" s="25">
        <v>0</v>
      </c>
    </row>
    <row r="4922" spans="1:5" ht="26" x14ac:dyDescent="0.3">
      <c r="A4922" s="17" t="str">
        <f>"90647"</f>
        <v>90647</v>
      </c>
      <c r="B4922" s="5" t="s">
        <v>5077</v>
      </c>
      <c r="C4922" s="17">
        <v>19990101</v>
      </c>
      <c r="D4922" s="17">
        <v>22991231</v>
      </c>
      <c r="E4922" s="25">
        <v>0</v>
      </c>
    </row>
    <row r="4923" spans="1:5" ht="26" x14ac:dyDescent="0.3">
      <c r="A4923" s="17" t="str">
        <f>"90648"</f>
        <v>90648</v>
      </c>
      <c r="B4923" s="5" t="s">
        <v>5078</v>
      </c>
      <c r="C4923" s="17">
        <v>19990101</v>
      </c>
      <c r="D4923" s="17">
        <v>22991231</v>
      </c>
      <c r="E4923" s="25">
        <v>0</v>
      </c>
    </row>
    <row r="4924" spans="1:5" x14ac:dyDescent="0.3">
      <c r="A4924" s="17" t="str">
        <f>"90653"</f>
        <v>90653</v>
      </c>
      <c r="B4924" s="5" t="s">
        <v>5079</v>
      </c>
      <c r="C4924" s="17">
        <v>20230101</v>
      </c>
      <c r="D4924" s="17">
        <v>22991231</v>
      </c>
      <c r="E4924" s="25">
        <v>0</v>
      </c>
    </row>
    <row r="4925" spans="1:5" ht="26" x14ac:dyDescent="0.3">
      <c r="A4925" s="17" t="str">
        <f>"90654"</f>
        <v>90654</v>
      </c>
      <c r="B4925" s="5" t="s">
        <v>5080</v>
      </c>
      <c r="C4925" s="17">
        <v>20230101</v>
      </c>
      <c r="D4925" s="17">
        <v>22991231</v>
      </c>
      <c r="E4925" s="25">
        <v>0</v>
      </c>
    </row>
    <row r="4926" spans="1:5" ht="26" x14ac:dyDescent="0.3">
      <c r="A4926" s="17" t="str">
        <f>"90655"</f>
        <v>90655</v>
      </c>
      <c r="B4926" s="5" t="s">
        <v>5081</v>
      </c>
      <c r="C4926" s="17">
        <v>20230101</v>
      </c>
      <c r="D4926" s="17">
        <v>22991231</v>
      </c>
      <c r="E4926" s="25">
        <v>0</v>
      </c>
    </row>
    <row r="4927" spans="1:5" ht="26" x14ac:dyDescent="0.3">
      <c r="A4927" s="17" t="str">
        <f>"90656"</f>
        <v>90656</v>
      </c>
      <c r="B4927" s="5" t="s">
        <v>5082</v>
      </c>
      <c r="C4927" s="17">
        <v>20230101</v>
      </c>
      <c r="D4927" s="17">
        <v>22991231</v>
      </c>
      <c r="E4927" s="25">
        <v>0</v>
      </c>
    </row>
    <row r="4928" spans="1:5" x14ac:dyDescent="0.3">
      <c r="A4928" s="17" t="str">
        <f>"90657"</f>
        <v>90657</v>
      </c>
      <c r="B4928" s="5" t="s">
        <v>5083</v>
      </c>
      <c r="C4928" s="17">
        <v>19990101</v>
      </c>
      <c r="D4928" s="17">
        <v>22991231</v>
      </c>
      <c r="E4928" s="25">
        <v>0</v>
      </c>
    </row>
    <row r="4929" spans="1:5" x14ac:dyDescent="0.3">
      <c r="A4929" s="17" t="str">
        <f>"90658"</f>
        <v>90658</v>
      </c>
      <c r="B4929" s="5" t="s">
        <v>5084</v>
      </c>
      <c r="C4929" s="17">
        <v>19990101</v>
      </c>
      <c r="D4929" s="17">
        <v>22991231</v>
      </c>
      <c r="E4929" s="24" t="s">
        <v>7128</v>
      </c>
    </row>
    <row r="4930" spans="1:5" ht="26" x14ac:dyDescent="0.3">
      <c r="A4930" s="17" t="str">
        <f>"90660"</f>
        <v>90660</v>
      </c>
      <c r="B4930" s="5" t="s">
        <v>5085</v>
      </c>
      <c r="C4930" s="17">
        <v>19990101</v>
      </c>
      <c r="D4930" s="17">
        <v>22991231</v>
      </c>
      <c r="E4930" s="25">
        <v>0</v>
      </c>
    </row>
    <row r="4931" spans="1:5" ht="26" x14ac:dyDescent="0.3">
      <c r="A4931" s="17" t="str">
        <f>"90661"</f>
        <v>90661</v>
      </c>
      <c r="B4931" s="5" t="s">
        <v>5086</v>
      </c>
      <c r="C4931" s="17">
        <v>20230101</v>
      </c>
      <c r="D4931" s="17">
        <v>22991231</v>
      </c>
      <c r="E4931" s="25">
        <v>0</v>
      </c>
    </row>
    <row r="4932" spans="1:5" x14ac:dyDescent="0.3">
      <c r="A4932" s="17" t="str">
        <f>"90662"</f>
        <v>90662</v>
      </c>
      <c r="B4932" s="5" t="s">
        <v>5087</v>
      </c>
      <c r="C4932" s="17">
        <v>20230101</v>
      </c>
      <c r="D4932" s="17">
        <v>22991231</v>
      </c>
      <c r="E4932" s="25">
        <v>0</v>
      </c>
    </row>
    <row r="4933" spans="1:5" x14ac:dyDescent="0.3">
      <c r="A4933" s="17" t="str">
        <f>"90670"</f>
        <v>90670</v>
      </c>
      <c r="B4933" s="5" t="s">
        <v>5088</v>
      </c>
      <c r="C4933" s="17">
        <v>20230101</v>
      </c>
      <c r="D4933" s="17">
        <v>22991231</v>
      </c>
      <c r="E4933" s="25">
        <v>0</v>
      </c>
    </row>
    <row r="4934" spans="1:5" ht="26" x14ac:dyDescent="0.3">
      <c r="A4934" s="17" t="str">
        <f>"90672"</f>
        <v>90672</v>
      </c>
      <c r="B4934" s="5" t="s">
        <v>5089</v>
      </c>
      <c r="C4934" s="17">
        <v>20230101</v>
      </c>
      <c r="D4934" s="17">
        <v>22991231</v>
      </c>
      <c r="E4934" s="25">
        <v>0</v>
      </c>
    </row>
    <row r="4935" spans="1:5" ht="26" x14ac:dyDescent="0.3">
      <c r="A4935" s="17" t="str">
        <f>"90673"</f>
        <v>90673</v>
      </c>
      <c r="B4935" s="5" t="s">
        <v>5090</v>
      </c>
      <c r="C4935" s="17">
        <v>20230101</v>
      </c>
      <c r="D4935" s="17">
        <v>22991231</v>
      </c>
      <c r="E4935" s="25">
        <v>0</v>
      </c>
    </row>
    <row r="4936" spans="1:5" ht="26" x14ac:dyDescent="0.3">
      <c r="A4936" s="17" t="str">
        <f>"90674"</f>
        <v>90674</v>
      </c>
      <c r="B4936" s="5" t="s">
        <v>5091</v>
      </c>
      <c r="C4936" s="17">
        <v>20170101</v>
      </c>
      <c r="D4936" s="17">
        <v>22991231</v>
      </c>
      <c r="E4936" s="25">
        <v>0</v>
      </c>
    </row>
    <row r="4937" spans="1:5" x14ac:dyDescent="0.3">
      <c r="A4937" s="17" t="str">
        <f>"90675"</f>
        <v>90675</v>
      </c>
      <c r="B4937" s="5" t="s">
        <v>5092</v>
      </c>
      <c r="C4937" s="17">
        <v>20230101</v>
      </c>
      <c r="D4937" s="17">
        <v>22991231</v>
      </c>
      <c r="E4937" s="25">
        <v>310.18</v>
      </c>
    </row>
    <row r="4938" spans="1:5" x14ac:dyDescent="0.3">
      <c r="A4938" s="17" t="str">
        <f>"90676"</f>
        <v>90676</v>
      </c>
      <c r="B4938" s="5" t="s">
        <v>5093</v>
      </c>
      <c r="C4938" s="17">
        <v>20230101</v>
      </c>
      <c r="D4938" s="17">
        <v>22991231</v>
      </c>
      <c r="E4938" s="25">
        <v>266.63</v>
      </c>
    </row>
    <row r="4939" spans="1:5" x14ac:dyDescent="0.3">
      <c r="A4939" s="17" t="str">
        <f>"90680"</f>
        <v>90680</v>
      </c>
      <c r="B4939" s="5" t="s">
        <v>5094</v>
      </c>
      <c r="C4939" s="17">
        <v>20230101</v>
      </c>
      <c r="D4939" s="17">
        <v>22991231</v>
      </c>
      <c r="E4939" s="25">
        <v>0</v>
      </c>
    </row>
    <row r="4940" spans="1:5" ht="26" x14ac:dyDescent="0.3">
      <c r="A4940" s="17" t="str">
        <f>"90682"</f>
        <v>90682</v>
      </c>
      <c r="B4940" s="5" t="s">
        <v>5095</v>
      </c>
      <c r="C4940" s="17">
        <v>20230101</v>
      </c>
      <c r="D4940" s="17">
        <v>22991231</v>
      </c>
      <c r="E4940" s="25">
        <v>0</v>
      </c>
    </row>
    <row r="4941" spans="1:5" ht="26" x14ac:dyDescent="0.3">
      <c r="A4941" s="17" t="str">
        <f>"90685"</f>
        <v>90685</v>
      </c>
      <c r="B4941" s="5" t="s">
        <v>5096</v>
      </c>
      <c r="C4941" s="17">
        <v>20230101</v>
      </c>
      <c r="D4941" s="17">
        <v>22991231</v>
      </c>
      <c r="E4941" s="25">
        <v>0</v>
      </c>
    </row>
    <row r="4942" spans="1:5" ht="26" x14ac:dyDescent="0.3">
      <c r="A4942" s="17" t="str">
        <f>"90686"</f>
        <v>90686</v>
      </c>
      <c r="B4942" s="5" t="s">
        <v>5097</v>
      </c>
      <c r="C4942" s="17">
        <v>20230101</v>
      </c>
      <c r="D4942" s="17">
        <v>22991231</v>
      </c>
      <c r="E4942" s="25">
        <v>0</v>
      </c>
    </row>
    <row r="4943" spans="1:5" x14ac:dyDescent="0.3">
      <c r="A4943" s="17" t="str">
        <f>"90687"</f>
        <v>90687</v>
      </c>
      <c r="B4943" s="5" t="s">
        <v>5098</v>
      </c>
      <c r="C4943" s="17">
        <v>20230101</v>
      </c>
      <c r="D4943" s="17">
        <v>22991231</v>
      </c>
      <c r="E4943" s="25">
        <v>0</v>
      </c>
    </row>
    <row r="4944" spans="1:5" x14ac:dyDescent="0.3">
      <c r="A4944" s="17" t="str">
        <f>"90688"</f>
        <v>90688</v>
      </c>
      <c r="B4944" s="5" t="s">
        <v>5099</v>
      </c>
      <c r="C4944" s="17">
        <v>20230101</v>
      </c>
      <c r="D4944" s="17">
        <v>22991231</v>
      </c>
      <c r="E4944" s="25">
        <v>0</v>
      </c>
    </row>
    <row r="4945" spans="1:5" ht="26" x14ac:dyDescent="0.3">
      <c r="A4945" s="17" t="str">
        <f>"90689"</f>
        <v>90689</v>
      </c>
      <c r="B4945" s="5" t="s">
        <v>5100</v>
      </c>
      <c r="C4945" s="17">
        <v>20230101</v>
      </c>
      <c r="D4945" s="17">
        <v>22991231</v>
      </c>
      <c r="E4945" s="25">
        <v>0</v>
      </c>
    </row>
    <row r="4946" spans="1:5" x14ac:dyDescent="0.3">
      <c r="A4946" s="17" t="str">
        <f>"90690"</f>
        <v>90690</v>
      </c>
      <c r="B4946" s="5" t="s">
        <v>5101</v>
      </c>
      <c r="C4946" s="17">
        <v>20230101</v>
      </c>
      <c r="D4946" s="17">
        <v>22991231</v>
      </c>
      <c r="E4946" s="25">
        <v>0</v>
      </c>
    </row>
    <row r="4947" spans="1:5" x14ac:dyDescent="0.3">
      <c r="A4947" s="17" t="str">
        <f>"90691"</f>
        <v>90691</v>
      </c>
      <c r="B4947" s="5" t="s">
        <v>5102</v>
      </c>
      <c r="C4947" s="17">
        <v>20230101</v>
      </c>
      <c r="D4947" s="17">
        <v>22991231</v>
      </c>
      <c r="E4947" s="25">
        <v>0</v>
      </c>
    </row>
    <row r="4948" spans="1:5" ht="26" x14ac:dyDescent="0.3">
      <c r="A4948" s="17" t="str">
        <f>"90694"</f>
        <v>90694</v>
      </c>
      <c r="B4948" s="5" t="s">
        <v>5103</v>
      </c>
      <c r="C4948" s="17">
        <v>20230101</v>
      </c>
      <c r="D4948" s="17">
        <v>22991231</v>
      </c>
      <c r="E4948" s="25">
        <v>0</v>
      </c>
    </row>
    <row r="4949" spans="1:5" ht="26" x14ac:dyDescent="0.3">
      <c r="A4949" s="17" t="str">
        <f>"90696"</f>
        <v>90696</v>
      </c>
      <c r="B4949" s="5" t="s">
        <v>5104</v>
      </c>
      <c r="C4949" s="17">
        <v>20230101</v>
      </c>
      <c r="D4949" s="17">
        <v>22991231</v>
      </c>
      <c r="E4949" s="25">
        <v>0</v>
      </c>
    </row>
    <row r="4950" spans="1:5" ht="26" x14ac:dyDescent="0.3">
      <c r="A4950" s="17" t="str">
        <f>"90698"</f>
        <v>90698</v>
      </c>
      <c r="B4950" s="5" t="s">
        <v>5105</v>
      </c>
      <c r="C4950" s="17">
        <v>20230101</v>
      </c>
      <c r="D4950" s="17">
        <v>22991231</v>
      </c>
      <c r="E4950" s="25">
        <v>0</v>
      </c>
    </row>
    <row r="4951" spans="1:5" ht="26" x14ac:dyDescent="0.3">
      <c r="A4951" s="17" t="str">
        <f>"90715"</f>
        <v>90715</v>
      </c>
      <c r="B4951" s="5" t="s">
        <v>5106</v>
      </c>
      <c r="C4951" s="17">
        <v>20050101</v>
      </c>
      <c r="D4951" s="17">
        <v>22991231</v>
      </c>
      <c r="E4951" s="24" t="s">
        <v>7128</v>
      </c>
    </row>
    <row r="4952" spans="1:5" x14ac:dyDescent="0.3">
      <c r="A4952" s="17" t="str">
        <f>"90717"</f>
        <v>90717</v>
      </c>
      <c r="B4952" s="5" t="s">
        <v>5107</v>
      </c>
      <c r="C4952" s="17">
        <v>20230101</v>
      </c>
      <c r="D4952" s="17">
        <v>22991231</v>
      </c>
      <c r="E4952" s="25">
        <v>0</v>
      </c>
    </row>
    <row r="4953" spans="1:5" x14ac:dyDescent="0.3">
      <c r="A4953" s="17" t="str">
        <f>"90732"</f>
        <v>90732</v>
      </c>
      <c r="B4953" s="5" t="s">
        <v>5108</v>
      </c>
      <c r="C4953" s="17">
        <v>20230101</v>
      </c>
      <c r="D4953" s="17">
        <v>22991231</v>
      </c>
      <c r="E4953" s="25">
        <v>0</v>
      </c>
    </row>
    <row r="4954" spans="1:5" ht="39" x14ac:dyDescent="0.3">
      <c r="A4954" s="17" t="str">
        <f>"90739"</f>
        <v>90739</v>
      </c>
      <c r="B4954" s="5" t="s">
        <v>5109</v>
      </c>
      <c r="C4954" s="17">
        <v>20230101</v>
      </c>
      <c r="D4954" s="17">
        <v>22991231</v>
      </c>
      <c r="E4954" s="25">
        <v>0</v>
      </c>
    </row>
    <row r="4955" spans="1:5" ht="26" x14ac:dyDescent="0.3">
      <c r="A4955" s="17" t="str">
        <f>"90740"</f>
        <v>90740</v>
      </c>
      <c r="B4955" s="5" t="s">
        <v>5110</v>
      </c>
      <c r="C4955" s="17">
        <v>20230101</v>
      </c>
      <c r="D4955" s="17">
        <v>22991231</v>
      </c>
      <c r="E4955" s="25">
        <v>0</v>
      </c>
    </row>
    <row r="4956" spans="1:5" x14ac:dyDescent="0.3">
      <c r="A4956" s="17" t="str">
        <f>"90743"</f>
        <v>90743</v>
      </c>
      <c r="B4956" s="5" t="s">
        <v>5111</v>
      </c>
      <c r="C4956" s="17">
        <v>20230101</v>
      </c>
      <c r="D4956" s="17">
        <v>22991231</v>
      </c>
      <c r="E4956" s="25">
        <v>0</v>
      </c>
    </row>
    <row r="4957" spans="1:5" ht="26" x14ac:dyDescent="0.3">
      <c r="A4957" s="17" t="str">
        <f>"90744"</f>
        <v>90744</v>
      </c>
      <c r="B4957" s="5" t="s">
        <v>5112</v>
      </c>
      <c r="C4957" s="17">
        <v>20230101</v>
      </c>
      <c r="D4957" s="17">
        <v>22991231</v>
      </c>
      <c r="E4957" s="25">
        <v>0</v>
      </c>
    </row>
    <row r="4958" spans="1:5" ht="26" x14ac:dyDescent="0.3">
      <c r="A4958" s="17" t="str">
        <f>"90746"</f>
        <v>90746</v>
      </c>
      <c r="B4958" s="5" t="s">
        <v>5113</v>
      </c>
      <c r="C4958" s="17">
        <v>20230101</v>
      </c>
      <c r="D4958" s="17">
        <v>22991231</v>
      </c>
      <c r="E4958" s="25">
        <v>0</v>
      </c>
    </row>
    <row r="4959" spans="1:5" ht="39" x14ac:dyDescent="0.3">
      <c r="A4959" s="17" t="str">
        <f>"90747"</f>
        <v>90747</v>
      </c>
      <c r="B4959" s="5" t="s">
        <v>5114</v>
      </c>
      <c r="C4959" s="17">
        <v>20230101</v>
      </c>
      <c r="D4959" s="17">
        <v>22991231</v>
      </c>
      <c r="E4959" s="25">
        <v>0</v>
      </c>
    </row>
    <row r="4960" spans="1:5" ht="26" x14ac:dyDescent="0.3">
      <c r="A4960" s="17" t="str">
        <f>"90749"</f>
        <v>90749</v>
      </c>
      <c r="B4960" s="5" t="s">
        <v>5115</v>
      </c>
      <c r="C4960" s="17">
        <v>20230101</v>
      </c>
      <c r="D4960" s="17">
        <v>22991231</v>
      </c>
      <c r="E4960" s="25">
        <v>0</v>
      </c>
    </row>
    <row r="4961" spans="1:5" ht="26" x14ac:dyDescent="0.3">
      <c r="A4961" s="17" t="str">
        <f>"90756"</f>
        <v>90756</v>
      </c>
      <c r="B4961" s="5" t="s">
        <v>5116</v>
      </c>
      <c r="C4961" s="17">
        <v>20230101</v>
      </c>
      <c r="D4961" s="17">
        <v>22991231</v>
      </c>
      <c r="E4961" s="25">
        <v>0</v>
      </c>
    </row>
    <row r="4962" spans="1:5" ht="26" x14ac:dyDescent="0.3">
      <c r="A4962" s="17" t="str">
        <f>"90759"</f>
        <v>90759</v>
      </c>
      <c r="B4962" s="5" t="s">
        <v>5117</v>
      </c>
      <c r="C4962" s="17">
        <v>20230101</v>
      </c>
      <c r="D4962" s="17">
        <v>22991231</v>
      </c>
      <c r="E4962" s="25">
        <v>0</v>
      </c>
    </row>
    <row r="4963" spans="1:5" x14ac:dyDescent="0.3">
      <c r="A4963" s="17" t="str">
        <f>"90870"</f>
        <v>90870</v>
      </c>
      <c r="B4963" s="5" t="s">
        <v>5118</v>
      </c>
      <c r="C4963" s="17">
        <v>19900101</v>
      </c>
      <c r="D4963" s="17">
        <v>22991231</v>
      </c>
      <c r="E4963" s="24" t="s">
        <v>7128</v>
      </c>
    </row>
    <row r="4964" spans="1:5" ht="39" x14ac:dyDescent="0.3">
      <c r="A4964" s="17" t="str">
        <f>"90875"</f>
        <v>90875</v>
      </c>
      <c r="B4964" s="5" t="s">
        <v>5119</v>
      </c>
      <c r="C4964" s="17">
        <v>19970101</v>
      </c>
      <c r="D4964" s="17">
        <v>22991231</v>
      </c>
      <c r="E4964" s="24" t="s">
        <v>7128</v>
      </c>
    </row>
    <row r="4965" spans="1:5" ht="39" x14ac:dyDescent="0.3">
      <c r="A4965" s="17" t="str">
        <f>"90876"</f>
        <v>90876</v>
      </c>
      <c r="B4965" s="5" t="s">
        <v>5120</v>
      </c>
      <c r="C4965" s="17">
        <v>19970101</v>
      </c>
      <c r="D4965" s="17">
        <v>22991231</v>
      </c>
      <c r="E4965" s="24" t="s">
        <v>7128</v>
      </c>
    </row>
    <row r="4966" spans="1:5" x14ac:dyDescent="0.3">
      <c r="A4966" s="17" t="str">
        <f>"90999"</f>
        <v>90999</v>
      </c>
      <c r="B4966" s="5" t="s">
        <v>5121</v>
      </c>
      <c r="C4966" s="17">
        <v>19900101</v>
      </c>
      <c r="D4966" s="17">
        <v>22991231</v>
      </c>
      <c r="E4966" s="24" t="s">
        <v>7128</v>
      </c>
    </row>
    <row r="4967" spans="1:5" x14ac:dyDescent="0.3">
      <c r="A4967" s="17" t="str">
        <f>"91010"</f>
        <v>91010</v>
      </c>
      <c r="B4967" s="5" t="s">
        <v>5122</v>
      </c>
      <c r="C4967" s="17">
        <v>19900101</v>
      </c>
      <c r="D4967" s="17">
        <v>22991231</v>
      </c>
      <c r="E4967" s="24" t="s">
        <v>7128</v>
      </c>
    </row>
    <row r="4968" spans="1:5" x14ac:dyDescent="0.3">
      <c r="A4968" s="17" t="str">
        <f>"91020"</f>
        <v>91020</v>
      </c>
      <c r="B4968" s="5" t="s">
        <v>5123</v>
      </c>
      <c r="C4968" s="17">
        <v>19900101</v>
      </c>
      <c r="D4968" s="17">
        <v>22991231</v>
      </c>
      <c r="E4968" s="24" t="s">
        <v>7128</v>
      </c>
    </row>
    <row r="4969" spans="1:5" x14ac:dyDescent="0.3">
      <c r="A4969" s="17" t="str">
        <f>"91022"</f>
        <v>91022</v>
      </c>
      <c r="B4969" s="5" t="s">
        <v>5124</v>
      </c>
      <c r="C4969" s="17">
        <v>20060101</v>
      </c>
      <c r="D4969" s="17">
        <v>22991231</v>
      </c>
      <c r="E4969" s="24" t="s">
        <v>7128</v>
      </c>
    </row>
    <row r="4970" spans="1:5" x14ac:dyDescent="0.3">
      <c r="A4970" s="17" t="str">
        <f>"91030"</f>
        <v>91030</v>
      </c>
      <c r="B4970" s="5" t="s">
        <v>5125</v>
      </c>
      <c r="C4970" s="17">
        <v>19900101</v>
      </c>
      <c r="D4970" s="17">
        <v>22991231</v>
      </c>
      <c r="E4970" s="24" t="s">
        <v>7128</v>
      </c>
    </row>
    <row r="4971" spans="1:5" ht="26" x14ac:dyDescent="0.3">
      <c r="A4971" s="17" t="str">
        <f>"91035"</f>
        <v>91035</v>
      </c>
      <c r="B4971" s="5" t="s">
        <v>5126</v>
      </c>
      <c r="C4971" s="17">
        <v>20230101</v>
      </c>
      <c r="D4971" s="17">
        <v>22991231</v>
      </c>
      <c r="E4971" s="25">
        <v>265.56</v>
      </c>
    </row>
    <row r="4972" spans="1:5" ht="26" x14ac:dyDescent="0.3">
      <c r="A4972" s="17" t="str">
        <f>"91065"</f>
        <v>91065</v>
      </c>
      <c r="B4972" s="5" t="s">
        <v>5127</v>
      </c>
      <c r="C4972" s="17">
        <v>19900101</v>
      </c>
      <c r="D4972" s="17">
        <v>22991231</v>
      </c>
      <c r="E4972" s="24" t="s">
        <v>7128</v>
      </c>
    </row>
    <row r="4973" spans="1:5" x14ac:dyDescent="0.3">
      <c r="A4973" s="17" t="str">
        <f>"91122"</f>
        <v>91122</v>
      </c>
      <c r="B4973" s="5" t="s">
        <v>5128</v>
      </c>
      <c r="C4973" s="17">
        <v>19900101</v>
      </c>
      <c r="D4973" s="17">
        <v>22991231</v>
      </c>
      <c r="E4973" s="24" t="s">
        <v>7128</v>
      </c>
    </row>
    <row r="4974" spans="1:5" x14ac:dyDescent="0.3">
      <c r="A4974" s="17" t="str">
        <f>"91299"</f>
        <v>91299</v>
      </c>
      <c r="B4974" s="5" t="s">
        <v>5129</v>
      </c>
      <c r="C4974" s="17">
        <v>20151001</v>
      </c>
      <c r="D4974" s="17">
        <v>22991231</v>
      </c>
      <c r="E4974" s="24" t="s">
        <v>7128</v>
      </c>
    </row>
    <row r="4975" spans="1:5" x14ac:dyDescent="0.3">
      <c r="A4975" s="17" t="str">
        <f>"91299"</f>
        <v>91299</v>
      </c>
      <c r="B4975" s="5" t="s">
        <v>5129</v>
      </c>
      <c r="C4975" s="17">
        <v>20151001</v>
      </c>
      <c r="D4975" s="17">
        <v>22991231</v>
      </c>
      <c r="E4975" s="24" t="s">
        <v>7128</v>
      </c>
    </row>
    <row r="4976" spans="1:5" x14ac:dyDescent="0.3">
      <c r="A4976" s="17" t="str">
        <f>"91299"</f>
        <v>91299</v>
      </c>
      <c r="B4976" s="5" t="s">
        <v>5129</v>
      </c>
      <c r="C4976" s="17">
        <v>20060915</v>
      </c>
      <c r="D4976" s="17">
        <v>22991231</v>
      </c>
      <c r="E4976" s="24" t="s">
        <v>7128</v>
      </c>
    </row>
    <row r="4977" spans="1:5" ht="65" x14ac:dyDescent="0.3">
      <c r="A4977" s="17" t="str">
        <f>"91304"</f>
        <v>91304</v>
      </c>
      <c r="B4977" s="5" t="s">
        <v>5130</v>
      </c>
      <c r="C4977" s="17">
        <v>20220713</v>
      </c>
      <c r="D4977" s="17">
        <v>22991231</v>
      </c>
      <c r="E4977" s="25">
        <v>0</v>
      </c>
    </row>
    <row r="4978" spans="1:5" ht="65" x14ac:dyDescent="0.3">
      <c r="A4978" s="17" t="str">
        <f>"91318"</f>
        <v>91318</v>
      </c>
      <c r="B4978" s="5" t="s">
        <v>5131</v>
      </c>
      <c r="C4978" s="17">
        <v>20230911</v>
      </c>
      <c r="D4978" s="17">
        <v>22991231</v>
      </c>
      <c r="E4978" s="25">
        <v>65.36</v>
      </c>
    </row>
    <row r="4979" spans="1:5" ht="65" x14ac:dyDescent="0.3">
      <c r="A4979" s="17" t="str">
        <f>"91319"</f>
        <v>91319</v>
      </c>
      <c r="B4979" s="5" t="s">
        <v>5132</v>
      </c>
      <c r="C4979" s="17">
        <v>20230911</v>
      </c>
      <c r="D4979" s="17">
        <v>22991231</v>
      </c>
      <c r="E4979" s="25">
        <v>87.78</v>
      </c>
    </row>
    <row r="4980" spans="1:5" ht="65" x14ac:dyDescent="0.3">
      <c r="A4980" s="17" t="str">
        <f>"91320"</f>
        <v>91320</v>
      </c>
      <c r="B4980" s="5" t="s">
        <v>5133</v>
      </c>
      <c r="C4980" s="17">
        <v>20230911</v>
      </c>
      <c r="D4980" s="17">
        <v>22991231</v>
      </c>
      <c r="E4980" s="25">
        <v>131.1</v>
      </c>
    </row>
    <row r="4981" spans="1:5" ht="52" x14ac:dyDescent="0.3">
      <c r="A4981" s="17" t="str">
        <f>"91321"</f>
        <v>91321</v>
      </c>
      <c r="B4981" s="5" t="s">
        <v>5134</v>
      </c>
      <c r="C4981" s="17">
        <v>20230911</v>
      </c>
      <c r="D4981" s="17">
        <v>22991231</v>
      </c>
      <c r="E4981" s="25">
        <v>145.91999999999999</v>
      </c>
    </row>
    <row r="4982" spans="1:5" ht="52" x14ac:dyDescent="0.3">
      <c r="A4982" s="17" t="str">
        <f>"91322"</f>
        <v>91322</v>
      </c>
      <c r="B4982" s="5" t="s">
        <v>5135</v>
      </c>
      <c r="C4982" s="17">
        <v>20230911</v>
      </c>
      <c r="D4982" s="17">
        <v>22991231</v>
      </c>
      <c r="E4982" s="25">
        <v>145.91999999999999</v>
      </c>
    </row>
    <row r="4983" spans="1:5" ht="26" x14ac:dyDescent="0.3">
      <c r="A4983" s="17" t="str">
        <f>"92018"</f>
        <v>92018</v>
      </c>
      <c r="B4983" s="5" t="s">
        <v>5136</v>
      </c>
      <c r="C4983" s="17">
        <v>19900101</v>
      </c>
      <c r="D4983" s="17">
        <v>22991231</v>
      </c>
      <c r="E4983" s="24" t="s">
        <v>7128</v>
      </c>
    </row>
    <row r="4984" spans="1:5" ht="26" x14ac:dyDescent="0.3">
      <c r="A4984" s="17" t="str">
        <f>"92019"</f>
        <v>92019</v>
      </c>
      <c r="B4984" s="5" t="s">
        <v>5137</v>
      </c>
      <c r="C4984" s="17">
        <v>20080101</v>
      </c>
      <c r="D4984" s="17">
        <v>22991231</v>
      </c>
      <c r="E4984" s="24" t="s">
        <v>7128</v>
      </c>
    </row>
    <row r="4985" spans="1:5" ht="26" x14ac:dyDescent="0.3">
      <c r="A4985" s="17" t="str">
        <f>"92235"</f>
        <v>92235</v>
      </c>
      <c r="B4985" s="5" t="s">
        <v>5138</v>
      </c>
      <c r="C4985" s="17">
        <v>19900101</v>
      </c>
      <c r="D4985" s="17">
        <v>22991231</v>
      </c>
      <c r="E4985" s="24" t="s">
        <v>7128</v>
      </c>
    </row>
    <row r="4986" spans="1:5" ht="39" x14ac:dyDescent="0.3">
      <c r="A4986" s="17" t="str">
        <f>"92240"</f>
        <v>92240</v>
      </c>
      <c r="B4986" s="5" t="s">
        <v>5139</v>
      </c>
      <c r="C4986" s="17">
        <v>19970101</v>
      </c>
      <c r="D4986" s="17">
        <v>22991231</v>
      </c>
      <c r="E4986" s="24" t="s">
        <v>7128</v>
      </c>
    </row>
    <row r="4987" spans="1:5" ht="39" x14ac:dyDescent="0.3">
      <c r="A4987" s="17" t="str">
        <f>"92242"</f>
        <v>92242</v>
      </c>
      <c r="B4987" s="5" t="s">
        <v>5140</v>
      </c>
      <c r="C4987" s="17">
        <v>20170101</v>
      </c>
      <c r="D4987" s="17">
        <v>22991231</v>
      </c>
      <c r="E4987" s="24" t="s">
        <v>7128</v>
      </c>
    </row>
    <row r="4988" spans="1:5" ht="26" x14ac:dyDescent="0.3">
      <c r="A4988" s="17" t="str">
        <f>"92502"</f>
        <v>92502</v>
      </c>
      <c r="B4988" s="5" t="s">
        <v>5141</v>
      </c>
      <c r="C4988" s="17">
        <v>19900101</v>
      </c>
      <c r="D4988" s="17">
        <v>22991231</v>
      </c>
      <c r="E4988" s="24" t="s">
        <v>7128</v>
      </c>
    </row>
    <row r="4989" spans="1:5" x14ac:dyDescent="0.3">
      <c r="A4989" s="17" t="str">
        <f>"92504"</f>
        <v>92504</v>
      </c>
      <c r="B4989" s="5" t="s">
        <v>5142</v>
      </c>
      <c r="C4989" s="17">
        <v>19900101</v>
      </c>
      <c r="D4989" s="17">
        <v>22991231</v>
      </c>
      <c r="E4989" s="24" t="s">
        <v>7128</v>
      </c>
    </row>
    <row r="4990" spans="1:5" x14ac:dyDescent="0.3">
      <c r="A4990" s="17" t="str">
        <f>"92511"</f>
        <v>92511</v>
      </c>
      <c r="B4990" s="5" t="s">
        <v>5143</v>
      </c>
      <c r="C4990" s="17">
        <v>19900101</v>
      </c>
      <c r="D4990" s="17">
        <v>22991231</v>
      </c>
      <c r="E4990" s="24" t="s">
        <v>7128</v>
      </c>
    </row>
    <row r="4991" spans="1:5" ht="26" x14ac:dyDescent="0.3">
      <c r="A4991" s="17" t="str">
        <f>"92540"</f>
        <v>92540</v>
      </c>
      <c r="B4991" s="5" t="s">
        <v>5144</v>
      </c>
      <c r="C4991" s="17">
        <v>20100101</v>
      </c>
      <c r="D4991" s="17">
        <v>22991231</v>
      </c>
      <c r="E4991" s="24" t="s">
        <v>7128</v>
      </c>
    </row>
    <row r="4992" spans="1:5" x14ac:dyDescent="0.3">
      <c r="A4992" s="17" t="str">
        <f>"92548"</f>
        <v>92548</v>
      </c>
      <c r="B4992" s="5" t="s">
        <v>5145</v>
      </c>
      <c r="C4992" s="17">
        <v>19970101</v>
      </c>
      <c r="D4992" s="17">
        <v>22991231</v>
      </c>
      <c r="E4992" s="24" t="s">
        <v>7128</v>
      </c>
    </row>
    <row r="4993" spans="1:5" x14ac:dyDescent="0.3">
      <c r="A4993" s="17" t="str">
        <f>"92550"</f>
        <v>92550</v>
      </c>
      <c r="B4993" s="5" t="s">
        <v>5146</v>
      </c>
      <c r="C4993" s="17">
        <v>20100101</v>
      </c>
      <c r="D4993" s="17">
        <v>22991231</v>
      </c>
      <c r="E4993" s="24" t="s">
        <v>7128</v>
      </c>
    </row>
    <row r="4994" spans="1:5" x14ac:dyDescent="0.3">
      <c r="A4994" s="17" t="str">
        <f>"92570"</f>
        <v>92570</v>
      </c>
      <c r="B4994" s="5" t="s">
        <v>5147</v>
      </c>
      <c r="C4994" s="17">
        <v>20100101</v>
      </c>
      <c r="D4994" s="17">
        <v>22991231</v>
      </c>
      <c r="E4994" s="24" t="s">
        <v>7128</v>
      </c>
    </row>
    <row r="4995" spans="1:5" ht="26" x14ac:dyDescent="0.3">
      <c r="A4995" s="17" t="str">
        <f>"92650"</f>
        <v>92650</v>
      </c>
      <c r="B4995" s="5" t="s">
        <v>5148</v>
      </c>
      <c r="C4995" s="17">
        <v>20210101</v>
      </c>
      <c r="D4995" s="17">
        <v>22991231</v>
      </c>
      <c r="E4995" s="24" t="s">
        <v>7128</v>
      </c>
    </row>
    <row r="4996" spans="1:5" ht="39" x14ac:dyDescent="0.3">
      <c r="A4996" s="17" t="str">
        <f>"92651"</f>
        <v>92651</v>
      </c>
      <c r="B4996" s="5" t="s">
        <v>5149</v>
      </c>
      <c r="C4996" s="17">
        <v>20210101</v>
      </c>
      <c r="D4996" s="17">
        <v>22991231</v>
      </c>
      <c r="E4996" s="24" t="s">
        <v>7128</v>
      </c>
    </row>
    <row r="4997" spans="1:5" ht="39" x14ac:dyDescent="0.3">
      <c r="A4997" s="17" t="str">
        <f>"92652"</f>
        <v>92652</v>
      </c>
      <c r="B4997" s="5" t="s">
        <v>5150</v>
      </c>
      <c r="C4997" s="17">
        <v>20210101</v>
      </c>
      <c r="D4997" s="17">
        <v>22991231</v>
      </c>
      <c r="E4997" s="24" t="s">
        <v>7128</v>
      </c>
    </row>
    <row r="4998" spans="1:5" ht="39" x14ac:dyDescent="0.3">
      <c r="A4998" s="17" t="str">
        <f>"92653"</f>
        <v>92653</v>
      </c>
      <c r="B4998" s="5" t="s">
        <v>5151</v>
      </c>
      <c r="C4998" s="17">
        <v>20210101</v>
      </c>
      <c r="D4998" s="17">
        <v>22991231</v>
      </c>
      <c r="E4998" s="24" t="s">
        <v>7128</v>
      </c>
    </row>
    <row r="4999" spans="1:5" ht="26" x14ac:dyDescent="0.3">
      <c r="A4999" s="17" t="str">
        <f>"92920"</f>
        <v>92920</v>
      </c>
      <c r="B4999" s="5" t="s">
        <v>5152</v>
      </c>
      <c r="C4999" s="17">
        <v>20230101</v>
      </c>
      <c r="D4999" s="17">
        <v>22991231</v>
      </c>
      <c r="E4999" s="25">
        <v>3257.7</v>
      </c>
    </row>
    <row r="5000" spans="1:5" ht="26" x14ac:dyDescent="0.3">
      <c r="A5000" s="17" t="str">
        <f>"92921"</f>
        <v>92921</v>
      </c>
      <c r="B5000" s="5" t="s">
        <v>5153</v>
      </c>
      <c r="C5000" s="17">
        <v>20230101</v>
      </c>
      <c r="D5000" s="17">
        <v>22991231</v>
      </c>
      <c r="E5000" s="25">
        <v>0</v>
      </c>
    </row>
    <row r="5001" spans="1:5" ht="26" x14ac:dyDescent="0.3">
      <c r="A5001" s="17" t="str">
        <f>"92928"</f>
        <v>92928</v>
      </c>
      <c r="B5001" s="5" t="s">
        <v>5154</v>
      </c>
      <c r="C5001" s="17">
        <v>20230101</v>
      </c>
      <c r="D5001" s="17">
        <v>22991231</v>
      </c>
      <c r="E5001" s="25">
        <v>6315.75</v>
      </c>
    </row>
    <row r="5002" spans="1:5" ht="39" x14ac:dyDescent="0.3">
      <c r="A5002" s="17" t="str">
        <f>"92929"</f>
        <v>92929</v>
      </c>
      <c r="B5002" s="5" t="s">
        <v>5155</v>
      </c>
      <c r="C5002" s="17">
        <v>20230101</v>
      </c>
      <c r="D5002" s="17">
        <v>22991231</v>
      </c>
      <c r="E5002" s="25">
        <v>0</v>
      </c>
    </row>
    <row r="5003" spans="1:5" x14ac:dyDescent="0.3">
      <c r="A5003" s="17" t="str">
        <f>"92961"</f>
        <v>92961</v>
      </c>
      <c r="B5003" s="5" t="s">
        <v>5156</v>
      </c>
      <c r="C5003" s="17">
        <v>20000101</v>
      </c>
      <c r="D5003" s="17">
        <v>22991231</v>
      </c>
      <c r="E5003" s="24" t="s">
        <v>7128</v>
      </c>
    </row>
    <row r="5004" spans="1:5" ht="26" x14ac:dyDescent="0.3">
      <c r="A5004" s="17" t="str">
        <f>"92978"</f>
        <v>92978</v>
      </c>
      <c r="B5004" s="5" t="s">
        <v>5157</v>
      </c>
      <c r="C5004" s="17">
        <v>19970101</v>
      </c>
      <c r="D5004" s="17">
        <v>22991231</v>
      </c>
      <c r="E5004" s="25">
        <v>0</v>
      </c>
    </row>
    <row r="5005" spans="1:5" ht="39" x14ac:dyDescent="0.3">
      <c r="A5005" s="17" t="str">
        <f>"92979"</f>
        <v>92979</v>
      </c>
      <c r="B5005" s="5" t="s">
        <v>5158</v>
      </c>
      <c r="C5005" s="17">
        <v>19970101</v>
      </c>
      <c r="D5005" s="17">
        <v>22991231</v>
      </c>
      <c r="E5005" s="24" t="s">
        <v>7128</v>
      </c>
    </row>
    <row r="5006" spans="1:5" ht="39" x14ac:dyDescent="0.3">
      <c r="A5006" s="17" t="str">
        <f>"93015"</f>
        <v>93015</v>
      </c>
      <c r="B5006" s="5" t="s">
        <v>5159</v>
      </c>
      <c r="C5006" s="17">
        <v>19900101</v>
      </c>
      <c r="D5006" s="17">
        <v>22991231</v>
      </c>
      <c r="E5006" s="24" t="s">
        <v>7128</v>
      </c>
    </row>
    <row r="5007" spans="1:5" ht="39" x14ac:dyDescent="0.3">
      <c r="A5007" s="17" t="str">
        <f>"93241"</f>
        <v>93241</v>
      </c>
      <c r="B5007" s="5" t="s">
        <v>5160</v>
      </c>
      <c r="C5007" s="17">
        <v>20210101</v>
      </c>
      <c r="D5007" s="17">
        <v>22991231</v>
      </c>
      <c r="E5007" s="24" t="s">
        <v>7128</v>
      </c>
    </row>
    <row r="5008" spans="1:5" ht="26" x14ac:dyDescent="0.3">
      <c r="A5008" s="17" t="str">
        <f>"93242"</f>
        <v>93242</v>
      </c>
      <c r="B5008" s="5" t="s">
        <v>5161</v>
      </c>
      <c r="C5008" s="17">
        <v>20210101</v>
      </c>
      <c r="D5008" s="17">
        <v>22991231</v>
      </c>
      <c r="E5008" s="24" t="s">
        <v>7128</v>
      </c>
    </row>
    <row r="5009" spans="1:5" ht="39" x14ac:dyDescent="0.3">
      <c r="A5009" s="17" t="str">
        <f>"93243"</f>
        <v>93243</v>
      </c>
      <c r="B5009" s="5" t="s">
        <v>5162</v>
      </c>
      <c r="C5009" s="17">
        <v>20210101</v>
      </c>
      <c r="D5009" s="17">
        <v>22991231</v>
      </c>
      <c r="E5009" s="24" t="s">
        <v>7128</v>
      </c>
    </row>
    <row r="5010" spans="1:5" ht="39" x14ac:dyDescent="0.3">
      <c r="A5010" s="17" t="str">
        <f>"93244"</f>
        <v>93244</v>
      </c>
      <c r="B5010" s="5" t="s">
        <v>5163</v>
      </c>
      <c r="C5010" s="17">
        <v>20210101</v>
      </c>
      <c r="D5010" s="17">
        <v>22991231</v>
      </c>
      <c r="E5010" s="24" t="s">
        <v>7128</v>
      </c>
    </row>
    <row r="5011" spans="1:5" ht="39" x14ac:dyDescent="0.3">
      <c r="A5011" s="17" t="str">
        <f>"93245"</f>
        <v>93245</v>
      </c>
      <c r="B5011" s="5" t="s">
        <v>5164</v>
      </c>
      <c r="C5011" s="17">
        <v>20210101</v>
      </c>
      <c r="D5011" s="17">
        <v>22991231</v>
      </c>
      <c r="E5011" s="24" t="s">
        <v>7128</v>
      </c>
    </row>
    <row r="5012" spans="1:5" ht="26" x14ac:dyDescent="0.3">
      <c r="A5012" s="17" t="str">
        <f>"93246"</f>
        <v>93246</v>
      </c>
      <c r="B5012" s="5" t="s">
        <v>5165</v>
      </c>
      <c r="C5012" s="17">
        <v>20210101</v>
      </c>
      <c r="D5012" s="17">
        <v>22991231</v>
      </c>
      <c r="E5012" s="24" t="s">
        <v>7128</v>
      </c>
    </row>
    <row r="5013" spans="1:5" ht="26" x14ac:dyDescent="0.3">
      <c r="A5013" s="17" t="str">
        <f>"93247"</f>
        <v>93247</v>
      </c>
      <c r="B5013" s="5" t="s">
        <v>5166</v>
      </c>
      <c r="C5013" s="17">
        <v>20210101</v>
      </c>
      <c r="D5013" s="17">
        <v>22991231</v>
      </c>
      <c r="E5013" s="24" t="s">
        <v>7128</v>
      </c>
    </row>
    <row r="5014" spans="1:5" ht="26" x14ac:dyDescent="0.3">
      <c r="A5014" s="17" t="str">
        <f>"93248"</f>
        <v>93248</v>
      </c>
      <c r="B5014" s="5" t="s">
        <v>5167</v>
      </c>
      <c r="C5014" s="17">
        <v>20210101</v>
      </c>
      <c r="D5014" s="17">
        <v>22991231</v>
      </c>
      <c r="E5014" s="24" t="s">
        <v>7128</v>
      </c>
    </row>
    <row r="5015" spans="1:5" ht="26" x14ac:dyDescent="0.3">
      <c r="A5015" s="17" t="str">
        <f>"93264"</f>
        <v>93264</v>
      </c>
      <c r="B5015" s="5" t="s">
        <v>5168</v>
      </c>
      <c r="C5015" s="17">
        <v>20190101</v>
      </c>
      <c r="D5015" s="17">
        <v>22991231</v>
      </c>
      <c r="E5015" s="24" t="s">
        <v>7128</v>
      </c>
    </row>
    <row r="5016" spans="1:5" x14ac:dyDescent="0.3">
      <c r="A5016" s="17" t="str">
        <f>"93303"</f>
        <v>93303</v>
      </c>
      <c r="B5016" s="5" t="s">
        <v>5169</v>
      </c>
      <c r="C5016" s="17">
        <v>19970101</v>
      </c>
      <c r="D5016" s="17">
        <v>22991231</v>
      </c>
      <c r="E5016" s="24" t="s">
        <v>7128</v>
      </c>
    </row>
    <row r="5017" spans="1:5" ht="26" x14ac:dyDescent="0.3">
      <c r="A5017" s="17" t="str">
        <f>"93304"</f>
        <v>93304</v>
      </c>
      <c r="B5017" s="5" t="s">
        <v>5170</v>
      </c>
      <c r="C5017" s="17">
        <v>19970101</v>
      </c>
      <c r="D5017" s="17">
        <v>22991231</v>
      </c>
      <c r="E5017" s="24" t="s">
        <v>7128</v>
      </c>
    </row>
    <row r="5018" spans="1:5" ht="26" x14ac:dyDescent="0.3">
      <c r="A5018" s="17" t="str">
        <f>"93315"</f>
        <v>93315</v>
      </c>
      <c r="B5018" s="5" t="s">
        <v>5171</v>
      </c>
      <c r="C5018" s="17">
        <v>19970101</v>
      </c>
      <c r="D5018" s="17">
        <v>22991231</v>
      </c>
      <c r="E5018" s="24" t="s">
        <v>7128</v>
      </c>
    </row>
    <row r="5019" spans="1:5" ht="26" x14ac:dyDescent="0.3">
      <c r="A5019" s="17" t="str">
        <f>"93316"</f>
        <v>93316</v>
      </c>
      <c r="B5019" s="5" t="s">
        <v>5172</v>
      </c>
      <c r="C5019" s="17">
        <v>19970101</v>
      </c>
      <c r="D5019" s="17">
        <v>22991231</v>
      </c>
      <c r="E5019" s="24" t="s">
        <v>7128</v>
      </c>
    </row>
    <row r="5020" spans="1:5" ht="26" x14ac:dyDescent="0.3">
      <c r="A5020" s="17" t="str">
        <f>"93317"</f>
        <v>93317</v>
      </c>
      <c r="B5020" s="5" t="s">
        <v>5173</v>
      </c>
      <c r="C5020" s="17">
        <v>19970101</v>
      </c>
      <c r="D5020" s="17">
        <v>22991231</v>
      </c>
      <c r="E5020" s="24" t="s">
        <v>7128</v>
      </c>
    </row>
    <row r="5021" spans="1:5" ht="26" x14ac:dyDescent="0.3">
      <c r="A5021" s="17" t="str">
        <f>"93318"</f>
        <v>93318</v>
      </c>
      <c r="B5021" s="5" t="s">
        <v>5174</v>
      </c>
      <c r="C5021" s="17">
        <v>20010101</v>
      </c>
      <c r="D5021" s="17">
        <v>22991231</v>
      </c>
      <c r="E5021" s="24" t="s">
        <v>7128</v>
      </c>
    </row>
    <row r="5022" spans="1:5" ht="26" x14ac:dyDescent="0.3">
      <c r="A5022" s="17" t="str">
        <f>"93451"</f>
        <v>93451</v>
      </c>
      <c r="B5022" s="5" t="s">
        <v>5175</v>
      </c>
      <c r="C5022" s="17">
        <v>20230101</v>
      </c>
      <c r="D5022" s="17">
        <v>22991231</v>
      </c>
      <c r="E5022" s="25">
        <v>1559.23</v>
      </c>
    </row>
    <row r="5023" spans="1:5" ht="26" x14ac:dyDescent="0.3">
      <c r="A5023" s="17" t="str">
        <f>"93452"</f>
        <v>93452</v>
      </c>
      <c r="B5023" s="5" t="s">
        <v>5176</v>
      </c>
      <c r="C5023" s="17">
        <v>20230101</v>
      </c>
      <c r="D5023" s="17">
        <v>22991231</v>
      </c>
      <c r="E5023" s="25">
        <v>1559.23</v>
      </c>
    </row>
    <row r="5024" spans="1:5" ht="26" x14ac:dyDescent="0.3">
      <c r="A5024" s="17" t="str">
        <f>"93453"</f>
        <v>93453</v>
      </c>
      <c r="B5024" s="5" t="s">
        <v>5177</v>
      </c>
      <c r="C5024" s="17">
        <v>20230101</v>
      </c>
      <c r="D5024" s="17">
        <v>22991231</v>
      </c>
      <c r="E5024" s="25">
        <v>1559.23</v>
      </c>
    </row>
    <row r="5025" spans="1:5" ht="26" x14ac:dyDescent="0.3">
      <c r="A5025" s="17" t="str">
        <f>"93454"</f>
        <v>93454</v>
      </c>
      <c r="B5025" s="5" t="s">
        <v>5178</v>
      </c>
      <c r="C5025" s="17">
        <v>20230101</v>
      </c>
      <c r="D5025" s="17">
        <v>22991231</v>
      </c>
      <c r="E5025" s="25">
        <v>1559.23</v>
      </c>
    </row>
    <row r="5026" spans="1:5" ht="26" x14ac:dyDescent="0.3">
      <c r="A5026" s="17" t="str">
        <f>"93455"</f>
        <v>93455</v>
      </c>
      <c r="B5026" s="5" t="s">
        <v>5179</v>
      </c>
      <c r="C5026" s="17">
        <v>20230101</v>
      </c>
      <c r="D5026" s="17">
        <v>22991231</v>
      </c>
      <c r="E5026" s="25">
        <v>1559.23</v>
      </c>
    </row>
    <row r="5027" spans="1:5" ht="39" x14ac:dyDescent="0.3">
      <c r="A5027" s="17" t="str">
        <f>"93456"</f>
        <v>93456</v>
      </c>
      <c r="B5027" s="5" t="s">
        <v>5180</v>
      </c>
      <c r="C5027" s="17">
        <v>20230101</v>
      </c>
      <c r="D5027" s="17">
        <v>22991231</v>
      </c>
      <c r="E5027" s="25">
        <v>1559.23</v>
      </c>
    </row>
    <row r="5028" spans="1:5" ht="39" x14ac:dyDescent="0.3">
      <c r="A5028" s="17" t="str">
        <f>"93457"</f>
        <v>93457</v>
      </c>
      <c r="B5028" s="5" t="s">
        <v>5181</v>
      </c>
      <c r="C5028" s="17">
        <v>20230101</v>
      </c>
      <c r="D5028" s="17">
        <v>22991231</v>
      </c>
      <c r="E5028" s="25">
        <v>1559.23</v>
      </c>
    </row>
    <row r="5029" spans="1:5" ht="39" x14ac:dyDescent="0.3">
      <c r="A5029" s="17" t="str">
        <f>"93458"</f>
        <v>93458</v>
      </c>
      <c r="B5029" s="5" t="s">
        <v>5182</v>
      </c>
      <c r="C5029" s="17">
        <v>20230101</v>
      </c>
      <c r="D5029" s="17">
        <v>22991231</v>
      </c>
      <c r="E5029" s="25">
        <v>1559.23</v>
      </c>
    </row>
    <row r="5030" spans="1:5" ht="39" x14ac:dyDescent="0.3">
      <c r="A5030" s="17" t="str">
        <f>"93459"</f>
        <v>93459</v>
      </c>
      <c r="B5030" s="5" t="s">
        <v>5183</v>
      </c>
      <c r="C5030" s="17">
        <v>20230101</v>
      </c>
      <c r="D5030" s="17">
        <v>22991231</v>
      </c>
      <c r="E5030" s="25">
        <v>1559.23</v>
      </c>
    </row>
    <row r="5031" spans="1:5" ht="39" x14ac:dyDescent="0.3">
      <c r="A5031" s="17" t="str">
        <f>"93460"</f>
        <v>93460</v>
      </c>
      <c r="B5031" s="5" t="s">
        <v>5184</v>
      </c>
      <c r="C5031" s="17">
        <v>20230101</v>
      </c>
      <c r="D5031" s="17">
        <v>22991231</v>
      </c>
      <c r="E5031" s="25">
        <v>1559.23</v>
      </c>
    </row>
    <row r="5032" spans="1:5" ht="39" x14ac:dyDescent="0.3">
      <c r="A5032" s="17" t="str">
        <f>"93461"</f>
        <v>93461</v>
      </c>
      <c r="B5032" s="5" t="s">
        <v>5185</v>
      </c>
      <c r="C5032" s="17">
        <v>20230101</v>
      </c>
      <c r="D5032" s="17">
        <v>22991231</v>
      </c>
      <c r="E5032" s="25">
        <v>1559.23</v>
      </c>
    </row>
    <row r="5033" spans="1:5" ht="26" x14ac:dyDescent="0.3">
      <c r="A5033" s="17" t="str">
        <f>"93462"</f>
        <v>93462</v>
      </c>
      <c r="B5033" s="5" t="s">
        <v>5186</v>
      </c>
      <c r="C5033" s="17">
        <v>20230101</v>
      </c>
      <c r="D5033" s="17">
        <v>22991231</v>
      </c>
      <c r="E5033" s="25">
        <v>0</v>
      </c>
    </row>
    <row r="5034" spans="1:5" x14ac:dyDescent="0.3">
      <c r="A5034" s="17" t="str">
        <f>"93463"</f>
        <v>93463</v>
      </c>
      <c r="B5034" s="5" t="s">
        <v>5187</v>
      </c>
      <c r="C5034" s="17">
        <v>20240101</v>
      </c>
      <c r="D5034" s="17">
        <v>22991231</v>
      </c>
      <c r="E5034" s="25">
        <v>0</v>
      </c>
    </row>
    <row r="5035" spans="1:5" ht="26" x14ac:dyDescent="0.3">
      <c r="A5035" s="17" t="str">
        <f>"93566"</f>
        <v>93566</v>
      </c>
      <c r="B5035" s="5" t="s">
        <v>5188</v>
      </c>
      <c r="C5035" s="17">
        <v>20230101</v>
      </c>
      <c r="D5035" s="17">
        <v>22991231</v>
      </c>
      <c r="E5035" s="25">
        <v>0</v>
      </c>
    </row>
    <row r="5036" spans="1:5" ht="26" x14ac:dyDescent="0.3">
      <c r="A5036" s="17" t="str">
        <f>"93567"</f>
        <v>93567</v>
      </c>
      <c r="B5036" s="5" t="s">
        <v>5189</v>
      </c>
      <c r="C5036" s="17">
        <v>20230101</v>
      </c>
      <c r="D5036" s="17">
        <v>22991231</v>
      </c>
      <c r="E5036" s="25">
        <v>0</v>
      </c>
    </row>
    <row r="5037" spans="1:5" ht="26" x14ac:dyDescent="0.3">
      <c r="A5037" s="17" t="str">
        <f>"93568"</f>
        <v>93568</v>
      </c>
      <c r="B5037" s="5" t="s">
        <v>5190</v>
      </c>
      <c r="C5037" s="17">
        <v>20230101</v>
      </c>
      <c r="D5037" s="17">
        <v>22991231</v>
      </c>
      <c r="E5037" s="25">
        <v>0</v>
      </c>
    </row>
    <row r="5038" spans="1:5" ht="26" x14ac:dyDescent="0.3">
      <c r="A5038" s="17" t="str">
        <f>"93571"</f>
        <v>93571</v>
      </c>
      <c r="B5038" s="5" t="s">
        <v>5191</v>
      </c>
      <c r="C5038" s="17">
        <v>19990101</v>
      </c>
      <c r="D5038" s="17">
        <v>22991231</v>
      </c>
      <c r="E5038" s="25">
        <v>0</v>
      </c>
    </row>
    <row r="5039" spans="1:5" ht="39" x14ac:dyDescent="0.3">
      <c r="A5039" s="17" t="str">
        <f>"93572"</f>
        <v>93572</v>
      </c>
      <c r="B5039" s="5" t="s">
        <v>5192</v>
      </c>
      <c r="C5039" s="17">
        <v>19990101</v>
      </c>
      <c r="D5039" s="17">
        <v>22991231</v>
      </c>
      <c r="E5039" s="25">
        <v>0</v>
      </c>
    </row>
    <row r="5040" spans="1:5" ht="26" x14ac:dyDescent="0.3">
      <c r="A5040" s="17" t="str">
        <f>"93590"</f>
        <v>93590</v>
      </c>
      <c r="B5040" s="5" t="s">
        <v>5193</v>
      </c>
      <c r="C5040" s="17">
        <v>20170101</v>
      </c>
      <c r="D5040" s="17">
        <v>22991231</v>
      </c>
      <c r="E5040" s="24" t="s">
        <v>7128</v>
      </c>
    </row>
    <row r="5041" spans="1:5" ht="26" x14ac:dyDescent="0.3">
      <c r="A5041" s="17" t="str">
        <f>"93591"</f>
        <v>93591</v>
      </c>
      <c r="B5041" s="5" t="s">
        <v>5194</v>
      </c>
      <c r="C5041" s="17">
        <v>20170101</v>
      </c>
      <c r="D5041" s="17">
        <v>22991231</v>
      </c>
      <c r="E5041" s="24" t="s">
        <v>7128</v>
      </c>
    </row>
    <row r="5042" spans="1:5" ht="26" x14ac:dyDescent="0.3">
      <c r="A5042" s="17" t="str">
        <f>"93592"</f>
        <v>93592</v>
      </c>
      <c r="B5042" s="5" t="s">
        <v>5195</v>
      </c>
      <c r="C5042" s="17">
        <v>20170101</v>
      </c>
      <c r="D5042" s="17">
        <v>22991231</v>
      </c>
      <c r="E5042" s="24" t="s">
        <v>7128</v>
      </c>
    </row>
    <row r="5043" spans="1:5" ht="26" x14ac:dyDescent="0.3">
      <c r="A5043" s="17" t="str">
        <f>"93662"</f>
        <v>93662</v>
      </c>
      <c r="B5043" s="5" t="s">
        <v>5196</v>
      </c>
      <c r="C5043" s="17">
        <v>20010101</v>
      </c>
      <c r="D5043" s="17">
        <v>22991231</v>
      </c>
      <c r="E5043" s="24" t="s">
        <v>7128</v>
      </c>
    </row>
    <row r="5044" spans="1:5" ht="26" x14ac:dyDescent="0.3">
      <c r="A5044" s="17" t="str">
        <f>"93792"</f>
        <v>93792</v>
      </c>
      <c r="B5044" s="5" t="s">
        <v>5197</v>
      </c>
      <c r="C5044" s="17">
        <v>20180101</v>
      </c>
      <c r="D5044" s="17">
        <v>22991231</v>
      </c>
      <c r="E5044" s="24" t="s">
        <v>7128</v>
      </c>
    </row>
    <row r="5045" spans="1:5" ht="26" x14ac:dyDescent="0.3">
      <c r="A5045" s="17" t="str">
        <f>"93793"</f>
        <v>93793</v>
      </c>
      <c r="B5045" s="5" t="s">
        <v>5198</v>
      </c>
      <c r="C5045" s="17">
        <v>20180101</v>
      </c>
      <c r="D5045" s="17">
        <v>22991231</v>
      </c>
      <c r="E5045" s="24" t="s">
        <v>7128</v>
      </c>
    </row>
    <row r="5046" spans="1:5" x14ac:dyDescent="0.3">
      <c r="A5046" s="17" t="str">
        <f>"93891"</f>
        <v>93891</v>
      </c>
      <c r="B5046" s="5" t="s">
        <v>3729</v>
      </c>
      <c r="C5046" s="17">
        <v>20050101</v>
      </c>
      <c r="D5046" s="17">
        <v>22991231</v>
      </c>
      <c r="E5046" s="24" t="s">
        <v>7128</v>
      </c>
    </row>
    <row r="5047" spans="1:5" ht="39" x14ac:dyDescent="0.3">
      <c r="A5047" s="17" t="str">
        <f>"93985"</f>
        <v>93985</v>
      </c>
      <c r="B5047" s="5" t="s">
        <v>5199</v>
      </c>
      <c r="C5047" s="17">
        <v>20230101</v>
      </c>
      <c r="D5047" s="17">
        <v>22991231</v>
      </c>
      <c r="E5047" s="25">
        <v>121.41</v>
      </c>
    </row>
    <row r="5048" spans="1:5" ht="39" x14ac:dyDescent="0.3">
      <c r="A5048" s="17" t="str">
        <f>"93986"</f>
        <v>93986</v>
      </c>
      <c r="B5048" s="5" t="s">
        <v>5200</v>
      </c>
      <c r="C5048" s="17">
        <v>20230101</v>
      </c>
      <c r="D5048" s="17">
        <v>22991231</v>
      </c>
      <c r="E5048" s="25">
        <v>54.47</v>
      </c>
    </row>
    <row r="5049" spans="1:5" x14ac:dyDescent="0.3">
      <c r="A5049" s="17" t="str">
        <f>"94617"</f>
        <v>94617</v>
      </c>
      <c r="B5049" s="5" t="s">
        <v>5201</v>
      </c>
      <c r="C5049" s="17">
        <v>20180101</v>
      </c>
      <c r="D5049" s="17">
        <v>22991231</v>
      </c>
      <c r="E5049" s="24" t="s">
        <v>7128</v>
      </c>
    </row>
    <row r="5050" spans="1:5" x14ac:dyDescent="0.3">
      <c r="A5050" s="17" t="str">
        <f>"94618"</f>
        <v>94618</v>
      </c>
      <c r="B5050" s="5" t="s">
        <v>5202</v>
      </c>
      <c r="C5050" s="17">
        <v>20180101</v>
      </c>
      <c r="D5050" s="17">
        <v>22991231</v>
      </c>
      <c r="E5050" s="24" t="s">
        <v>7128</v>
      </c>
    </row>
    <row r="5051" spans="1:5" x14ac:dyDescent="0.3">
      <c r="A5051" s="17" t="str">
        <f>"94619"</f>
        <v>94619</v>
      </c>
      <c r="B5051" s="5" t="s">
        <v>5203</v>
      </c>
      <c r="C5051" s="17">
        <v>20210101</v>
      </c>
      <c r="D5051" s="17">
        <v>22991231</v>
      </c>
      <c r="E5051" s="24" t="s">
        <v>7128</v>
      </c>
    </row>
    <row r="5052" spans="1:5" x14ac:dyDescent="0.3">
      <c r="A5052" s="17" t="str">
        <f>"94621"</f>
        <v>94621</v>
      </c>
      <c r="B5052" s="5" t="s">
        <v>5204</v>
      </c>
      <c r="C5052" s="17">
        <v>19990101</v>
      </c>
      <c r="D5052" s="17">
        <v>22991231</v>
      </c>
      <c r="E5052" s="24" t="s">
        <v>7128</v>
      </c>
    </row>
    <row r="5053" spans="1:5" ht="26" x14ac:dyDescent="0.3">
      <c r="A5053" s="17" t="str">
        <f>"95249"</f>
        <v>95249</v>
      </c>
      <c r="B5053" s="5" t="s">
        <v>5205</v>
      </c>
      <c r="C5053" s="17">
        <v>20180101</v>
      </c>
      <c r="D5053" s="17">
        <v>22991231</v>
      </c>
      <c r="E5053" s="24" t="s">
        <v>7128</v>
      </c>
    </row>
    <row r="5054" spans="1:5" ht="26" x14ac:dyDescent="0.3">
      <c r="A5054" s="17" t="str">
        <f>"95867"</f>
        <v>95867</v>
      </c>
      <c r="B5054" s="5" t="s">
        <v>5206</v>
      </c>
      <c r="C5054" s="17">
        <v>20050101</v>
      </c>
      <c r="D5054" s="17">
        <v>22991231</v>
      </c>
      <c r="E5054" s="24" t="s">
        <v>7128</v>
      </c>
    </row>
    <row r="5055" spans="1:5" ht="26" x14ac:dyDescent="0.3">
      <c r="A5055" s="17" t="str">
        <f>"95921"</f>
        <v>95921</v>
      </c>
      <c r="B5055" s="5" t="s">
        <v>5207</v>
      </c>
      <c r="C5055" s="17">
        <v>19970101</v>
      </c>
      <c r="D5055" s="17">
        <v>22991231</v>
      </c>
      <c r="E5055" s="24" t="s">
        <v>7128</v>
      </c>
    </row>
    <row r="5056" spans="1:5" ht="39" x14ac:dyDescent="0.3">
      <c r="A5056" s="17" t="str">
        <f>"95922"</f>
        <v>95922</v>
      </c>
      <c r="B5056" s="5" t="s">
        <v>5208</v>
      </c>
      <c r="C5056" s="17">
        <v>19970101</v>
      </c>
      <c r="D5056" s="17">
        <v>22991231</v>
      </c>
      <c r="E5056" s="24" t="s">
        <v>7128</v>
      </c>
    </row>
    <row r="5057" spans="1:5" ht="26" x14ac:dyDescent="0.3">
      <c r="A5057" s="17" t="str">
        <f>"95923"</f>
        <v>95923</v>
      </c>
      <c r="B5057" s="5" t="s">
        <v>5209</v>
      </c>
      <c r="C5057" s="17">
        <v>19970101</v>
      </c>
      <c r="D5057" s="17">
        <v>22991231</v>
      </c>
      <c r="E5057" s="24" t="s">
        <v>7128</v>
      </c>
    </row>
    <row r="5058" spans="1:5" ht="26" x14ac:dyDescent="0.3">
      <c r="A5058" s="17" t="str">
        <f>"95970"</f>
        <v>95970</v>
      </c>
      <c r="B5058" s="5" t="s">
        <v>5210</v>
      </c>
      <c r="C5058" s="17">
        <v>19990101</v>
      </c>
      <c r="D5058" s="17">
        <v>22991231</v>
      </c>
      <c r="E5058" s="24" t="s">
        <v>7128</v>
      </c>
    </row>
    <row r="5059" spans="1:5" ht="39" x14ac:dyDescent="0.3">
      <c r="A5059" s="17" t="str">
        <f>"95971"</f>
        <v>95971</v>
      </c>
      <c r="B5059" s="5" t="s">
        <v>5211</v>
      </c>
      <c r="C5059" s="17">
        <v>19990101</v>
      </c>
      <c r="D5059" s="17">
        <v>22991231</v>
      </c>
      <c r="E5059" s="24" t="s">
        <v>7128</v>
      </c>
    </row>
    <row r="5060" spans="1:5" ht="39" x14ac:dyDescent="0.3">
      <c r="A5060" s="17" t="str">
        <f>"95976"</f>
        <v>95976</v>
      </c>
      <c r="B5060" s="5" t="s">
        <v>5212</v>
      </c>
      <c r="C5060" s="17">
        <v>20190101</v>
      </c>
      <c r="D5060" s="17">
        <v>22991231</v>
      </c>
      <c r="E5060" s="24" t="s">
        <v>7128</v>
      </c>
    </row>
    <row r="5061" spans="1:5" ht="39" x14ac:dyDescent="0.3">
      <c r="A5061" s="17" t="str">
        <f>"95977"</f>
        <v>95977</v>
      </c>
      <c r="B5061" s="5" t="s">
        <v>5213</v>
      </c>
      <c r="C5061" s="17">
        <v>20190101</v>
      </c>
      <c r="D5061" s="17">
        <v>22991231</v>
      </c>
      <c r="E5061" s="24" t="s">
        <v>7128</v>
      </c>
    </row>
    <row r="5062" spans="1:5" ht="39" x14ac:dyDescent="0.3">
      <c r="A5062" s="17" t="str">
        <f>"95980"</f>
        <v>95980</v>
      </c>
      <c r="B5062" s="5" t="s">
        <v>5214</v>
      </c>
      <c r="C5062" s="17">
        <v>20080101</v>
      </c>
      <c r="D5062" s="17">
        <v>22991231</v>
      </c>
      <c r="E5062" s="24" t="s">
        <v>7128</v>
      </c>
    </row>
    <row r="5063" spans="1:5" ht="26" x14ac:dyDescent="0.3">
      <c r="A5063" s="17" t="str">
        <f>"95981"</f>
        <v>95981</v>
      </c>
      <c r="B5063" s="5" t="s">
        <v>5215</v>
      </c>
      <c r="C5063" s="17">
        <v>20080101</v>
      </c>
      <c r="D5063" s="17">
        <v>22991231</v>
      </c>
      <c r="E5063" s="24" t="s">
        <v>7128</v>
      </c>
    </row>
    <row r="5064" spans="1:5" ht="26" x14ac:dyDescent="0.3">
      <c r="A5064" s="17" t="str">
        <f>"95982"</f>
        <v>95982</v>
      </c>
      <c r="B5064" s="5" t="s">
        <v>5216</v>
      </c>
      <c r="C5064" s="17">
        <v>20080101</v>
      </c>
      <c r="D5064" s="17">
        <v>22991231</v>
      </c>
      <c r="E5064" s="24" t="s">
        <v>7128</v>
      </c>
    </row>
    <row r="5065" spans="1:5" ht="52" x14ac:dyDescent="0.3">
      <c r="A5065" s="17" t="str">
        <f>"95983"</f>
        <v>95983</v>
      </c>
      <c r="B5065" s="5" t="s">
        <v>5217</v>
      </c>
      <c r="C5065" s="17">
        <v>20190101</v>
      </c>
      <c r="D5065" s="17">
        <v>22991231</v>
      </c>
      <c r="E5065" s="24" t="s">
        <v>7128</v>
      </c>
    </row>
    <row r="5066" spans="1:5" ht="65" x14ac:dyDescent="0.3">
      <c r="A5066" s="17" t="str">
        <f>"95984"</f>
        <v>95984</v>
      </c>
      <c r="B5066" s="5" t="s">
        <v>5218</v>
      </c>
      <c r="C5066" s="17">
        <v>20190101</v>
      </c>
      <c r="D5066" s="17">
        <v>22991231</v>
      </c>
      <c r="E5066" s="24" t="s">
        <v>7128</v>
      </c>
    </row>
    <row r="5067" spans="1:5" ht="26" x14ac:dyDescent="0.3">
      <c r="A5067" s="17" t="str">
        <f>"96160"</f>
        <v>96160</v>
      </c>
      <c r="B5067" s="5" t="s">
        <v>5219</v>
      </c>
      <c r="C5067" s="17">
        <v>20170101</v>
      </c>
      <c r="D5067" s="17">
        <v>22991231</v>
      </c>
      <c r="E5067" s="24" t="s">
        <v>7128</v>
      </c>
    </row>
    <row r="5068" spans="1:5" ht="26" x14ac:dyDescent="0.3">
      <c r="A5068" s="17" t="str">
        <f>"96161"</f>
        <v>96161</v>
      </c>
      <c r="B5068" s="5" t="s">
        <v>5220</v>
      </c>
      <c r="C5068" s="17">
        <v>20170101</v>
      </c>
      <c r="D5068" s="17">
        <v>22991231</v>
      </c>
      <c r="E5068" s="24" t="s">
        <v>7128</v>
      </c>
    </row>
    <row r="5069" spans="1:5" x14ac:dyDescent="0.3">
      <c r="A5069" s="17" t="str">
        <f>"96360"</f>
        <v>96360</v>
      </c>
      <c r="B5069" s="5" t="s">
        <v>5221</v>
      </c>
      <c r="C5069" s="17">
        <v>20090101</v>
      </c>
      <c r="D5069" s="17">
        <v>22991231</v>
      </c>
      <c r="E5069" s="24" t="s">
        <v>7128</v>
      </c>
    </row>
    <row r="5070" spans="1:5" ht="26" x14ac:dyDescent="0.3">
      <c r="A5070" s="17" t="str">
        <f>"96361"</f>
        <v>96361</v>
      </c>
      <c r="B5070" s="5" t="s">
        <v>5222</v>
      </c>
      <c r="C5070" s="17">
        <v>20090101</v>
      </c>
      <c r="D5070" s="17">
        <v>22991231</v>
      </c>
      <c r="E5070" s="24" t="s">
        <v>7128</v>
      </c>
    </row>
    <row r="5071" spans="1:5" ht="26" x14ac:dyDescent="0.3">
      <c r="A5071" s="17" t="str">
        <f>"96365"</f>
        <v>96365</v>
      </c>
      <c r="B5071" s="5" t="s">
        <v>5223</v>
      </c>
      <c r="C5071" s="17">
        <v>20090101</v>
      </c>
      <c r="D5071" s="17">
        <v>22991231</v>
      </c>
      <c r="E5071" s="24" t="s">
        <v>7128</v>
      </c>
    </row>
    <row r="5072" spans="1:5" ht="26" x14ac:dyDescent="0.3">
      <c r="A5072" s="17" t="str">
        <f>"96366"</f>
        <v>96366</v>
      </c>
      <c r="B5072" s="5" t="s">
        <v>5224</v>
      </c>
      <c r="C5072" s="17">
        <v>20090101</v>
      </c>
      <c r="D5072" s="17">
        <v>22991231</v>
      </c>
      <c r="E5072" s="24" t="s">
        <v>7128</v>
      </c>
    </row>
    <row r="5073" spans="1:5" ht="39" x14ac:dyDescent="0.3">
      <c r="A5073" s="17" t="str">
        <f>"96367"</f>
        <v>96367</v>
      </c>
      <c r="B5073" s="5" t="s">
        <v>5225</v>
      </c>
      <c r="C5073" s="17">
        <v>20090101</v>
      </c>
      <c r="D5073" s="17">
        <v>22991231</v>
      </c>
      <c r="E5073" s="24" t="s">
        <v>7128</v>
      </c>
    </row>
    <row r="5074" spans="1:5" ht="26" x14ac:dyDescent="0.3">
      <c r="A5074" s="17" t="str">
        <f>"96368"</f>
        <v>96368</v>
      </c>
      <c r="B5074" s="5" t="s">
        <v>5226</v>
      </c>
      <c r="C5074" s="17">
        <v>20090101</v>
      </c>
      <c r="D5074" s="17">
        <v>22991231</v>
      </c>
      <c r="E5074" s="24" t="s">
        <v>7128</v>
      </c>
    </row>
    <row r="5075" spans="1:5" ht="26" x14ac:dyDescent="0.3">
      <c r="A5075" s="17" t="str">
        <f>"96369"</f>
        <v>96369</v>
      </c>
      <c r="B5075" s="5" t="s">
        <v>5227</v>
      </c>
      <c r="C5075" s="17">
        <v>20090101</v>
      </c>
      <c r="D5075" s="17">
        <v>22991231</v>
      </c>
      <c r="E5075" s="24" t="s">
        <v>7128</v>
      </c>
    </row>
    <row r="5076" spans="1:5" ht="26" x14ac:dyDescent="0.3">
      <c r="A5076" s="17" t="str">
        <f>"96370"</f>
        <v>96370</v>
      </c>
      <c r="B5076" s="5" t="s">
        <v>5228</v>
      </c>
      <c r="C5076" s="17">
        <v>20090101</v>
      </c>
      <c r="D5076" s="17">
        <v>22991231</v>
      </c>
      <c r="E5076" s="24" t="s">
        <v>7128</v>
      </c>
    </row>
    <row r="5077" spans="1:5" ht="26" x14ac:dyDescent="0.3">
      <c r="A5077" s="17" t="str">
        <f>"96371"</f>
        <v>96371</v>
      </c>
      <c r="B5077" s="5" t="s">
        <v>5229</v>
      </c>
      <c r="C5077" s="17">
        <v>20090101</v>
      </c>
      <c r="D5077" s="17">
        <v>22991231</v>
      </c>
      <c r="E5077" s="24" t="s">
        <v>7128</v>
      </c>
    </row>
    <row r="5078" spans="1:5" ht="26" x14ac:dyDescent="0.3">
      <c r="A5078" s="17" t="str">
        <f>"96372"</f>
        <v>96372</v>
      </c>
      <c r="B5078" s="5" t="s">
        <v>5230</v>
      </c>
      <c r="C5078" s="17">
        <v>20090101</v>
      </c>
      <c r="D5078" s="17">
        <v>22991231</v>
      </c>
      <c r="E5078" s="24" t="s">
        <v>7128</v>
      </c>
    </row>
    <row r="5079" spans="1:5" x14ac:dyDescent="0.3">
      <c r="A5079" s="17" t="str">
        <f>"96373"</f>
        <v>96373</v>
      </c>
      <c r="B5079" s="5" t="s">
        <v>5231</v>
      </c>
      <c r="C5079" s="17">
        <v>20090101</v>
      </c>
      <c r="D5079" s="17">
        <v>22991231</v>
      </c>
      <c r="E5079" s="24" t="s">
        <v>7128</v>
      </c>
    </row>
    <row r="5080" spans="1:5" x14ac:dyDescent="0.3">
      <c r="A5080" s="17" t="str">
        <f>"96374"</f>
        <v>96374</v>
      </c>
      <c r="B5080" s="5" t="s">
        <v>5232</v>
      </c>
      <c r="C5080" s="17">
        <v>20090101</v>
      </c>
      <c r="D5080" s="17">
        <v>22991231</v>
      </c>
      <c r="E5080" s="24" t="s">
        <v>7128</v>
      </c>
    </row>
    <row r="5081" spans="1:5" ht="26" x14ac:dyDescent="0.3">
      <c r="A5081" s="17" t="str">
        <f>"96375"</f>
        <v>96375</v>
      </c>
      <c r="B5081" s="5" t="s">
        <v>5233</v>
      </c>
      <c r="C5081" s="17">
        <v>20090101</v>
      </c>
      <c r="D5081" s="17">
        <v>22991231</v>
      </c>
      <c r="E5081" s="24" t="s">
        <v>7128</v>
      </c>
    </row>
    <row r="5082" spans="1:5" ht="26" x14ac:dyDescent="0.3">
      <c r="A5082" s="17" t="str">
        <f>"96376"</f>
        <v>96376</v>
      </c>
      <c r="B5082" s="5" t="s">
        <v>5234</v>
      </c>
      <c r="C5082" s="17">
        <v>20090101</v>
      </c>
      <c r="D5082" s="17">
        <v>22991231</v>
      </c>
      <c r="E5082" s="24" t="s">
        <v>7128</v>
      </c>
    </row>
    <row r="5083" spans="1:5" ht="26" x14ac:dyDescent="0.3">
      <c r="A5083" s="17" t="str">
        <f>"96377"</f>
        <v>96377</v>
      </c>
      <c r="B5083" s="5" t="s">
        <v>5235</v>
      </c>
      <c r="C5083" s="17">
        <v>20170101</v>
      </c>
      <c r="D5083" s="17">
        <v>22991231</v>
      </c>
      <c r="E5083" s="24" t="s">
        <v>7128</v>
      </c>
    </row>
    <row r="5084" spans="1:5" ht="26" x14ac:dyDescent="0.3">
      <c r="A5084" s="17" t="str">
        <f>"96379"</f>
        <v>96379</v>
      </c>
      <c r="B5084" s="5" t="s">
        <v>5236</v>
      </c>
      <c r="C5084" s="17">
        <v>20090101</v>
      </c>
      <c r="D5084" s="17">
        <v>22991231</v>
      </c>
      <c r="E5084" s="24" t="s">
        <v>7128</v>
      </c>
    </row>
    <row r="5085" spans="1:5" x14ac:dyDescent="0.3">
      <c r="A5085" s="17" t="str">
        <f>"96521"</f>
        <v>96521</v>
      </c>
      <c r="B5085" s="5" t="s">
        <v>5237</v>
      </c>
      <c r="C5085" s="17">
        <v>20060101</v>
      </c>
      <c r="D5085" s="17">
        <v>22991231</v>
      </c>
      <c r="E5085" s="24" t="s">
        <v>7128</v>
      </c>
    </row>
    <row r="5086" spans="1:5" ht="26" x14ac:dyDescent="0.3">
      <c r="A5086" s="17" t="str">
        <f>"96522"</f>
        <v>96522</v>
      </c>
      <c r="B5086" s="5" t="s">
        <v>5238</v>
      </c>
      <c r="C5086" s="17">
        <v>20060101</v>
      </c>
      <c r="D5086" s="17">
        <v>22991231</v>
      </c>
      <c r="E5086" s="24" t="s">
        <v>7128</v>
      </c>
    </row>
    <row r="5087" spans="1:5" ht="26" x14ac:dyDescent="0.3">
      <c r="A5087" s="17" t="str">
        <f>"96523"</f>
        <v>96523</v>
      </c>
      <c r="B5087" s="5" t="s">
        <v>5239</v>
      </c>
      <c r="C5087" s="17">
        <v>20060101</v>
      </c>
      <c r="D5087" s="17">
        <v>22991231</v>
      </c>
      <c r="E5087" s="24" t="s">
        <v>7128</v>
      </c>
    </row>
    <row r="5088" spans="1:5" ht="26" x14ac:dyDescent="0.3">
      <c r="A5088" s="17" t="str">
        <f>"96570"</f>
        <v>96570</v>
      </c>
      <c r="B5088" s="5" t="s">
        <v>5240</v>
      </c>
      <c r="C5088" s="17">
        <v>20000101</v>
      </c>
      <c r="D5088" s="17">
        <v>22991231</v>
      </c>
      <c r="E5088" s="24" t="s">
        <v>7128</v>
      </c>
    </row>
    <row r="5089" spans="1:5" ht="39" x14ac:dyDescent="0.3">
      <c r="A5089" s="17" t="str">
        <f>"96571"</f>
        <v>96571</v>
      </c>
      <c r="B5089" s="5" t="s">
        <v>5241</v>
      </c>
      <c r="C5089" s="17">
        <v>20000101</v>
      </c>
      <c r="D5089" s="17">
        <v>22991231</v>
      </c>
      <c r="E5089" s="24" t="s">
        <v>7128</v>
      </c>
    </row>
    <row r="5090" spans="1:5" ht="26" x14ac:dyDescent="0.3">
      <c r="A5090" s="17" t="str">
        <f>"96573"</f>
        <v>96573</v>
      </c>
      <c r="B5090" s="5" t="s">
        <v>5242</v>
      </c>
      <c r="C5090" s="17">
        <v>20180101</v>
      </c>
      <c r="D5090" s="17">
        <v>22991231</v>
      </c>
      <c r="E5090" s="24" t="s">
        <v>7128</v>
      </c>
    </row>
    <row r="5091" spans="1:5" ht="26" x14ac:dyDescent="0.3">
      <c r="A5091" s="17" t="str">
        <f>"96574"</f>
        <v>96574</v>
      </c>
      <c r="B5091" s="5" t="s">
        <v>5243</v>
      </c>
      <c r="C5091" s="17">
        <v>20180101</v>
      </c>
      <c r="D5091" s="17">
        <v>22991231</v>
      </c>
      <c r="E5091" s="24" t="s">
        <v>7128</v>
      </c>
    </row>
    <row r="5092" spans="1:5" ht="26" x14ac:dyDescent="0.3">
      <c r="A5092" s="17" t="str">
        <f>"97140"</f>
        <v>97140</v>
      </c>
      <c r="B5092" s="5" t="s">
        <v>5244</v>
      </c>
      <c r="C5092" s="17">
        <v>20070105</v>
      </c>
      <c r="D5092" s="17">
        <v>22991231</v>
      </c>
      <c r="E5092" s="24" t="s">
        <v>7128</v>
      </c>
    </row>
    <row r="5093" spans="1:5" ht="26" x14ac:dyDescent="0.3">
      <c r="A5093" s="17" t="str">
        <f>"97161"</f>
        <v>97161</v>
      </c>
      <c r="B5093" s="5" t="s">
        <v>5245</v>
      </c>
      <c r="C5093" s="17">
        <v>20170101</v>
      </c>
      <c r="D5093" s="17">
        <v>22991231</v>
      </c>
      <c r="E5093" s="24" t="s">
        <v>7128</v>
      </c>
    </row>
    <row r="5094" spans="1:5" ht="26" x14ac:dyDescent="0.3">
      <c r="A5094" s="17" t="str">
        <f>"97162"</f>
        <v>97162</v>
      </c>
      <c r="B5094" s="5" t="s">
        <v>5246</v>
      </c>
      <c r="C5094" s="17">
        <v>20170101</v>
      </c>
      <c r="D5094" s="17">
        <v>22991231</v>
      </c>
      <c r="E5094" s="24" t="s">
        <v>7128</v>
      </c>
    </row>
    <row r="5095" spans="1:5" ht="26" x14ac:dyDescent="0.3">
      <c r="A5095" s="17" t="str">
        <f>"97163"</f>
        <v>97163</v>
      </c>
      <c r="B5095" s="5" t="s">
        <v>5247</v>
      </c>
      <c r="C5095" s="17">
        <v>20170101</v>
      </c>
      <c r="D5095" s="17">
        <v>22991231</v>
      </c>
      <c r="E5095" s="24" t="s">
        <v>7128</v>
      </c>
    </row>
    <row r="5096" spans="1:5" ht="26" x14ac:dyDescent="0.3">
      <c r="A5096" s="17" t="str">
        <f>"97164"</f>
        <v>97164</v>
      </c>
      <c r="B5096" s="5" t="s">
        <v>5248</v>
      </c>
      <c r="C5096" s="17">
        <v>20170101</v>
      </c>
      <c r="D5096" s="17">
        <v>22991231</v>
      </c>
      <c r="E5096" s="24" t="s">
        <v>7128</v>
      </c>
    </row>
    <row r="5097" spans="1:5" ht="26" x14ac:dyDescent="0.3">
      <c r="A5097" s="17" t="str">
        <f>"97165"</f>
        <v>97165</v>
      </c>
      <c r="B5097" s="5" t="s">
        <v>5249</v>
      </c>
      <c r="C5097" s="17">
        <v>20170101</v>
      </c>
      <c r="D5097" s="17">
        <v>22991231</v>
      </c>
      <c r="E5097" s="24" t="s">
        <v>7128</v>
      </c>
    </row>
    <row r="5098" spans="1:5" ht="26" x14ac:dyDescent="0.3">
      <c r="A5098" s="17" t="str">
        <f>"97166"</f>
        <v>97166</v>
      </c>
      <c r="B5098" s="5" t="s">
        <v>5250</v>
      </c>
      <c r="C5098" s="17">
        <v>20170101</v>
      </c>
      <c r="D5098" s="17">
        <v>22991231</v>
      </c>
      <c r="E5098" s="24" t="s">
        <v>7128</v>
      </c>
    </row>
    <row r="5099" spans="1:5" ht="26" x14ac:dyDescent="0.3">
      <c r="A5099" s="17" t="str">
        <f>"97167"</f>
        <v>97167</v>
      </c>
      <c r="B5099" s="5" t="s">
        <v>5251</v>
      </c>
      <c r="C5099" s="17">
        <v>20170101</v>
      </c>
      <c r="D5099" s="17">
        <v>22991231</v>
      </c>
      <c r="E5099" s="24" t="s">
        <v>7128</v>
      </c>
    </row>
    <row r="5100" spans="1:5" ht="26" x14ac:dyDescent="0.3">
      <c r="A5100" s="17" t="str">
        <f>"97168"</f>
        <v>97168</v>
      </c>
      <c r="B5100" s="5" t="s">
        <v>5252</v>
      </c>
      <c r="C5100" s="17">
        <v>20170101</v>
      </c>
      <c r="D5100" s="17">
        <v>22991231</v>
      </c>
      <c r="E5100" s="24" t="s">
        <v>7128</v>
      </c>
    </row>
    <row r="5101" spans="1:5" ht="26" x14ac:dyDescent="0.3">
      <c r="A5101" s="17" t="str">
        <f>"97169"</f>
        <v>97169</v>
      </c>
      <c r="B5101" s="5" t="s">
        <v>5253</v>
      </c>
      <c r="C5101" s="17">
        <v>20170101</v>
      </c>
      <c r="D5101" s="17">
        <v>22991231</v>
      </c>
      <c r="E5101" s="24" t="s">
        <v>7128</v>
      </c>
    </row>
    <row r="5102" spans="1:5" ht="26" x14ac:dyDescent="0.3">
      <c r="A5102" s="17" t="str">
        <f>"97170"</f>
        <v>97170</v>
      </c>
      <c r="B5102" s="5" t="s">
        <v>5254</v>
      </c>
      <c r="C5102" s="17">
        <v>20170101</v>
      </c>
      <c r="D5102" s="17">
        <v>22991231</v>
      </c>
      <c r="E5102" s="24" t="s">
        <v>7128</v>
      </c>
    </row>
    <row r="5103" spans="1:5" ht="26" x14ac:dyDescent="0.3">
      <c r="A5103" s="17" t="str">
        <f>"97171"</f>
        <v>97171</v>
      </c>
      <c r="B5103" s="5" t="s">
        <v>5255</v>
      </c>
      <c r="C5103" s="17">
        <v>20170101</v>
      </c>
      <c r="D5103" s="17">
        <v>22991231</v>
      </c>
      <c r="E5103" s="24" t="s">
        <v>7128</v>
      </c>
    </row>
    <row r="5104" spans="1:5" ht="26" x14ac:dyDescent="0.3">
      <c r="A5104" s="17" t="str">
        <f>"97172"</f>
        <v>97172</v>
      </c>
      <c r="B5104" s="5" t="s">
        <v>5256</v>
      </c>
      <c r="C5104" s="17">
        <v>20170101</v>
      </c>
      <c r="D5104" s="17">
        <v>22991231</v>
      </c>
      <c r="E5104" s="24" t="s">
        <v>7128</v>
      </c>
    </row>
    <row r="5105" spans="1:5" x14ac:dyDescent="0.3">
      <c r="A5105" s="17" t="str">
        <f>"97602"</f>
        <v>97602</v>
      </c>
      <c r="B5105" s="5" t="s">
        <v>5257</v>
      </c>
      <c r="C5105" s="17">
        <v>20070105</v>
      </c>
      <c r="D5105" s="17">
        <v>22991231</v>
      </c>
      <c r="E5105" s="24" t="s">
        <v>7128</v>
      </c>
    </row>
    <row r="5106" spans="1:5" ht="39" x14ac:dyDescent="0.3">
      <c r="A5106" s="17" t="str">
        <f>"97763"</f>
        <v>97763</v>
      </c>
      <c r="B5106" s="5" t="s">
        <v>5258</v>
      </c>
      <c r="C5106" s="17">
        <v>20180101</v>
      </c>
      <c r="D5106" s="17">
        <v>22991231</v>
      </c>
      <c r="E5106" s="24" t="s">
        <v>7128</v>
      </c>
    </row>
    <row r="5107" spans="1:5" ht="26" x14ac:dyDescent="0.3">
      <c r="A5107" s="17" t="str">
        <f>"98940"</f>
        <v>98940</v>
      </c>
      <c r="B5107" s="5" t="s">
        <v>5259</v>
      </c>
      <c r="C5107" s="17">
        <v>19970101</v>
      </c>
      <c r="D5107" s="17">
        <v>22991231</v>
      </c>
      <c r="E5107" s="24" t="s">
        <v>7128</v>
      </c>
    </row>
    <row r="5108" spans="1:5" ht="26" x14ac:dyDescent="0.3">
      <c r="A5108" s="17" t="str">
        <f>"98941"</f>
        <v>98941</v>
      </c>
      <c r="B5108" s="5" t="s">
        <v>5260</v>
      </c>
      <c r="C5108" s="17">
        <v>19970101</v>
      </c>
      <c r="D5108" s="17">
        <v>22991231</v>
      </c>
      <c r="E5108" s="24" t="s">
        <v>7128</v>
      </c>
    </row>
    <row r="5109" spans="1:5" ht="26" x14ac:dyDescent="0.3">
      <c r="A5109" s="17" t="str">
        <f>"98942"</f>
        <v>98942</v>
      </c>
      <c r="B5109" s="5" t="s">
        <v>5261</v>
      </c>
      <c r="C5109" s="17">
        <v>19970101</v>
      </c>
      <c r="D5109" s="17">
        <v>22991231</v>
      </c>
      <c r="E5109" s="24" t="s">
        <v>7128</v>
      </c>
    </row>
    <row r="5110" spans="1:5" ht="26" x14ac:dyDescent="0.3">
      <c r="A5110" s="17" t="str">
        <f>"98943"</f>
        <v>98943</v>
      </c>
      <c r="B5110" s="5" t="s">
        <v>5262</v>
      </c>
      <c r="C5110" s="17">
        <v>19970101</v>
      </c>
      <c r="D5110" s="17">
        <v>22991231</v>
      </c>
      <c r="E5110" s="24" t="s">
        <v>7128</v>
      </c>
    </row>
    <row r="5111" spans="1:5" ht="52" x14ac:dyDescent="0.3">
      <c r="A5111" s="17" t="str">
        <f>"99151"</f>
        <v>99151</v>
      </c>
      <c r="B5111" s="5" t="s">
        <v>5263</v>
      </c>
      <c r="C5111" s="17">
        <v>20170101</v>
      </c>
      <c r="D5111" s="17">
        <v>22991231</v>
      </c>
      <c r="E5111" s="24" t="s">
        <v>7128</v>
      </c>
    </row>
    <row r="5112" spans="1:5" ht="39" x14ac:dyDescent="0.3">
      <c r="A5112" s="17" t="str">
        <f>"99152"</f>
        <v>99152</v>
      </c>
      <c r="B5112" s="5" t="s">
        <v>5264</v>
      </c>
      <c r="C5112" s="17">
        <v>20170101</v>
      </c>
      <c r="D5112" s="17">
        <v>22991231</v>
      </c>
      <c r="E5112" s="24" t="s">
        <v>7128</v>
      </c>
    </row>
    <row r="5113" spans="1:5" ht="39" x14ac:dyDescent="0.3">
      <c r="A5113" s="17" t="str">
        <f>"99153"</f>
        <v>99153</v>
      </c>
      <c r="B5113" s="5" t="s">
        <v>5265</v>
      </c>
      <c r="C5113" s="17">
        <v>20170101</v>
      </c>
      <c r="D5113" s="17">
        <v>22991231</v>
      </c>
      <c r="E5113" s="24" t="s">
        <v>7128</v>
      </c>
    </row>
    <row r="5114" spans="1:5" ht="52" x14ac:dyDescent="0.3">
      <c r="A5114" s="17" t="str">
        <f>"99155"</f>
        <v>99155</v>
      </c>
      <c r="B5114" s="5" t="s">
        <v>5266</v>
      </c>
      <c r="C5114" s="17">
        <v>20170101</v>
      </c>
      <c r="D5114" s="17">
        <v>22991231</v>
      </c>
      <c r="E5114" s="24" t="s">
        <v>7128</v>
      </c>
    </row>
    <row r="5115" spans="1:5" ht="39" x14ac:dyDescent="0.3">
      <c r="A5115" s="17" t="str">
        <f>"99156"</f>
        <v>99156</v>
      </c>
      <c r="B5115" s="5" t="s">
        <v>5267</v>
      </c>
      <c r="C5115" s="17">
        <v>20170101</v>
      </c>
      <c r="D5115" s="17">
        <v>22991231</v>
      </c>
      <c r="E5115" s="24" t="s">
        <v>7128</v>
      </c>
    </row>
    <row r="5116" spans="1:5" ht="39" x14ac:dyDescent="0.3">
      <c r="A5116" s="17" t="str">
        <f>"99157"</f>
        <v>99157</v>
      </c>
      <c r="B5116" s="5" t="s">
        <v>5268</v>
      </c>
      <c r="C5116" s="17">
        <v>20170101</v>
      </c>
      <c r="D5116" s="17">
        <v>22991231</v>
      </c>
      <c r="E5116" s="24" t="s">
        <v>7128</v>
      </c>
    </row>
    <row r="5117" spans="1:5" ht="26" x14ac:dyDescent="0.3">
      <c r="A5117" s="17" t="str">
        <f>"99170"</f>
        <v>99170</v>
      </c>
      <c r="B5117" s="5" t="s">
        <v>5269</v>
      </c>
      <c r="C5117" s="17">
        <v>20000101</v>
      </c>
      <c r="D5117" s="17">
        <v>22991231</v>
      </c>
      <c r="E5117" s="24" t="s">
        <v>7128</v>
      </c>
    </row>
    <row r="5118" spans="1:5" ht="26" x14ac:dyDescent="0.3">
      <c r="A5118" s="17" t="str">
        <f>"99174"</f>
        <v>99174</v>
      </c>
      <c r="B5118" s="5" t="s">
        <v>5270</v>
      </c>
      <c r="C5118" s="17">
        <v>20080101</v>
      </c>
      <c r="D5118" s="17">
        <v>22991231</v>
      </c>
      <c r="E5118" s="24" t="s">
        <v>7128</v>
      </c>
    </row>
    <row r="5119" spans="1:5" ht="26" x14ac:dyDescent="0.3">
      <c r="A5119" s="17" t="str">
        <f>"99401"</f>
        <v>99401</v>
      </c>
      <c r="B5119" s="5" t="s">
        <v>5271</v>
      </c>
      <c r="C5119" s="17">
        <v>20220101</v>
      </c>
      <c r="D5119" s="17">
        <v>22991231</v>
      </c>
      <c r="E5119" s="24" t="s">
        <v>7128</v>
      </c>
    </row>
    <row r="5120" spans="1:5" ht="26" x14ac:dyDescent="0.3">
      <c r="A5120" s="17" t="str">
        <f>"99406"</f>
        <v>99406</v>
      </c>
      <c r="B5120" s="5" t="s">
        <v>5272</v>
      </c>
      <c r="C5120" s="17">
        <v>20080101</v>
      </c>
      <c r="D5120" s="17">
        <v>22991231</v>
      </c>
      <c r="E5120" s="24" t="s">
        <v>7128</v>
      </c>
    </row>
    <row r="5121" spans="1:5" ht="26" x14ac:dyDescent="0.3">
      <c r="A5121" s="17" t="str">
        <f>"99407"</f>
        <v>99407</v>
      </c>
      <c r="B5121" s="5" t="s">
        <v>5273</v>
      </c>
      <c r="C5121" s="17">
        <v>20080101</v>
      </c>
      <c r="D5121" s="17">
        <v>22991231</v>
      </c>
      <c r="E5121" s="24" t="s">
        <v>7128</v>
      </c>
    </row>
    <row r="5122" spans="1:5" ht="39" x14ac:dyDescent="0.3">
      <c r="A5122" s="17" t="str">
        <f>"99421"</f>
        <v>99421</v>
      </c>
      <c r="B5122" s="5" t="s">
        <v>5274</v>
      </c>
      <c r="C5122" s="17">
        <v>20200101</v>
      </c>
      <c r="D5122" s="17">
        <v>22991231</v>
      </c>
      <c r="E5122" s="24" t="s">
        <v>7128</v>
      </c>
    </row>
    <row r="5123" spans="1:5" ht="39" x14ac:dyDescent="0.3">
      <c r="A5123" s="17" t="str">
        <f>"99422"</f>
        <v>99422</v>
      </c>
      <c r="B5123" s="5" t="s">
        <v>5275</v>
      </c>
      <c r="C5123" s="17">
        <v>20200101</v>
      </c>
      <c r="D5123" s="17">
        <v>22991231</v>
      </c>
      <c r="E5123" s="24" t="s">
        <v>7128</v>
      </c>
    </row>
    <row r="5124" spans="1:5" ht="39" x14ac:dyDescent="0.3">
      <c r="A5124" s="17" t="str">
        <f>"99423"</f>
        <v>99423</v>
      </c>
      <c r="B5124" s="5" t="s">
        <v>5276</v>
      </c>
      <c r="C5124" s="17">
        <v>20200101</v>
      </c>
      <c r="D5124" s="17">
        <v>22991231</v>
      </c>
      <c r="E5124" s="24" t="s">
        <v>7128</v>
      </c>
    </row>
    <row r="5125" spans="1:5" ht="26" x14ac:dyDescent="0.3">
      <c r="A5125" s="17" t="str">
        <f>"99441"</f>
        <v>99441</v>
      </c>
      <c r="B5125" s="5" t="s">
        <v>5277</v>
      </c>
      <c r="C5125" s="17">
        <v>20190101</v>
      </c>
      <c r="D5125" s="17">
        <v>22991231</v>
      </c>
      <c r="E5125" s="24" t="s">
        <v>7128</v>
      </c>
    </row>
    <row r="5126" spans="1:5" ht="26" x14ac:dyDescent="0.3">
      <c r="A5126" s="17" t="str">
        <f>"99442"</f>
        <v>99442</v>
      </c>
      <c r="B5126" s="5" t="s">
        <v>5278</v>
      </c>
      <c r="C5126" s="17">
        <v>20190101</v>
      </c>
      <c r="D5126" s="17">
        <v>22991231</v>
      </c>
      <c r="E5126" s="24" t="s">
        <v>7128</v>
      </c>
    </row>
    <row r="5127" spans="1:5" ht="26" x14ac:dyDescent="0.3">
      <c r="A5127" s="17" t="str">
        <f>"99443"</f>
        <v>99443</v>
      </c>
      <c r="B5127" s="5" t="s">
        <v>5279</v>
      </c>
      <c r="C5127" s="17">
        <v>20190101</v>
      </c>
      <c r="D5127" s="17">
        <v>22991231</v>
      </c>
      <c r="E5127" s="24" t="s">
        <v>7128</v>
      </c>
    </row>
    <row r="5128" spans="1:5" ht="52" x14ac:dyDescent="0.3">
      <c r="A5128" s="17" t="str">
        <f>"99446"</f>
        <v>99446</v>
      </c>
      <c r="B5128" s="5" t="s">
        <v>5280</v>
      </c>
      <c r="C5128" s="17">
        <v>20190101</v>
      </c>
      <c r="D5128" s="17">
        <v>22991231</v>
      </c>
      <c r="E5128" s="24" t="s">
        <v>7128</v>
      </c>
    </row>
    <row r="5129" spans="1:5" ht="39" x14ac:dyDescent="0.3">
      <c r="A5129" s="17" t="str">
        <f>"99447"</f>
        <v>99447</v>
      </c>
      <c r="B5129" s="5" t="s">
        <v>5281</v>
      </c>
      <c r="C5129" s="17">
        <v>20190101</v>
      </c>
      <c r="D5129" s="17">
        <v>22991231</v>
      </c>
      <c r="E5129" s="24" t="s">
        <v>7128</v>
      </c>
    </row>
    <row r="5130" spans="1:5" ht="39" x14ac:dyDescent="0.3">
      <c r="A5130" s="17" t="str">
        <f>"99448"</f>
        <v>99448</v>
      </c>
      <c r="B5130" s="5" t="s">
        <v>5282</v>
      </c>
      <c r="C5130" s="17">
        <v>20190101</v>
      </c>
      <c r="D5130" s="17">
        <v>22991231</v>
      </c>
      <c r="E5130" s="24" t="s">
        <v>7128</v>
      </c>
    </row>
    <row r="5131" spans="1:5" ht="39" x14ac:dyDescent="0.3">
      <c r="A5131" s="17" t="str">
        <f>"99449"</f>
        <v>99449</v>
      </c>
      <c r="B5131" s="5" t="s">
        <v>5283</v>
      </c>
      <c r="C5131" s="17">
        <v>20190101</v>
      </c>
      <c r="D5131" s="17">
        <v>22991231</v>
      </c>
      <c r="E5131" s="24" t="s">
        <v>7128</v>
      </c>
    </row>
    <row r="5132" spans="1:5" ht="39" x14ac:dyDescent="0.3">
      <c r="A5132" s="17" t="str">
        <f>"99451"</f>
        <v>99451</v>
      </c>
      <c r="B5132" s="5" t="s">
        <v>5284</v>
      </c>
      <c r="C5132" s="17">
        <v>20190101</v>
      </c>
      <c r="D5132" s="17">
        <v>22991231</v>
      </c>
      <c r="E5132" s="24" t="s">
        <v>7128</v>
      </c>
    </row>
    <row r="5133" spans="1:5" ht="26" x14ac:dyDescent="0.3">
      <c r="A5133" s="17" t="str">
        <f>"99452"</f>
        <v>99452</v>
      </c>
      <c r="B5133" s="5" t="s">
        <v>5285</v>
      </c>
      <c r="C5133" s="17">
        <v>20190101</v>
      </c>
      <c r="D5133" s="17">
        <v>22991231</v>
      </c>
      <c r="E5133" s="24" t="s">
        <v>7128</v>
      </c>
    </row>
    <row r="5134" spans="1:5" ht="39" x14ac:dyDescent="0.3">
      <c r="A5134" s="17" t="str">
        <f>"99453"</f>
        <v>99453</v>
      </c>
      <c r="B5134" s="5" t="s">
        <v>5286</v>
      </c>
      <c r="C5134" s="17">
        <v>20190101</v>
      </c>
      <c r="D5134" s="17">
        <v>22991231</v>
      </c>
      <c r="E5134" s="24" t="s">
        <v>7128</v>
      </c>
    </row>
    <row r="5135" spans="1:5" ht="39" x14ac:dyDescent="0.3">
      <c r="A5135" s="17" t="str">
        <f>"99454"</f>
        <v>99454</v>
      </c>
      <c r="B5135" s="5" t="s">
        <v>5287</v>
      </c>
      <c r="C5135" s="17">
        <v>20190101</v>
      </c>
      <c r="D5135" s="17">
        <v>22991231</v>
      </c>
      <c r="E5135" s="24" t="s">
        <v>7128</v>
      </c>
    </row>
    <row r="5136" spans="1:5" ht="39" x14ac:dyDescent="0.3">
      <c r="A5136" s="17" t="str">
        <f>"99457"</f>
        <v>99457</v>
      </c>
      <c r="B5136" s="5" t="s">
        <v>5288</v>
      </c>
      <c r="C5136" s="17">
        <v>20190101</v>
      </c>
      <c r="D5136" s="17">
        <v>22991231</v>
      </c>
      <c r="E5136" s="24" t="s">
        <v>7128</v>
      </c>
    </row>
    <row r="5137" spans="1:5" ht="39" x14ac:dyDescent="0.3">
      <c r="A5137" s="17" t="str">
        <f>"99458"</f>
        <v>99458</v>
      </c>
      <c r="B5137" s="5" t="s">
        <v>5289</v>
      </c>
      <c r="C5137" s="17">
        <v>20200101</v>
      </c>
      <c r="D5137" s="17">
        <v>22991231</v>
      </c>
      <c r="E5137" s="24" t="s">
        <v>7128</v>
      </c>
    </row>
    <row r="5138" spans="1:5" ht="26" x14ac:dyDescent="0.3">
      <c r="A5138" s="17" t="str">
        <f>"99473"</f>
        <v>99473</v>
      </c>
      <c r="B5138" s="5" t="s">
        <v>5290</v>
      </c>
      <c r="C5138" s="17">
        <v>20200101</v>
      </c>
      <c r="D5138" s="17">
        <v>22991231</v>
      </c>
      <c r="E5138" s="24" t="s">
        <v>7128</v>
      </c>
    </row>
    <row r="5139" spans="1:5" x14ac:dyDescent="0.3">
      <c r="A5139" s="17" t="str">
        <f>"99474"</f>
        <v>99474</v>
      </c>
      <c r="B5139" s="5" t="s">
        <v>5291</v>
      </c>
      <c r="C5139" s="17">
        <v>20200101</v>
      </c>
      <c r="D5139" s="17">
        <v>22991231</v>
      </c>
      <c r="E5139" s="24" t="s">
        <v>7128</v>
      </c>
    </row>
    <row r="5140" spans="1:5" ht="26" x14ac:dyDescent="0.3">
      <c r="A5140" s="17" t="str">
        <f>"99483"</f>
        <v>99483</v>
      </c>
      <c r="B5140" s="5" t="s">
        <v>5292</v>
      </c>
      <c r="C5140" s="17">
        <v>20180101</v>
      </c>
      <c r="D5140" s="17">
        <v>22991231</v>
      </c>
      <c r="E5140" s="24" t="s">
        <v>7128</v>
      </c>
    </row>
    <row r="5141" spans="1:5" ht="39" x14ac:dyDescent="0.3">
      <c r="A5141" s="17" t="str">
        <f>"99484"</f>
        <v>99484</v>
      </c>
      <c r="B5141" s="5" t="s">
        <v>5293</v>
      </c>
      <c r="C5141" s="17">
        <v>20180101</v>
      </c>
      <c r="D5141" s="17">
        <v>22991231</v>
      </c>
      <c r="E5141" s="24" t="s">
        <v>7128</v>
      </c>
    </row>
    <row r="5142" spans="1:5" ht="39" x14ac:dyDescent="0.3">
      <c r="A5142" s="17" t="str">
        <f>"99492"</f>
        <v>99492</v>
      </c>
      <c r="B5142" s="5" t="s">
        <v>5294</v>
      </c>
      <c r="C5142" s="17">
        <v>20180101</v>
      </c>
      <c r="D5142" s="17">
        <v>22991231</v>
      </c>
      <c r="E5142" s="24" t="s">
        <v>7128</v>
      </c>
    </row>
    <row r="5143" spans="1:5" ht="39" x14ac:dyDescent="0.3">
      <c r="A5143" s="17" t="str">
        <f>"99493"</f>
        <v>99493</v>
      </c>
      <c r="B5143" s="5" t="s">
        <v>5295</v>
      </c>
      <c r="C5143" s="17">
        <v>20180101</v>
      </c>
      <c r="D5143" s="17">
        <v>22991231</v>
      </c>
      <c r="E5143" s="24" t="s">
        <v>7128</v>
      </c>
    </row>
    <row r="5144" spans="1:5" ht="26" x14ac:dyDescent="0.3">
      <c r="A5144" s="17" t="str">
        <f>"99494"</f>
        <v>99494</v>
      </c>
      <c r="B5144" s="5" t="s">
        <v>5296</v>
      </c>
      <c r="C5144" s="17">
        <v>20180101</v>
      </c>
      <c r="D5144" s="17">
        <v>22991231</v>
      </c>
      <c r="E5144" s="24" t="s">
        <v>7128</v>
      </c>
    </row>
    <row r="5145" spans="1:5" ht="39" x14ac:dyDescent="0.3">
      <c r="A5145" s="17" t="str">
        <f>"0054T"</f>
        <v>0054T</v>
      </c>
      <c r="B5145" s="5" t="s">
        <v>73</v>
      </c>
      <c r="C5145" s="17">
        <v>20090101</v>
      </c>
      <c r="D5145" s="17">
        <v>22991231</v>
      </c>
      <c r="E5145" s="24" t="s">
        <v>7128</v>
      </c>
    </row>
    <row r="5146" spans="1:5" ht="26" x14ac:dyDescent="0.3">
      <c r="A5146" s="17" t="str">
        <f>"0055T"</f>
        <v>0055T</v>
      </c>
      <c r="B5146" s="5" t="s">
        <v>74</v>
      </c>
      <c r="C5146" s="17">
        <v>20090101</v>
      </c>
      <c r="D5146" s="17">
        <v>22991231</v>
      </c>
      <c r="E5146" s="24" t="s">
        <v>7128</v>
      </c>
    </row>
    <row r="5147" spans="1:5" ht="26" x14ac:dyDescent="0.3">
      <c r="A5147" s="17" t="str">
        <f>"0101T"</f>
        <v>0101T</v>
      </c>
      <c r="B5147" s="5" t="s">
        <v>124</v>
      </c>
      <c r="C5147" s="17">
        <v>20230101</v>
      </c>
      <c r="D5147" s="17">
        <v>22991231</v>
      </c>
      <c r="E5147" s="25">
        <v>116.84</v>
      </c>
    </row>
    <row r="5148" spans="1:5" ht="39" x14ac:dyDescent="0.3">
      <c r="A5148" s="17" t="str">
        <f>"0102T"</f>
        <v>0102T</v>
      </c>
      <c r="B5148" s="5" t="s">
        <v>125</v>
      </c>
      <c r="C5148" s="17">
        <v>20230101</v>
      </c>
      <c r="D5148" s="17">
        <v>22991231</v>
      </c>
      <c r="E5148" s="25">
        <v>1450.8</v>
      </c>
    </row>
    <row r="5149" spans="1:5" ht="26" x14ac:dyDescent="0.3">
      <c r="A5149" s="17" t="str">
        <f>"0200T"</f>
        <v>0200T</v>
      </c>
      <c r="B5149" s="5" t="s">
        <v>199</v>
      </c>
      <c r="C5149" s="17">
        <v>20230101</v>
      </c>
      <c r="D5149" s="17">
        <v>22991231</v>
      </c>
      <c r="E5149" s="25">
        <v>4179.82</v>
      </c>
    </row>
    <row r="5150" spans="1:5" ht="39" x14ac:dyDescent="0.3">
      <c r="A5150" s="17" t="str">
        <f>"0201T"</f>
        <v>0201T</v>
      </c>
      <c r="B5150" s="5" t="s">
        <v>200</v>
      </c>
      <c r="C5150" s="17">
        <v>20230101</v>
      </c>
      <c r="D5150" s="17">
        <v>22991231</v>
      </c>
      <c r="E5150" s="25">
        <v>3240.75</v>
      </c>
    </row>
    <row r="5151" spans="1:5" ht="26" x14ac:dyDescent="0.3">
      <c r="A5151" s="17" t="str">
        <f>"0213T"</f>
        <v>0213T</v>
      </c>
      <c r="B5151" s="5" t="s">
        <v>201</v>
      </c>
      <c r="C5151" s="17">
        <v>20230101</v>
      </c>
      <c r="D5151" s="17">
        <v>22991231</v>
      </c>
      <c r="E5151" s="25">
        <v>451.6</v>
      </c>
    </row>
    <row r="5152" spans="1:5" ht="26" x14ac:dyDescent="0.3">
      <c r="A5152" s="17" t="str">
        <f>"0214T"</f>
        <v>0214T</v>
      </c>
      <c r="B5152" s="5" t="s">
        <v>202</v>
      </c>
      <c r="C5152" s="17">
        <v>20230101</v>
      </c>
      <c r="D5152" s="17">
        <v>22991231</v>
      </c>
      <c r="E5152" s="25">
        <v>0</v>
      </c>
    </row>
    <row r="5153" spans="1:5" ht="26" x14ac:dyDescent="0.3">
      <c r="A5153" s="17" t="str">
        <f>"0215T"</f>
        <v>0215T</v>
      </c>
      <c r="B5153" s="5" t="s">
        <v>203</v>
      </c>
      <c r="C5153" s="17">
        <v>20230101</v>
      </c>
      <c r="D5153" s="17">
        <v>22991231</v>
      </c>
      <c r="E5153" s="25">
        <v>0</v>
      </c>
    </row>
    <row r="5154" spans="1:5" ht="26" x14ac:dyDescent="0.3">
      <c r="A5154" s="17" t="str">
        <f>"0216T"</f>
        <v>0216T</v>
      </c>
      <c r="B5154" s="5" t="s">
        <v>204</v>
      </c>
      <c r="C5154" s="17">
        <v>20230101</v>
      </c>
      <c r="D5154" s="17">
        <v>22991231</v>
      </c>
      <c r="E5154" s="25">
        <v>451.6</v>
      </c>
    </row>
    <row r="5155" spans="1:5" ht="26" x14ac:dyDescent="0.3">
      <c r="A5155" s="17" t="str">
        <f>"0217T"</f>
        <v>0217T</v>
      </c>
      <c r="B5155" s="5" t="s">
        <v>205</v>
      </c>
      <c r="C5155" s="17">
        <v>20230101</v>
      </c>
      <c r="D5155" s="17">
        <v>22991231</v>
      </c>
      <c r="E5155" s="25">
        <v>0</v>
      </c>
    </row>
    <row r="5156" spans="1:5" ht="26" x14ac:dyDescent="0.3">
      <c r="A5156" s="17" t="str">
        <f>"0218T"</f>
        <v>0218T</v>
      </c>
      <c r="B5156" s="5" t="s">
        <v>206</v>
      </c>
      <c r="C5156" s="17">
        <v>20230101</v>
      </c>
      <c r="D5156" s="17">
        <v>22991231</v>
      </c>
      <c r="E5156" s="25">
        <v>0</v>
      </c>
    </row>
    <row r="5157" spans="1:5" ht="26" x14ac:dyDescent="0.3">
      <c r="A5157" s="17" t="str">
        <f>"0232T"</f>
        <v>0232T</v>
      </c>
      <c r="B5157" s="5" t="s">
        <v>207</v>
      </c>
      <c r="C5157" s="17">
        <v>20230101</v>
      </c>
      <c r="D5157" s="17">
        <v>22991231</v>
      </c>
      <c r="E5157" s="25">
        <v>0</v>
      </c>
    </row>
    <row r="5158" spans="1:5" ht="52" x14ac:dyDescent="0.3">
      <c r="A5158" s="17" t="str">
        <f>"0238T"</f>
        <v>0238T</v>
      </c>
      <c r="B5158" s="5" t="s">
        <v>208</v>
      </c>
      <c r="C5158" s="17">
        <v>20230101</v>
      </c>
      <c r="D5158" s="17">
        <v>22991231</v>
      </c>
      <c r="E5158" s="25">
        <v>9461.34</v>
      </c>
    </row>
    <row r="5159" spans="1:5" ht="26" x14ac:dyDescent="0.3">
      <c r="A5159" s="17" t="str">
        <f>"0253T"</f>
        <v>0253T</v>
      </c>
      <c r="B5159" s="5" t="s">
        <v>209</v>
      </c>
      <c r="C5159" s="17">
        <v>20230101</v>
      </c>
      <c r="D5159" s="17">
        <v>22991231</v>
      </c>
      <c r="E5159" s="25">
        <v>2729.03</v>
      </c>
    </row>
    <row r="5160" spans="1:5" ht="39" x14ac:dyDescent="0.3">
      <c r="A5160" s="17" t="str">
        <f>"0263T"</f>
        <v>0263T</v>
      </c>
      <c r="B5160" s="5" t="s">
        <v>210</v>
      </c>
      <c r="C5160" s="17">
        <v>20230101</v>
      </c>
      <c r="D5160" s="17">
        <v>22991231</v>
      </c>
      <c r="E5160" s="25">
        <v>2292.94</v>
      </c>
    </row>
    <row r="5161" spans="1:5" ht="26" x14ac:dyDescent="0.3">
      <c r="A5161" s="17" t="str">
        <f>"0264T"</f>
        <v>0264T</v>
      </c>
      <c r="B5161" s="5" t="s">
        <v>211</v>
      </c>
      <c r="C5161" s="17">
        <v>20230101</v>
      </c>
      <c r="D5161" s="17">
        <v>22991231</v>
      </c>
      <c r="E5161" s="25">
        <v>2292.94</v>
      </c>
    </row>
    <row r="5162" spans="1:5" ht="26" x14ac:dyDescent="0.3">
      <c r="A5162" s="17" t="str">
        <f>"0265T"</f>
        <v>0265T</v>
      </c>
      <c r="B5162" s="5" t="s">
        <v>212</v>
      </c>
      <c r="C5162" s="17">
        <v>20230101</v>
      </c>
      <c r="D5162" s="17">
        <v>22991231</v>
      </c>
      <c r="E5162" s="25">
        <v>2292.94</v>
      </c>
    </row>
    <row r="5163" spans="1:5" ht="26" x14ac:dyDescent="0.3">
      <c r="A5163" s="17" t="str">
        <f>"0266T"</f>
        <v>0266T</v>
      </c>
      <c r="B5163" s="5" t="s">
        <v>213</v>
      </c>
      <c r="C5163" s="17">
        <v>20230101</v>
      </c>
      <c r="D5163" s="17">
        <v>22991231</v>
      </c>
      <c r="E5163" s="25">
        <v>40679.49</v>
      </c>
    </row>
    <row r="5164" spans="1:5" ht="26" x14ac:dyDescent="0.3">
      <c r="A5164" s="17" t="str">
        <f>"0268T"</f>
        <v>0268T</v>
      </c>
      <c r="B5164" s="5" t="s">
        <v>214</v>
      </c>
      <c r="C5164" s="17">
        <v>20230101</v>
      </c>
      <c r="D5164" s="17">
        <v>22991231</v>
      </c>
      <c r="E5164" s="25">
        <v>25105.41</v>
      </c>
    </row>
    <row r="5165" spans="1:5" ht="26" x14ac:dyDescent="0.3">
      <c r="A5165" s="17" t="str">
        <f>"0269T"</f>
        <v>0269T</v>
      </c>
      <c r="B5165" s="5" t="s">
        <v>215</v>
      </c>
      <c r="C5165" s="17">
        <v>20230101</v>
      </c>
      <c r="D5165" s="17">
        <v>22991231</v>
      </c>
      <c r="E5165" s="25">
        <v>2877.66</v>
      </c>
    </row>
    <row r="5166" spans="1:5" ht="26" x14ac:dyDescent="0.3">
      <c r="A5166" s="17" t="str">
        <f>"0270T"</f>
        <v>0270T</v>
      </c>
      <c r="B5166" s="5" t="s">
        <v>216</v>
      </c>
      <c r="C5166" s="17">
        <v>20230101</v>
      </c>
      <c r="D5166" s="17">
        <v>22991231</v>
      </c>
      <c r="E5166" s="25">
        <v>1813.03</v>
      </c>
    </row>
    <row r="5167" spans="1:5" ht="26" x14ac:dyDescent="0.3">
      <c r="A5167" s="17" t="str">
        <f>"0271T"</f>
        <v>0271T</v>
      </c>
      <c r="B5167" s="5" t="s">
        <v>217</v>
      </c>
      <c r="C5167" s="17">
        <v>20230101</v>
      </c>
      <c r="D5167" s="17">
        <v>22991231</v>
      </c>
      <c r="E5167" s="25">
        <v>1813.03</v>
      </c>
    </row>
    <row r="5168" spans="1:5" ht="39" x14ac:dyDescent="0.3">
      <c r="A5168" s="17" t="str">
        <f>"0274T"</f>
        <v>0274T</v>
      </c>
      <c r="B5168" s="5" t="s">
        <v>218</v>
      </c>
      <c r="C5168" s="17">
        <v>20230101</v>
      </c>
      <c r="D5168" s="17">
        <v>22991231</v>
      </c>
      <c r="E5168" s="25">
        <v>3240.75</v>
      </c>
    </row>
    <row r="5169" spans="1:5" ht="39" x14ac:dyDescent="0.3">
      <c r="A5169" s="17" t="str">
        <f>"0275T"</f>
        <v>0275T</v>
      </c>
      <c r="B5169" s="5" t="s">
        <v>219</v>
      </c>
      <c r="C5169" s="17">
        <v>20230101</v>
      </c>
      <c r="D5169" s="17">
        <v>22991231</v>
      </c>
      <c r="E5169" s="25">
        <v>4833.3599999999997</v>
      </c>
    </row>
    <row r="5170" spans="1:5" ht="26" x14ac:dyDescent="0.3">
      <c r="A5170" s="17" t="str">
        <f>"0278T"</f>
        <v>0278T</v>
      </c>
      <c r="B5170" s="5" t="s">
        <v>220</v>
      </c>
      <c r="C5170" s="17">
        <v>20230101</v>
      </c>
      <c r="D5170" s="17">
        <v>22991231</v>
      </c>
      <c r="E5170" s="25">
        <v>0</v>
      </c>
    </row>
    <row r="5171" spans="1:5" ht="26" x14ac:dyDescent="0.3">
      <c r="A5171" s="17" t="str">
        <f>"0308T"</f>
        <v>0308T</v>
      </c>
      <c r="B5171" s="5" t="s">
        <v>221</v>
      </c>
      <c r="C5171" s="17">
        <v>20230101</v>
      </c>
      <c r="D5171" s="17">
        <v>22991231</v>
      </c>
      <c r="E5171" s="25">
        <v>13608.68</v>
      </c>
    </row>
    <row r="5172" spans="1:5" x14ac:dyDescent="0.3">
      <c r="A5172" s="17" t="str">
        <f>"0330T"</f>
        <v>0330T</v>
      </c>
      <c r="B5172" s="5" t="s">
        <v>222</v>
      </c>
      <c r="C5172" s="17">
        <v>20230101</v>
      </c>
      <c r="D5172" s="17">
        <v>22991231</v>
      </c>
      <c r="E5172" s="25">
        <v>0</v>
      </c>
    </row>
    <row r="5173" spans="1:5" x14ac:dyDescent="0.3">
      <c r="A5173" s="17" t="str">
        <f>"0331T"</f>
        <v>0331T</v>
      </c>
      <c r="B5173" s="5" t="s">
        <v>223</v>
      </c>
      <c r="C5173" s="17">
        <v>20230101</v>
      </c>
      <c r="D5173" s="17">
        <v>22991231</v>
      </c>
      <c r="E5173" s="25">
        <v>703.54</v>
      </c>
    </row>
    <row r="5174" spans="1:5" x14ac:dyDescent="0.3">
      <c r="A5174" s="17" t="str">
        <f>"0332T"</f>
        <v>0332T</v>
      </c>
      <c r="B5174" s="5" t="s">
        <v>224</v>
      </c>
      <c r="C5174" s="17">
        <v>20230101</v>
      </c>
      <c r="D5174" s="17">
        <v>22991231</v>
      </c>
      <c r="E5174" s="25">
        <v>703.54</v>
      </c>
    </row>
    <row r="5175" spans="1:5" ht="26" x14ac:dyDescent="0.3">
      <c r="A5175" s="17" t="str">
        <f>"0335T"</f>
        <v>0335T</v>
      </c>
      <c r="B5175" s="5" t="s">
        <v>225</v>
      </c>
      <c r="C5175" s="17">
        <v>20230101</v>
      </c>
      <c r="D5175" s="17">
        <v>22991231</v>
      </c>
      <c r="E5175" s="25">
        <v>4327.07</v>
      </c>
    </row>
    <row r="5176" spans="1:5" ht="39" x14ac:dyDescent="0.3">
      <c r="A5176" s="17" t="str">
        <f>"0338T"</f>
        <v>0338T</v>
      </c>
      <c r="B5176" s="5" t="s">
        <v>226</v>
      </c>
      <c r="C5176" s="17">
        <v>20230101</v>
      </c>
      <c r="D5176" s="17">
        <v>22991231</v>
      </c>
      <c r="E5176" s="25">
        <v>2412.7800000000002</v>
      </c>
    </row>
    <row r="5177" spans="1:5" ht="39" x14ac:dyDescent="0.3">
      <c r="A5177" s="17" t="str">
        <f>"0339T"</f>
        <v>0339T</v>
      </c>
      <c r="B5177" s="5" t="s">
        <v>227</v>
      </c>
      <c r="C5177" s="17">
        <v>20230101</v>
      </c>
      <c r="D5177" s="17">
        <v>22991231</v>
      </c>
      <c r="E5177" s="25">
        <v>3659.27</v>
      </c>
    </row>
    <row r="5178" spans="1:5" ht="26" x14ac:dyDescent="0.3">
      <c r="A5178" s="17" t="str">
        <f>"0342T"</f>
        <v>0342T</v>
      </c>
      <c r="B5178" s="5" t="s">
        <v>228</v>
      </c>
      <c r="C5178" s="17">
        <v>20230101</v>
      </c>
      <c r="D5178" s="17">
        <v>22991231</v>
      </c>
      <c r="E5178" s="25">
        <v>2292.94</v>
      </c>
    </row>
    <row r="5179" spans="1:5" ht="39" x14ac:dyDescent="0.3">
      <c r="A5179" s="17" t="str">
        <f>"0347T"</f>
        <v>0347T</v>
      </c>
      <c r="B5179" s="5" t="s">
        <v>229</v>
      </c>
      <c r="C5179" s="17">
        <v>20230101</v>
      </c>
      <c r="D5179" s="17">
        <v>22991231</v>
      </c>
      <c r="E5179" s="25">
        <v>0</v>
      </c>
    </row>
    <row r="5180" spans="1:5" ht="26" x14ac:dyDescent="0.3">
      <c r="A5180" s="17" t="str">
        <f>"0348T"</f>
        <v>0348T</v>
      </c>
      <c r="B5180" s="5" t="s">
        <v>230</v>
      </c>
      <c r="C5180" s="17">
        <v>20230101</v>
      </c>
      <c r="D5180" s="17">
        <v>22991231</v>
      </c>
      <c r="E5180" s="25">
        <v>0</v>
      </c>
    </row>
    <row r="5181" spans="1:5" ht="26" x14ac:dyDescent="0.3">
      <c r="A5181" s="17" t="str">
        <f>"0349T"</f>
        <v>0349T</v>
      </c>
      <c r="B5181" s="5" t="s">
        <v>231</v>
      </c>
      <c r="C5181" s="17">
        <v>20230101</v>
      </c>
      <c r="D5181" s="17">
        <v>22991231</v>
      </c>
      <c r="E5181" s="25">
        <v>0</v>
      </c>
    </row>
    <row r="5182" spans="1:5" ht="26" x14ac:dyDescent="0.3">
      <c r="A5182" s="17" t="str">
        <f>"0350T"</f>
        <v>0350T</v>
      </c>
      <c r="B5182" s="5" t="s">
        <v>232</v>
      </c>
      <c r="C5182" s="17">
        <v>20230101</v>
      </c>
      <c r="D5182" s="17">
        <v>22991231</v>
      </c>
      <c r="E5182" s="25">
        <v>0</v>
      </c>
    </row>
    <row r="5183" spans="1:5" ht="26" x14ac:dyDescent="0.3">
      <c r="A5183" s="17" t="str">
        <f>"0351T"</f>
        <v>0351T</v>
      </c>
      <c r="B5183" s="5" t="s">
        <v>233</v>
      </c>
      <c r="C5183" s="17">
        <v>20230101</v>
      </c>
      <c r="D5183" s="17">
        <v>22991231</v>
      </c>
      <c r="E5183" s="25">
        <v>0</v>
      </c>
    </row>
    <row r="5184" spans="1:5" x14ac:dyDescent="0.3">
      <c r="A5184" s="17" t="str">
        <f>"0353T"</f>
        <v>0353T</v>
      </c>
      <c r="B5184" s="5" t="s">
        <v>234</v>
      </c>
      <c r="C5184" s="17">
        <v>20230101</v>
      </c>
      <c r="D5184" s="17">
        <v>22991231</v>
      </c>
      <c r="E5184" s="25">
        <v>0</v>
      </c>
    </row>
    <row r="5185" spans="1:5" ht="52" x14ac:dyDescent="0.3">
      <c r="A5185" s="17" t="str">
        <f>"0379T"</f>
        <v>0379T</v>
      </c>
      <c r="B5185" s="5" t="s">
        <v>235</v>
      </c>
      <c r="C5185" s="17">
        <v>20230101</v>
      </c>
      <c r="D5185" s="17">
        <v>22991231</v>
      </c>
      <c r="E5185" s="25">
        <v>0</v>
      </c>
    </row>
    <row r="5186" spans="1:5" ht="26" x14ac:dyDescent="0.3">
      <c r="A5186" s="17" t="str">
        <f>"0394T"</f>
        <v>0394T</v>
      </c>
      <c r="B5186" s="5" t="s">
        <v>236</v>
      </c>
      <c r="C5186" s="17">
        <v>20230101</v>
      </c>
      <c r="D5186" s="17">
        <v>22991231</v>
      </c>
      <c r="E5186" s="25">
        <v>133.16</v>
      </c>
    </row>
    <row r="5187" spans="1:5" x14ac:dyDescent="0.3">
      <c r="A5187" s="17" t="str">
        <f>"0395T"</f>
        <v>0395T</v>
      </c>
      <c r="B5187" s="5" t="s">
        <v>237</v>
      </c>
      <c r="C5187" s="17">
        <v>20230101</v>
      </c>
      <c r="D5187" s="17">
        <v>22991231</v>
      </c>
      <c r="E5187" s="25">
        <v>355.24</v>
      </c>
    </row>
    <row r="5188" spans="1:5" ht="39" x14ac:dyDescent="0.3">
      <c r="A5188" s="17" t="str">
        <f>"0397T"</f>
        <v>0397T</v>
      </c>
      <c r="B5188" s="5" t="s">
        <v>238</v>
      </c>
      <c r="C5188" s="17">
        <v>20230101</v>
      </c>
      <c r="D5188" s="17">
        <v>22991231</v>
      </c>
      <c r="E5188" s="25">
        <v>0</v>
      </c>
    </row>
    <row r="5189" spans="1:5" ht="26" x14ac:dyDescent="0.3">
      <c r="A5189" s="17" t="str">
        <f>"0402T"</f>
        <v>0402T</v>
      </c>
      <c r="B5189" s="5" t="s">
        <v>239</v>
      </c>
      <c r="C5189" s="17">
        <v>20230101</v>
      </c>
      <c r="D5189" s="17">
        <v>22991231</v>
      </c>
      <c r="E5189" s="25">
        <v>934.62</v>
      </c>
    </row>
    <row r="5190" spans="1:5" ht="26" x14ac:dyDescent="0.3">
      <c r="A5190" s="17" t="str">
        <f>"0408T"</f>
        <v>0408T</v>
      </c>
      <c r="B5190" s="5" t="s">
        <v>240</v>
      </c>
      <c r="C5190" s="17">
        <v>20170101</v>
      </c>
      <c r="D5190" s="17">
        <v>22991231</v>
      </c>
      <c r="E5190" s="25">
        <v>25586.44</v>
      </c>
    </row>
    <row r="5191" spans="1:5" ht="26" x14ac:dyDescent="0.3">
      <c r="A5191" s="17" t="str">
        <f>"0409T"</f>
        <v>0409T</v>
      </c>
      <c r="B5191" s="5" t="s">
        <v>241</v>
      </c>
      <c r="C5191" s="17">
        <v>20170101</v>
      </c>
      <c r="D5191" s="17">
        <v>22991231</v>
      </c>
      <c r="E5191" s="25">
        <v>20282</v>
      </c>
    </row>
    <row r="5192" spans="1:5" ht="39" x14ac:dyDescent="0.3">
      <c r="A5192" s="17" t="str">
        <f>"0410T"</f>
        <v>0410T</v>
      </c>
      <c r="B5192" s="5" t="s">
        <v>242</v>
      </c>
      <c r="C5192" s="17">
        <v>20170101</v>
      </c>
      <c r="D5192" s="17">
        <v>22991231</v>
      </c>
      <c r="E5192" s="25">
        <v>5183.9799999999996</v>
      </c>
    </row>
    <row r="5193" spans="1:5" ht="39" x14ac:dyDescent="0.3">
      <c r="A5193" s="17" t="str">
        <f>"0411T"</f>
        <v>0411T</v>
      </c>
      <c r="B5193" s="5" t="s">
        <v>243</v>
      </c>
      <c r="C5193" s="17">
        <v>20170101</v>
      </c>
      <c r="D5193" s="17">
        <v>22991231</v>
      </c>
      <c r="E5193" s="25">
        <v>5183.9799999999996</v>
      </c>
    </row>
    <row r="5194" spans="1:5" ht="26" x14ac:dyDescent="0.3">
      <c r="A5194" s="17" t="str">
        <f>"0412T"</f>
        <v>0412T</v>
      </c>
      <c r="B5194" s="5" t="s">
        <v>244</v>
      </c>
      <c r="C5194" s="17">
        <v>20170101</v>
      </c>
      <c r="D5194" s="17">
        <v>22991231</v>
      </c>
      <c r="E5194" s="25">
        <v>1945.71</v>
      </c>
    </row>
    <row r="5195" spans="1:5" ht="26" x14ac:dyDescent="0.3">
      <c r="A5195" s="17" t="str">
        <f>"0413T"</f>
        <v>0413T</v>
      </c>
      <c r="B5195" s="5" t="s">
        <v>245</v>
      </c>
      <c r="C5195" s="17">
        <v>20170101</v>
      </c>
      <c r="D5195" s="17">
        <v>22991231</v>
      </c>
      <c r="E5195" s="25">
        <v>1945.71</v>
      </c>
    </row>
    <row r="5196" spans="1:5" ht="26" x14ac:dyDescent="0.3">
      <c r="A5196" s="17" t="str">
        <f>"0414T"</f>
        <v>0414T</v>
      </c>
      <c r="B5196" s="5" t="s">
        <v>246</v>
      </c>
      <c r="C5196" s="17">
        <v>20170101</v>
      </c>
      <c r="D5196" s="17">
        <v>22991231</v>
      </c>
      <c r="E5196" s="25">
        <v>14546.05</v>
      </c>
    </row>
    <row r="5197" spans="1:5" ht="26" x14ac:dyDescent="0.3">
      <c r="A5197" s="17" t="str">
        <f>"0415T"</f>
        <v>0415T</v>
      </c>
      <c r="B5197" s="5" t="s">
        <v>247</v>
      </c>
      <c r="C5197" s="17">
        <v>20170101</v>
      </c>
      <c r="D5197" s="17">
        <v>22991231</v>
      </c>
      <c r="E5197" s="25">
        <v>311.25</v>
      </c>
    </row>
    <row r="5198" spans="1:5" ht="26" x14ac:dyDescent="0.3">
      <c r="A5198" s="17" t="str">
        <f>"0416T"</f>
        <v>0416T</v>
      </c>
      <c r="B5198" s="5" t="s">
        <v>248</v>
      </c>
      <c r="C5198" s="17">
        <v>20170101</v>
      </c>
      <c r="D5198" s="17">
        <v>22991231</v>
      </c>
      <c r="E5198" s="25">
        <v>903.54</v>
      </c>
    </row>
    <row r="5199" spans="1:5" ht="26" x14ac:dyDescent="0.3">
      <c r="A5199" s="17" t="str">
        <f>"0417T"</f>
        <v>0417T</v>
      </c>
      <c r="B5199" s="5" t="s">
        <v>249</v>
      </c>
      <c r="C5199" s="17">
        <v>20170101</v>
      </c>
      <c r="D5199" s="17">
        <v>22991231</v>
      </c>
      <c r="E5199" s="24" t="s">
        <v>7128</v>
      </c>
    </row>
    <row r="5200" spans="1:5" ht="26" x14ac:dyDescent="0.3">
      <c r="A5200" s="17" t="str">
        <f>"0418T"</f>
        <v>0418T</v>
      </c>
      <c r="B5200" s="5" t="s">
        <v>250</v>
      </c>
      <c r="C5200" s="17">
        <v>20170101</v>
      </c>
      <c r="D5200" s="17">
        <v>22991231</v>
      </c>
      <c r="E5200" s="24" t="s">
        <v>7128</v>
      </c>
    </row>
    <row r="5201" spans="1:5" ht="26" x14ac:dyDescent="0.3">
      <c r="A5201" s="17" t="str">
        <f>"0419T"</f>
        <v>0419T</v>
      </c>
      <c r="B5201" s="5" t="s">
        <v>251</v>
      </c>
      <c r="C5201" s="17">
        <v>20170101</v>
      </c>
      <c r="D5201" s="17">
        <v>22991231</v>
      </c>
      <c r="E5201" s="25">
        <v>311.18</v>
      </c>
    </row>
    <row r="5202" spans="1:5" ht="26" x14ac:dyDescent="0.3">
      <c r="A5202" s="17" t="str">
        <f>"0420T"</f>
        <v>0420T</v>
      </c>
      <c r="B5202" s="5" t="s">
        <v>252</v>
      </c>
      <c r="C5202" s="17">
        <v>20170101</v>
      </c>
      <c r="D5202" s="17">
        <v>22991231</v>
      </c>
      <c r="E5202" s="25">
        <v>311.18</v>
      </c>
    </row>
    <row r="5203" spans="1:5" ht="26" x14ac:dyDescent="0.3">
      <c r="A5203" s="17" t="str">
        <f>"0421T"</f>
        <v>0421T</v>
      </c>
      <c r="B5203" s="5" t="s">
        <v>253</v>
      </c>
      <c r="C5203" s="17">
        <v>20170101</v>
      </c>
      <c r="D5203" s="17">
        <v>22991231</v>
      </c>
      <c r="E5203" s="25">
        <v>5924.86</v>
      </c>
    </row>
    <row r="5204" spans="1:5" x14ac:dyDescent="0.3">
      <c r="A5204" s="17" t="str">
        <f>"0422T"</f>
        <v>0422T</v>
      </c>
      <c r="B5204" s="5" t="s">
        <v>254</v>
      </c>
      <c r="C5204" s="17">
        <v>20170101</v>
      </c>
      <c r="D5204" s="17">
        <v>22991231</v>
      </c>
      <c r="E5204" s="25">
        <v>45.03</v>
      </c>
    </row>
    <row r="5205" spans="1:5" ht="26" x14ac:dyDescent="0.3">
      <c r="A5205" s="17" t="str">
        <f>"0437T"</f>
        <v>0437T</v>
      </c>
      <c r="B5205" s="5" t="s">
        <v>255</v>
      </c>
      <c r="C5205" s="17">
        <v>20170101</v>
      </c>
      <c r="D5205" s="17">
        <v>22991231</v>
      </c>
      <c r="E5205" s="25">
        <v>0</v>
      </c>
    </row>
    <row r="5206" spans="1:5" ht="39" x14ac:dyDescent="0.3">
      <c r="A5206" s="17" t="str">
        <f>"0439T"</f>
        <v>0439T</v>
      </c>
      <c r="B5206" s="5" t="s">
        <v>256</v>
      </c>
      <c r="C5206" s="17">
        <v>20170101</v>
      </c>
      <c r="D5206" s="17">
        <v>22991231</v>
      </c>
      <c r="E5206" s="25">
        <v>0</v>
      </c>
    </row>
    <row r="5207" spans="1:5" ht="26" x14ac:dyDescent="0.3">
      <c r="A5207" s="17" t="str">
        <f>"0440T"</f>
        <v>0440T</v>
      </c>
      <c r="B5207" s="5" t="s">
        <v>257</v>
      </c>
      <c r="C5207" s="17">
        <v>20170101</v>
      </c>
      <c r="D5207" s="17">
        <v>22991231</v>
      </c>
      <c r="E5207" s="25">
        <v>857.51</v>
      </c>
    </row>
    <row r="5208" spans="1:5" ht="26" x14ac:dyDescent="0.3">
      <c r="A5208" s="17" t="str">
        <f>"0441T"</f>
        <v>0441T</v>
      </c>
      <c r="B5208" s="5" t="s">
        <v>258</v>
      </c>
      <c r="C5208" s="17">
        <v>20170101</v>
      </c>
      <c r="D5208" s="17">
        <v>22991231</v>
      </c>
      <c r="E5208" s="25">
        <v>1123.6400000000001</v>
      </c>
    </row>
    <row r="5209" spans="1:5" ht="26" x14ac:dyDescent="0.3">
      <c r="A5209" s="17" t="str">
        <f>"0442T"</f>
        <v>0442T</v>
      </c>
      <c r="B5209" s="5" t="s">
        <v>259</v>
      </c>
      <c r="C5209" s="17">
        <v>20170101</v>
      </c>
      <c r="D5209" s="17">
        <v>22991231</v>
      </c>
      <c r="E5209" s="25">
        <v>4085.7</v>
      </c>
    </row>
    <row r="5210" spans="1:5" ht="26" x14ac:dyDescent="0.3">
      <c r="A5210" s="17" t="str">
        <f>"0443T"</f>
        <v>0443T</v>
      </c>
      <c r="B5210" s="5" t="s">
        <v>260</v>
      </c>
      <c r="C5210" s="17">
        <v>20170101</v>
      </c>
      <c r="D5210" s="17">
        <v>22991231</v>
      </c>
      <c r="E5210" s="25">
        <v>0</v>
      </c>
    </row>
    <row r="5211" spans="1:5" ht="26" x14ac:dyDescent="0.3">
      <c r="A5211" s="17" t="str">
        <f>"0444T"</f>
        <v>0444T</v>
      </c>
      <c r="B5211" s="5" t="s">
        <v>261</v>
      </c>
      <c r="C5211" s="17">
        <v>20170101</v>
      </c>
      <c r="D5211" s="17">
        <v>22991231</v>
      </c>
      <c r="E5211" s="25">
        <v>0</v>
      </c>
    </row>
    <row r="5212" spans="1:5" ht="26" x14ac:dyDescent="0.3">
      <c r="A5212" s="17" t="str">
        <f>"0445T"</f>
        <v>0445T</v>
      </c>
      <c r="B5212" s="5" t="s">
        <v>262</v>
      </c>
      <c r="C5212" s="17">
        <v>20170101</v>
      </c>
      <c r="D5212" s="17">
        <v>22991231</v>
      </c>
      <c r="E5212" s="25">
        <v>0</v>
      </c>
    </row>
    <row r="5213" spans="1:5" ht="26" x14ac:dyDescent="0.3">
      <c r="A5213" s="17" t="str">
        <f>"0446T"</f>
        <v>0446T</v>
      </c>
      <c r="B5213" s="5" t="s">
        <v>263</v>
      </c>
      <c r="C5213" s="17">
        <v>20170101</v>
      </c>
      <c r="D5213" s="17">
        <v>22991231</v>
      </c>
      <c r="E5213" s="25">
        <v>903.54</v>
      </c>
    </row>
    <row r="5214" spans="1:5" x14ac:dyDescent="0.3">
      <c r="A5214" s="17" t="str">
        <f>"0447T"</f>
        <v>0447T</v>
      </c>
      <c r="B5214" s="5" t="s">
        <v>264</v>
      </c>
      <c r="C5214" s="17">
        <v>20170101</v>
      </c>
      <c r="D5214" s="17">
        <v>22991231</v>
      </c>
      <c r="E5214" s="25">
        <v>99.19</v>
      </c>
    </row>
    <row r="5215" spans="1:5" ht="39" x14ac:dyDescent="0.3">
      <c r="A5215" s="17" t="str">
        <f>"0448T"</f>
        <v>0448T</v>
      </c>
      <c r="B5215" s="5" t="s">
        <v>265</v>
      </c>
      <c r="C5215" s="17">
        <v>20170101</v>
      </c>
      <c r="D5215" s="17">
        <v>22991231</v>
      </c>
      <c r="E5215" s="25">
        <v>903.54</v>
      </c>
    </row>
    <row r="5216" spans="1:5" ht="26" x14ac:dyDescent="0.3">
      <c r="A5216" s="17" t="str">
        <f>"0449T"</f>
        <v>0449T</v>
      </c>
      <c r="B5216" s="5" t="s">
        <v>266</v>
      </c>
      <c r="C5216" s="17">
        <v>20170101</v>
      </c>
      <c r="D5216" s="17">
        <v>22991231</v>
      </c>
      <c r="E5216" s="25">
        <v>3604.06</v>
      </c>
    </row>
    <row r="5217" spans="1:5" ht="26" x14ac:dyDescent="0.3">
      <c r="A5217" s="17" t="str">
        <f>"0450T"</f>
        <v>0450T</v>
      </c>
      <c r="B5217" s="5" t="s">
        <v>267</v>
      </c>
      <c r="C5217" s="17">
        <v>20170101</v>
      </c>
      <c r="D5217" s="17">
        <v>22991231</v>
      </c>
      <c r="E5217" s="25">
        <v>0</v>
      </c>
    </row>
    <row r="5218" spans="1:5" ht="39" x14ac:dyDescent="0.3">
      <c r="A5218" s="17" t="str">
        <f>"0479T"</f>
        <v>0479T</v>
      </c>
      <c r="B5218" s="5" t="s">
        <v>268</v>
      </c>
      <c r="C5218" s="17">
        <v>20230101</v>
      </c>
      <c r="D5218" s="17">
        <v>22991231</v>
      </c>
      <c r="E5218" s="25">
        <v>311.18</v>
      </c>
    </row>
    <row r="5219" spans="1:5" ht="39" x14ac:dyDescent="0.3">
      <c r="A5219" s="17" t="str">
        <f>"0480T"</f>
        <v>0480T</v>
      </c>
      <c r="B5219" s="5" t="s">
        <v>269</v>
      </c>
      <c r="C5219" s="17">
        <v>20230101</v>
      </c>
      <c r="D5219" s="17">
        <v>22991231</v>
      </c>
      <c r="E5219" s="25">
        <v>0</v>
      </c>
    </row>
    <row r="5220" spans="1:5" ht="26" x14ac:dyDescent="0.3">
      <c r="A5220" s="17" t="str">
        <f>"0510T"</f>
        <v>0510T</v>
      </c>
      <c r="B5220" s="5" t="s">
        <v>270</v>
      </c>
      <c r="C5220" s="17">
        <v>20230101</v>
      </c>
      <c r="D5220" s="17">
        <v>22991231</v>
      </c>
      <c r="E5220" s="25">
        <v>1450.8</v>
      </c>
    </row>
    <row r="5221" spans="1:5" ht="26" x14ac:dyDescent="0.3">
      <c r="A5221" s="17" t="str">
        <f>"0511T"</f>
        <v>0511T</v>
      </c>
      <c r="B5221" s="5" t="s">
        <v>271</v>
      </c>
      <c r="C5221" s="17">
        <v>20230101</v>
      </c>
      <c r="D5221" s="17">
        <v>22991231</v>
      </c>
      <c r="E5221" s="25">
        <v>4569.7700000000004</v>
      </c>
    </row>
    <row r="5222" spans="1:5" ht="26" x14ac:dyDescent="0.3">
      <c r="A5222" s="17" t="str">
        <f>"0512T"</f>
        <v>0512T</v>
      </c>
      <c r="B5222" s="5" t="s">
        <v>272</v>
      </c>
      <c r="C5222" s="17">
        <v>20230101</v>
      </c>
      <c r="D5222" s="17">
        <v>22991231</v>
      </c>
      <c r="E5222" s="25">
        <v>99.19</v>
      </c>
    </row>
    <row r="5223" spans="1:5" ht="26" x14ac:dyDescent="0.3">
      <c r="A5223" s="17" t="str">
        <f>"0513T"</f>
        <v>0513T</v>
      </c>
      <c r="B5223" s="5" t="s">
        <v>273</v>
      </c>
      <c r="C5223" s="17">
        <v>20230101</v>
      </c>
      <c r="D5223" s="17">
        <v>22991231</v>
      </c>
      <c r="E5223" s="25">
        <v>0</v>
      </c>
    </row>
    <row r="5224" spans="1:5" ht="39" x14ac:dyDescent="0.3">
      <c r="A5224" s="17" t="str">
        <f>"0523T"</f>
        <v>0523T</v>
      </c>
      <c r="B5224" s="5" t="s">
        <v>274</v>
      </c>
      <c r="C5224" s="17">
        <v>20230101</v>
      </c>
      <c r="D5224" s="17">
        <v>22991231</v>
      </c>
      <c r="E5224" s="25">
        <v>0</v>
      </c>
    </row>
    <row r="5225" spans="1:5" ht="26" x14ac:dyDescent="0.3">
      <c r="A5225" s="17" t="str">
        <f>"0524T"</f>
        <v>0524T</v>
      </c>
      <c r="B5225" s="5" t="s">
        <v>275</v>
      </c>
      <c r="C5225" s="17">
        <v>20230101</v>
      </c>
      <c r="D5225" s="17">
        <v>22991231</v>
      </c>
      <c r="E5225" s="25">
        <v>1962.82</v>
      </c>
    </row>
    <row r="5226" spans="1:5" ht="39" x14ac:dyDescent="0.3">
      <c r="A5226" s="17" t="str">
        <f>"0525T"</f>
        <v>0525T</v>
      </c>
      <c r="B5226" s="5" t="s">
        <v>276</v>
      </c>
      <c r="C5226" s="17">
        <v>20230101</v>
      </c>
      <c r="D5226" s="17">
        <v>22991231</v>
      </c>
      <c r="E5226" s="25">
        <v>6076.44</v>
      </c>
    </row>
    <row r="5227" spans="1:5" ht="52" x14ac:dyDescent="0.3">
      <c r="A5227" s="17" t="str">
        <f>"0526T"</f>
        <v>0526T</v>
      </c>
      <c r="B5227" s="5" t="s">
        <v>277</v>
      </c>
      <c r="C5227" s="17">
        <v>20230101</v>
      </c>
      <c r="D5227" s="17">
        <v>22991231</v>
      </c>
      <c r="E5227" s="25">
        <v>5183.9799999999996</v>
      </c>
    </row>
    <row r="5228" spans="1:5" ht="52" x14ac:dyDescent="0.3">
      <c r="A5228" s="17" t="str">
        <f>"0527T"</f>
        <v>0527T</v>
      </c>
      <c r="B5228" s="5" t="s">
        <v>278</v>
      </c>
      <c r="C5228" s="17">
        <v>20230101</v>
      </c>
      <c r="D5228" s="17">
        <v>22991231</v>
      </c>
      <c r="E5228" s="25">
        <v>7102.82</v>
      </c>
    </row>
    <row r="5229" spans="1:5" ht="39" x14ac:dyDescent="0.3">
      <c r="A5229" s="17" t="str">
        <f>"0530T"</f>
        <v>0530T</v>
      </c>
      <c r="B5229" s="5" t="s">
        <v>279</v>
      </c>
      <c r="C5229" s="17">
        <v>20230101</v>
      </c>
      <c r="D5229" s="17">
        <v>22991231</v>
      </c>
      <c r="E5229" s="25">
        <v>1945.71</v>
      </c>
    </row>
    <row r="5230" spans="1:5" ht="39" x14ac:dyDescent="0.3">
      <c r="A5230" s="17" t="str">
        <f>"0531T"</f>
        <v>0531T</v>
      </c>
      <c r="B5230" s="5" t="s">
        <v>280</v>
      </c>
      <c r="C5230" s="17">
        <v>20230101</v>
      </c>
      <c r="D5230" s="17">
        <v>22991231</v>
      </c>
      <c r="E5230" s="25">
        <v>1945.71</v>
      </c>
    </row>
    <row r="5231" spans="1:5" ht="39" x14ac:dyDescent="0.3">
      <c r="A5231" s="17" t="str">
        <f>"0532T"</f>
        <v>0532T</v>
      </c>
      <c r="B5231" s="5" t="s">
        <v>281</v>
      </c>
      <c r="C5231" s="17">
        <v>20230101</v>
      </c>
      <c r="D5231" s="17">
        <v>22991231</v>
      </c>
      <c r="E5231" s="25">
        <v>1945.71</v>
      </c>
    </row>
    <row r="5232" spans="1:5" ht="26" x14ac:dyDescent="0.3">
      <c r="A5232" s="17" t="str">
        <f>"0581T"</f>
        <v>0581T</v>
      </c>
      <c r="B5232" s="5" t="s">
        <v>282</v>
      </c>
      <c r="C5232" s="17">
        <v>20230101</v>
      </c>
      <c r="D5232" s="17">
        <v>22991231</v>
      </c>
      <c r="E5232" s="25">
        <v>1403.55</v>
      </c>
    </row>
    <row r="5233" spans="1:5" ht="39" x14ac:dyDescent="0.3">
      <c r="A5233" s="17" t="str">
        <f>"0583T"</f>
        <v>0583T</v>
      </c>
      <c r="B5233" s="5" t="s">
        <v>283</v>
      </c>
      <c r="C5233" s="17">
        <v>20230101</v>
      </c>
      <c r="D5233" s="17">
        <v>22991231</v>
      </c>
      <c r="E5233" s="25">
        <v>802.14</v>
      </c>
    </row>
    <row r="5234" spans="1:5" ht="39" x14ac:dyDescent="0.3">
      <c r="A5234" s="17" t="str">
        <f>"0587T"</f>
        <v>0587T</v>
      </c>
      <c r="B5234" s="5" t="s">
        <v>284</v>
      </c>
      <c r="C5234" s="17">
        <v>20230101</v>
      </c>
      <c r="D5234" s="17">
        <v>22991231</v>
      </c>
      <c r="E5234" s="25">
        <v>5795.78</v>
      </c>
    </row>
    <row r="5235" spans="1:5" ht="39" x14ac:dyDescent="0.3">
      <c r="A5235" s="17" t="str">
        <f>"0588T"</f>
        <v>0588T</v>
      </c>
      <c r="B5235" s="5" t="s">
        <v>285</v>
      </c>
      <c r="C5235" s="17">
        <v>20230101</v>
      </c>
      <c r="D5235" s="17">
        <v>22991231</v>
      </c>
      <c r="E5235" s="25">
        <v>1813.03</v>
      </c>
    </row>
    <row r="5236" spans="1:5" ht="26" x14ac:dyDescent="0.3">
      <c r="A5236" s="17" t="str">
        <f>"0594T"</f>
        <v>0594T</v>
      </c>
      <c r="B5236" s="5" t="s">
        <v>286</v>
      </c>
      <c r="C5236" s="17">
        <v>20230101</v>
      </c>
      <c r="D5236" s="17">
        <v>22991231</v>
      </c>
      <c r="E5236" s="25">
        <v>4081.38</v>
      </c>
    </row>
    <row r="5237" spans="1:5" ht="26" x14ac:dyDescent="0.3">
      <c r="A5237" s="17" t="str">
        <f>"0596T"</f>
        <v>0596T</v>
      </c>
      <c r="B5237" s="5" t="s">
        <v>287</v>
      </c>
      <c r="C5237" s="17">
        <v>20230101</v>
      </c>
      <c r="D5237" s="17">
        <v>22991231</v>
      </c>
      <c r="E5237" s="25">
        <v>299.17</v>
      </c>
    </row>
    <row r="5238" spans="1:5" ht="26" x14ac:dyDescent="0.3">
      <c r="A5238" s="17" t="str">
        <f>"0597T"</f>
        <v>0597T</v>
      </c>
      <c r="B5238" s="5" t="s">
        <v>288</v>
      </c>
      <c r="C5238" s="17">
        <v>20230101</v>
      </c>
      <c r="D5238" s="17">
        <v>22991231</v>
      </c>
      <c r="E5238" s="25">
        <v>299.17</v>
      </c>
    </row>
    <row r="5239" spans="1:5" ht="26" x14ac:dyDescent="0.3">
      <c r="A5239" s="17" t="str">
        <f>"0598T"</f>
        <v>0598T</v>
      </c>
      <c r="B5239" s="5" t="s">
        <v>289</v>
      </c>
      <c r="C5239" s="17">
        <v>20230101</v>
      </c>
      <c r="D5239" s="17">
        <v>22991231</v>
      </c>
      <c r="E5239" s="25">
        <v>155.52000000000001</v>
      </c>
    </row>
    <row r="5240" spans="1:5" ht="26" x14ac:dyDescent="0.3">
      <c r="A5240" s="17" t="str">
        <f>"0599T"</f>
        <v>0599T</v>
      </c>
      <c r="B5240" s="5" t="s">
        <v>290</v>
      </c>
      <c r="C5240" s="17">
        <v>20230101</v>
      </c>
      <c r="D5240" s="17">
        <v>22991231</v>
      </c>
      <c r="E5240" s="25">
        <v>0</v>
      </c>
    </row>
    <row r="5241" spans="1:5" ht="26" x14ac:dyDescent="0.3">
      <c r="A5241" s="17" t="str">
        <f>"0600T"</f>
        <v>0600T</v>
      </c>
      <c r="B5241" s="5" t="s">
        <v>291</v>
      </c>
      <c r="C5241" s="17">
        <v>20230101</v>
      </c>
      <c r="D5241" s="17">
        <v>22991231</v>
      </c>
      <c r="E5241" s="25">
        <v>6307.55</v>
      </c>
    </row>
    <row r="5242" spans="1:5" ht="26" x14ac:dyDescent="0.3">
      <c r="A5242" s="17" t="str">
        <f>"0601T"</f>
        <v>0601T</v>
      </c>
      <c r="B5242" s="5" t="s">
        <v>292</v>
      </c>
      <c r="C5242" s="17">
        <v>20230101</v>
      </c>
      <c r="D5242" s="17">
        <v>22991231</v>
      </c>
      <c r="E5242" s="25">
        <v>6189.97</v>
      </c>
    </row>
    <row r="5243" spans="1:5" ht="26" x14ac:dyDescent="0.3">
      <c r="A5243" s="17" t="str">
        <f>"0609T"</f>
        <v>0609T</v>
      </c>
      <c r="B5243" s="5" t="s">
        <v>293</v>
      </c>
      <c r="C5243" s="17">
        <v>20230101</v>
      </c>
      <c r="D5243" s="17">
        <v>22991231</v>
      </c>
      <c r="E5243" s="25">
        <v>121.41</v>
      </c>
    </row>
    <row r="5244" spans="1:5" ht="26" x14ac:dyDescent="0.3">
      <c r="A5244" s="17" t="str">
        <f>"0611T"</f>
        <v>0611T</v>
      </c>
      <c r="B5244" s="5" t="s">
        <v>294</v>
      </c>
      <c r="C5244" s="17">
        <v>20230101</v>
      </c>
      <c r="D5244" s="17">
        <v>22991231</v>
      </c>
      <c r="E5244" s="25">
        <v>121.41</v>
      </c>
    </row>
    <row r="5245" spans="1:5" ht="26" x14ac:dyDescent="0.3">
      <c r="A5245" s="17" t="str">
        <f>"0614T"</f>
        <v>0614T</v>
      </c>
      <c r="B5245" s="5" t="s">
        <v>295</v>
      </c>
      <c r="C5245" s="17">
        <v>20230101</v>
      </c>
      <c r="D5245" s="17">
        <v>22991231</v>
      </c>
      <c r="E5245" s="25">
        <v>18196.38</v>
      </c>
    </row>
    <row r="5246" spans="1:5" x14ac:dyDescent="0.3">
      <c r="A5246" s="17" t="str">
        <f>"0616T"</f>
        <v>0616T</v>
      </c>
      <c r="B5246" s="5" t="s">
        <v>296</v>
      </c>
      <c r="C5246" s="17">
        <v>20230101</v>
      </c>
      <c r="D5246" s="17">
        <v>22991231</v>
      </c>
      <c r="E5246" s="25">
        <v>13657.96</v>
      </c>
    </row>
    <row r="5247" spans="1:5" ht="26" x14ac:dyDescent="0.3">
      <c r="A5247" s="17" t="str">
        <f>"0617T"</f>
        <v>0617T</v>
      </c>
      <c r="B5247" s="5" t="s">
        <v>297</v>
      </c>
      <c r="C5247" s="17">
        <v>20230101</v>
      </c>
      <c r="D5247" s="17">
        <v>22991231</v>
      </c>
      <c r="E5247" s="25">
        <v>14390.2</v>
      </c>
    </row>
    <row r="5248" spans="1:5" ht="26" x14ac:dyDescent="0.3">
      <c r="A5248" s="17" t="str">
        <f>"0618T"</f>
        <v>0618T</v>
      </c>
      <c r="B5248" s="5" t="s">
        <v>298</v>
      </c>
      <c r="C5248" s="17">
        <v>20230101</v>
      </c>
      <c r="D5248" s="17">
        <v>22991231</v>
      </c>
      <c r="E5248" s="25">
        <v>10682.64</v>
      </c>
    </row>
    <row r="5249" spans="1:5" ht="39" x14ac:dyDescent="0.3">
      <c r="A5249" s="17" t="str">
        <f>"0619T"</f>
        <v>0619T</v>
      </c>
      <c r="B5249" s="5" t="s">
        <v>299</v>
      </c>
      <c r="C5249" s="17">
        <v>20230101</v>
      </c>
      <c r="D5249" s="17">
        <v>22991231</v>
      </c>
      <c r="E5249" s="25">
        <v>7515.36</v>
      </c>
    </row>
    <row r="5250" spans="1:5" ht="39" x14ac:dyDescent="0.3">
      <c r="A5250" s="17" t="str">
        <f>"0620T"</f>
        <v>0620T</v>
      </c>
      <c r="B5250" s="5" t="s">
        <v>300</v>
      </c>
      <c r="C5250" s="17">
        <v>20230101</v>
      </c>
      <c r="D5250" s="17">
        <v>22991231</v>
      </c>
      <c r="E5250" s="25">
        <v>23513.64</v>
      </c>
    </row>
    <row r="5251" spans="1:5" ht="39" x14ac:dyDescent="0.3">
      <c r="A5251" s="17" t="str">
        <f>"0627T"</f>
        <v>0627T</v>
      </c>
      <c r="B5251" s="5" t="s">
        <v>301</v>
      </c>
      <c r="C5251" s="17">
        <v>20230101</v>
      </c>
      <c r="D5251" s="17">
        <v>22991231</v>
      </c>
      <c r="E5251" s="25">
        <v>10014.24</v>
      </c>
    </row>
    <row r="5252" spans="1:5" ht="39" x14ac:dyDescent="0.3">
      <c r="A5252" s="17" t="str">
        <f>"0628T"</f>
        <v>0628T</v>
      </c>
      <c r="B5252" s="5" t="s">
        <v>302</v>
      </c>
      <c r="C5252" s="17">
        <v>20230101</v>
      </c>
      <c r="D5252" s="17">
        <v>22991231</v>
      </c>
      <c r="E5252" s="25">
        <v>0</v>
      </c>
    </row>
    <row r="5253" spans="1:5" ht="39" x14ac:dyDescent="0.3">
      <c r="A5253" s="17" t="str">
        <f>"0629T"</f>
        <v>0629T</v>
      </c>
      <c r="B5253" s="5" t="s">
        <v>303</v>
      </c>
      <c r="C5253" s="17">
        <v>20230101</v>
      </c>
      <c r="D5253" s="17">
        <v>22991231</v>
      </c>
      <c r="E5253" s="25">
        <v>8731.76</v>
      </c>
    </row>
    <row r="5254" spans="1:5" ht="39" x14ac:dyDescent="0.3">
      <c r="A5254" s="17" t="str">
        <f>"0630T"</f>
        <v>0630T</v>
      </c>
      <c r="B5254" s="5" t="s">
        <v>304</v>
      </c>
      <c r="C5254" s="17">
        <v>20230101</v>
      </c>
      <c r="D5254" s="17">
        <v>22991231</v>
      </c>
      <c r="E5254" s="25">
        <v>0</v>
      </c>
    </row>
    <row r="5255" spans="1:5" ht="39" x14ac:dyDescent="0.3">
      <c r="A5255" s="17" t="str">
        <f>"0632T"</f>
        <v>0632T</v>
      </c>
      <c r="B5255" s="5" t="s">
        <v>305</v>
      </c>
      <c r="C5255" s="17">
        <v>20230101</v>
      </c>
      <c r="D5255" s="17">
        <v>22991231</v>
      </c>
      <c r="E5255" s="25">
        <v>9461.34</v>
      </c>
    </row>
    <row r="5256" spans="1:5" x14ac:dyDescent="0.3">
      <c r="A5256" s="17" t="str">
        <f>"0633T"</f>
        <v>0633T</v>
      </c>
      <c r="B5256" s="5" t="s">
        <v>306</v>
      </c>
      <c r="C5256" s="17">
        <v>20230101</v>
      </c>
      <c r="D5256" s="17">
        <v>22991231</v>
      </c>
      <c r="E5256" s="25">
        <v>54.47</v>
      </c>
    </row>
    <row r="5257" spans="1:5" x14ac:dyDescent="0.3">
      <c r="A5257" s="17" t="str">
        <f>"0634T"</f>
        <v>0634T</v>
      </c>
      <c r="B5257" s="5" t="s">
        <v>307</v>
      </c>
      <c r="C5257" s="17">
        <v>20230101</v>
      </c>
      <c r="D5257" s="17">
        <v>22991231</v>
      </c>
      <c r="E5257" s="25">
        <v>91.04</v>
      </c>
    </row>
    <row r="5258" spans="1:5" ht="26" x14ac:dyDescent="0.3">
      <c r="A5258" s="17" t="str">
        <f>"0635T"</f>
        <v>0635T</v>
      </c>
      <c r="B5258" s="5" t="s">
        <v>308</v>
      </c>
      <c r="C5258" s="17">
        <v>20230101</v>
      </c>
      <c r="D5258" s="17">
        <v>22991231</v>
      </c>
      <c r="E5258" s="25">
        <v>91.04</v>
      </c>
    </row>
    <row r="5259" spans="1:5" x14ac:dyDescent="0.3">
      <c r="A5259" s="17" t="str">
        <f>"0636T"</f>
        <v>0636T</v>
      </c>
      <c r="B5259" s="5" t="s">
        <v>309</v>
      </c>
      <c r="C5259" s="17">
        <v>20230101</v>
      </c>
      <c r="D5259" s="17">
        <v>22991231</v>
      </c>
      <c r="E5259" s="25">
        <v>121.41</v>
      </c>
    </row>
    <row r="5260" spans="1:5" ht="26" x14ac:dyDescent="0.3">
      <c r="A5260" s="17" t="str">
        <f>"0637T"</f>
        <v>0637T</v>
      </c>
      <c r="B5260" s="5" t="s">
        <v>310</v>
      </c>
      <c r="C5260" s="17">
        <v>20230101</v>
      </c>
      <c r="D5260" s="17">
        <v>22991231</v>
      </c>
      <c r="E5260" s="25">
        <v>190.54</v>
      </c>
    </row>
    <row r="5261" spans="1:5" ht="26" x14ac:dyDescent="0.3">
      <c r="A5261" s="17" t="str">
        <f>"0638T"</f>
        <v>0638T</v>
      </c>
      <c r="B5261" s="5" t="s">
        <v>311</v>
      </c>
      <c r="C5261" s="17">
        <v>20230101</v>
      </c>
      <c r="D5261" s="17">
        <v>22991231</v>
      </c>
      <c r="E5261" s="25">
        <v>190.54</v>
      </c>
    </row>
    <row r="5262" spans="1:5" ht="26" x14ac:dyDescent="0.3">
      <c r="A5262" s="17" t="str">
        <f>"0644T"</f>
        <v>0644T</v>
      </c>
      <c r="B5262" s="5" t="s">
        <v>312</v>
      </c>
      <c r="C5262" s="17">
        <v>20230101</v>
      </c>
      <c r="D5262" s="17">
        <v>22991231</v>
      </c>
      <c r="E5262" s="25">
        <v>2412.7800000000002</v>
      </c>
    </row>
    <row r="5263" spans="1:5" ht="26" x14ac:dyDescent="0.3">
      <c r="A5263" s="17" t="str">
        <f>"0647T"</f>
        <v>0647T</v>
      </c>
      <c r="B5263" s="5" t="s">
        <v>313</v>
      </c>
      <c r="C5263" s="17">
        <v>20230101</v>
      </c>
      <c r="D5263" s="17">
        <v>22991231</v>
      </c>
      <c r="E5263" s="25">
        <v>794.51</v>
      </c>
    </row>
    <row r="5264" spans="1:5" ht="39" x14ac:dyDescent="0.3">
      <c r="A5264" s="17" t="str">
        <f>"0648T"</f>
        <v>0648T</v>
      </c>
      <c r="B5264" s="5" t="s">
        <v>314</v>
      </c>
      <c r="C5264" s="17">
        <v>20230101</v>
      </c>
      <c r="D5264" s="17">
        <v>22991231</v>
      </c>
      <c r="E5264" s="25">
        <v>494.28</v>
      </c>
    </row>
    <row r="5265" spans="1:5" ht="26" x14ac:dyDescent="0.3">
      <c r="A5265" s="17" t="str">
        <f>"0651T"</f>
        <v>0651T</v>
      </c>
      <c r="B5265" s="5" t="s">
        <v>315</v>
      </c>
      <c r="C5265" s="17">
        <v>20230101</v>
      </c>
      <c r="D5265" s="17">
        <v>22991231</v>
      </c>
      <c r="E5265" s="25">
        <v>617.91999999999996</v>
      </c>
    </row>
    <row r="5266" spans="1:5" ht="39" x14ac:dyDescent="0.3">
      <c r="A5266" s="17" t="str">
        <f>"0652T"</f>
        <v>0652T</v>
      </c>
      <c r="B5266" s="5" t="s">
        <v>316</v>
      </c>
      <c r="C5266" s="17">
        <v>20230101</v>
      </c>
      <c r="D5266" s="17">
        <v>22991231</v>
      </c>
      <c r="E5266" s="25">
        <v>1000.61</v>
      </c>
    </row>
    <row r="5267" spans="1:5" ht="39" x14ac:dyDescent="0.3">
      <c r="A5267" s="17" t="str">
        <f>"0653T"</f>
        <v>0653T</v>
      </c>
      <c r="B5267" s="5" t="s">
        <v>317</v>
      </c>
      <c r="C5267" s="17">
        <v>20230101</v>
      </c>
      <c r="D5267" s="17">
        <v>22991231</v>
      </c>
      <c r="E5267" s="25">
        <v>1000.61</v>
      </c>
    </row>
    <row r="5268" spans="1:5" ht="39" x14ac:dyDescent="0.3">
      <c r="A5268" s="17" t="str">
        <f>"0654T"</f>
        <v>0654T</v>
      </c>
      <c r="B5268" s="5" t="s">
        <v>318</v>
      </c>
      <c r="C5268" s="17">
        <v>20230101</v>
      </c>
      <c r="D5268" s="17">
        <v>22991231</v>
      </c>
      <c r="E5268" s="25">
        <v>1718.4</v>
      </c>
    </row>
    <row r="5269" spans="1:5" ht="26" x14ac:dyDescent="0.3">
      <c r="A5269" s="17" t="str">
        <f>"0655T"</f>
        <v>0655T</v>
      </c>
      <c r="B5269" s="5" t="s">
        <v>319</v>
      </c>
      <c r="C5269" s="17">
        <v>20230101</v>
      </c>
      <c r="D5269" s="17">
        <v>22991231</v>
      </c>
      <c r="E5269" s="25">
        <v>1553.18</v>
      </c>
    </row>
    <row r="5270" spans="1:5" ht="26" x14ac:dyDescent="0.3">
      <c r="A5270" s="17" t="str">
        <f>"0671T"</f>
        <v>0671T</v>
      </c>
      <c r="B5270" s="5" t="s">
        <v>320</v>
      </c>
      <c r="C5270" s="17">
        <v>20230101</v>
      </c>
      <c r="D5270" s="17">
        <v>22991231</v>
      </c>
      <c r="E5270" s="25">
        <v>3644.94</v>
      </c>
    </row>
    <row r="5271" spans="1:5" ht="26" x14ac:dyDescent="0.3">
      <c r="A5271" s="17" t="str">
        <f>"0673T"</f>
        <v>0673T</v>
      </c>
      <c r="B5271" s="5" t="s">
        <v>321</v>
      </c>
      <c r="C5271" s="17">
        <v>20230101</v>
      </c>
      <c r="D5271" s="17">
        <v>22991231</v>
      </c>
      <c r="E5271" s="25">
        <v>652.27</v>
      </c>
    </row>
    <row r="5272" spans="1:5" ht="26" x14ac:dyDescent="0.3">
      <c r="A5272" s="17" t="str">
        <f>"0686T"</f>
        <v>0686T</v>
      </c>
      <c r="B5272" s="5" t="s">
        <v>322</v>
      </c>
      <c r="C5272" s="17">
        <v>20230101</v>
      </c>
      <c r="D5272" s="17">
        <v>22991231</v>
      </c>
      <c r="E5272" s="25">
        <v>9100.58</v>
      </c>
    </row>
    <row r="5273" spans="1:5" ht="26" x14ac:dyDescent="0.3">
      <c r="A5273" s="17" t="str">
        <f>"0689T"</f>
        <v>0689T</v>
      </c>
      <c r="B5273" s="5" t="s">
        <v>323</v>
      </c>
      <c r="C5273" s="17">
        <v>20230101</v>
      </c>
      <c r="D5273" s="17">
        <v>22991231</v>
      </c>
      <c r="E5273" s="25">
        <v>45.03</v>
      </c>
    </row>
    <row r="5274" spans="1:5" ht="39" x14ac:dyDescent="0.3">
      <c r="A5274" s="17" t="str">
        <f>"0697T"</f>
        <v>0697T</v>
      </c>
      <c r="B5274" s="5" t="s">
        <v>324</v>
      </c>
      <c r="C5274" s="17">
        <v>20230101</v>
      </c>
      <c r="D5274" s="17">
        <v>22991231</v>
      </c>
      <c r="E5274" s="25">
        <v>494.28</v>
      </c>
    </row>
    <row r="5275" spans="1:5" ht="52" x14ac:dyDescent="0.3">
      <c r="A5275" s="17" t="str">
        <f>"0698T"</f>
        <v>0698T</v>
      </c>
      <c r="B5275" s="5" t="s">
        <v>325</v>
      </c>
      <c r="C5275" s="17">
        <v>20240101</v>
      </c>
      <c r="D5275" s="17">
        <v>22991231</v>
      </c>
      <c r="E5275" s="25">
        <v>494.28</v>
      </c>
    </row>
    <row r="5276" spans="1:5" ht="26" x14ac:dyDescent="0.3">
      <c r="A5276" s="17" t="str">
        <f>"0699T"</f>
        <v>0699T</v>
      </c>
      <c r="B5276" s="5" t="s">
        <v>326</v>
      </c>
      <c r="C5276" s="17">
        <v>20230101</v>
      </c>
      <c r="D5276" s="17">
        <v>22991231</v>
      </c>
      <c r="E5276" s="25">
        <v>1130.6099999999999</v>
      </c>
    </row>
    <row r="5277" spans="1:5" ht="26" x14ac:dyDescent="0.3">
      <c r="A5277" s="17" t="str">
        <f>"0707T"</f>
        <v>0707T</v>
      </c>
      <c r="B5277" s="5" t="s">
        <v>327</v>
      </c>
      <c r="C5277" s="17">
        <v>20230101</v>
      </c>
      <c r="D5277" s="17">
        <v>22991231</v>
      </c>
      <c r="E5277" s="25">
        <v>2122.9699999999998</v>
      </c>
    </row>
    <row r="5278" spans="1:5" ht="26" x14ac:dyDescent="0.3">
      <c r="A5278" s="17" t="str">
        <f>"0714T"</f>
        <v>0714T</v>
      </c>
      <c r="B5278" s="5" t="s">
        <v>328</v>
      </c>
      <c r="C5278" s="17">
        <v>20230101</v>
      </c>
      <c r="D5278" s="17">
        <v>22991231</v>
      </c>
      <c r="E5278" s="25">
        <v>2360.33</v>
      </c>
    </row>
    <row r="5279" spans="1:5" ht="39" x14ac:dyDescent="0.3">
      <c r="A5279" s="17" t="str">
        <f>"0784T"</f>
        <v>0784T</v>
      </c>
      <c r="B5279" s="5" t="s">
        <v>329</v>
      </c>
      <c r="C5279" s="17">
        <v>20240101</v>
      </c>
      <c r="D5279" s="17">
        <v>22991231</v>
      </c>
      <c r="E5279" s="25">
        <v>8810.73</v>
      </c>
    </row>
    <row r="5280" spans="1:5" ht="26" x14ac:dyDescent="0.3">
      <c r="A5280" s="17" t="str">
        <f>"0785T"</f>
        <v>0785T</v>
      </c>
      <c r="B5280" s="5" t="s">
        <v>330</v>
      </c>
      <c r="C5280" s="17">
        <v>20240101</v>
      </c>
      <c r="D5280" s="17">
        <v>22991231</v>
      </c>
      <c r="E5280" s="25">
        <v>1813.03</v>
      </c>
    </row>
    <row r="5281" spans="1:5" ht="39" x14ac:dyDescent="0.3">
      <c r="A5281" s="17" t="str">
        <f>"0786T"</f>
        <v>0786T</v>
      </c>
      <c r="B5281" s="5" t="s">
        <v>331</v>
      </c>
      <c r="C5281" s="17">
        <v>20240101</v>
      </c>
      <c r="D5281" s="17">
        <v>22991231</v>
      </c>
      <c r="E5281" s="25">
        <v>8810.73</v>
      </c>
    </row>
    <row r="5282" spans="1:5" ht="26" x14ac:dyDescent="0.3">
      <c r="A5282" s="17" t="str">
        <f>"0787T"</f>
        <v>0787T</v>
      </c>
      <c r="B5282" s="5" t="s">
        <v>332</v>
      </c>
      <c r="C5282" s="17">
        <v>20240101</v>
      </c>
      <c r="D5282" s="17">
        <v>22991231</v>
      </c>
      <c r="E5282" s="25">
        <v>1813.03</v>
      </c>
    </row>
    <row r="5283" spans="1:5" ht="52" x14ac:dyDescent="0.3">
      <c r="A5283" s="17" t="str">
        <f>"0793T"</f>
        <v>0793T</v>
      </c>
      <c r="B5283" s="5" t="s">
        <v>333</v>
      </c>
      <c r="C5283" s="17">
        <v>20240101</v>
      </c>
      <c r="D5283" s="17">
        <v>22991231</v>
      </c>
      <c r="E5283" s="25">
        <v>9461.34</v>
      </c>
    </row>
    <row r="5284" spans="1:5" ht="52" x14ac:dyDescent="0.3">
      <c r="A5284" s="17" t="str">
        <f>"0797T"</f>
        <v>0797T</v>
      </c>
      <c r="B5284" s="5" t="s">
        <v>334</v>
      </c>
      <c r="C5284" s="17">
        <v>20240101</v>
      </c>
      <c r="D5284" s="17">
        <v>22991231</v>
      </c>
      <c r="E5284" s="25">
        <v>10101.299999999999</v>
      </c>
    </row>
    <row r="5285" spans="1:5" ht="39" x14ac:dyDescent="0.3">
      <c r="A5285" s="17" t="str">
        <f>"0800T"</f>
        <v>0800T</v>
      </c>
      <c r="B5285" s="5" t="s">
        <v>335</v>
      </c>
      <c r="C5285" s="17">
        <v>20240101</v>
      </c>
      <c r="D5285" s="17">
        <v>22991231</v>
      </c>
      <c r="E5285" s="25">
        <v>1862.11</v>
      </c>
    </row>
    <row r="5286" spans="1:5" ht="52" x14ac:dyDescent="0.3">
      <c r="A5286" s="17" t="str">
        <f>"0803T"</f>
        <v>0803T</v>
      </c>
      <c r="B5286" s="5" t="s">
        <v>336</v>
      </c>
      <c r="C5286" s="17">
        <v>20240101</v>
      </c>
      <c r="D5286" s="17">
        <v>22991231</v>
      </c>
      <c r="E5286" s="25">
        <v>10101.299999999999</v>
      </c>
    </row>
    <row r="5287" spans="1:5" ht="26" x14ac:dyDescent="0.3">
      <c r="A5287" s="17" t="str">
        <f>"0810T"</f>
        <v>0810T</v>
      </c>
      <c r="B5287" s="5" t="s">
        <v>337</v>
      </c>
      <c r="C5287" s="17">
        <v>20240101</v>
      </c>
      <c r="D5287" s="17">
        <v>22991231</v>
      </c>
      <c r="E5287" s="25">
        <v>2210.34</v>
      </c>
    </row>
    <row r="5288" spans="1:5" ht="39" x14ac:dyDescent="0.3">
      <c r="A5288" s="17" t="str">
        <f>"0813T"</f>
        <v>0813T</v>
      </c>
      <c r="B5288" s="5" t="s">
        <v>338</v>
      </c>
      <c r="C5288" s="17">
        <v>20240101</v>
      </c>
      <c r="D5288" s="17">
        <v>22991231</v>
      </c>
      <c r="E5288" s="25">
        <v>449.14</v>
      </c>
    </row>
    <row r="5289" spans="1:5" ht="39" x14ac:dyDescent="0.3">
      <c r="A5289" s="17" t="str">
        <f>"0816T"</f>
        <v>0816T</v>
      </c>
      <c r="B5289" s="5" t="s">
        <v>339</v>
      </c>
      <c r="C5289" s="17">
        <v>20240101</v>
      </c>
      <c r="D5289" s="17">
        <v>22991231</v>
      </c>
      <c r="E5289" s="25">
        <v>13489.7</v>
      </c>
    </row>
    <row r="5290" spans="1:5" ht="39" x14ac:dyDescent="0.3">
      <c r="A5290" s="17" t="str">
        <f>"0817T"</f>
        <v>0817T</v>
      </c>
      <c r="B5290" s="5" t="s">
        <v>340</v>
      </c>
      <c r="C5290" s="17">
        <v>20240101</v>
      </c>
      <c r="D5290" s="17">
        <v>22991231</v>
      </c>
      <c r="E5290" s="25">
        <v>13489.7</v>
      </c>
    </row>
    <row r="5291" spans="1:5" ht="39" x14ac:dyDescent="0.3">
      <c r="A5291" s="17" t="str">
        <f>"0818T"</f>
        <v>0818T</v>
      </c>
      <c r="B5291" s="5" t="s">
        <v>341</v>
      </c>
      <c r="C5291" s="17">
        <v>20240101</v>
      </c>
      <c r="D5291" s="17">
        <v>22991231</v>
      </c>
      <c r="E5291" s="25">
        <v>1813.03</v>
      </c>
    </row>
    <row r="5292" spans="1:5" ht="39" x14ac:dyDescent="0.3">
      <c r="A5292" s="17" t="str">
        <f>"0819T"</f>
        <v>0819T</v>
      </c>
      <c r="B5292" s="5" t="s">
        <v>342</v>
      </c>
      <c r="C5292" s="17">
        <v>20240101</v>
      </c>
      <c r="D5292" s="17">
        <v>22991231</v>
      </c>
      <c r="E5292" s="25">
        <v>1813.03</v>
      </c>
    </row>
    <row r="5293" spans="1:5" x14ac:dyDescent="0.3">
      <c r="A5293" s="17" t="str">
        <f>"0864T"</f>
        <v>0864T</v>
      </c>
      <c r="B5293" s="5" t="s">
        <v>343</v>
      </c>
      <c r="C5293" s="17">
        <v>20240101</v>
      </c>
      <c r="D5293" s="17">
        <v>22991231</v>
      </c>
      <c r="E5293" s="25">
        <v>122.45</v>
      </c>
    </row>
    <row r="5294" spans="1:5" x14ac:dyDescent="0.3">
      <c r="A5294" s="17" t="str">
        <f>"A2001"</f>
        <v>A2001</v>
      </c>
      <c r="B5294" s="5" t="s">
        <v>5297</v>
      </c>
      <c r="C5294" s="17">
        <v>20230101</v>
      </c>
      <c r="D5294" s="17">
        <v>22991231</v>
      </c>
      <c r="E5294" s="25">
        <v>0</v>
      </c>
    </row>
    <row r="5295" spans="1:5" ht="26" x14ac:dyDescent="0.3">
      <c r="A5295" s="17" t="str">
        <f>"A2002"</f>
        <v>A2002</v>
      </c>
      <c r="B5295" s="5" t="s">
        <v>5298</v>
      </c>
      <c r="C5295" s="17">
        <v>20230101</v>
      </c>
      <c r="D5295" s="17">
        <v>22991231</v>
      </c>
      <c r="E5295" s="25">
        <v>0</v>
      </c>
    </row>
    <row r="5296" spans="1:5" x14ac:dyDescent="0.3">
      <c r="A5296" s="17" t="str">
        <f>"A2004"</f>
        <v>A2004</v>
      </c>
      <c r="B5296" s="5" t="s">
        <v>5299</v>
      </c>
      <c r="C5296" s="17">
        <v>20230101</v>
      </c>
      <c r="D5296" s="17">
        <v>22991231</v>
      </c>
      <c r="E5296" s="25">
        <v>0</v>
      </c>
    </row>
    <row r="5297" spans="1:5" x14ac:dyDescent="0.3">
      <c r="A5297" s="17" t="str">
        <f>"A2005"</f>
        <v>A2005</v>
      </c>
      <c r="B5297" s="5" t="s">
        <v>5300</v>
      </c>
      <c r="C5297" s="17">
        <v>20230101</v>
      </c>
      <c r="D5297" s="17">
        <v>22991231</v>
      </c>
      <c r="E5297" s="25">
        <v>0</v>
      </c>
    </row>
    <row r="5298" spans="1:5" ht="26" x14ac:dyDescent="0.3">
      <c r="A5298" s="17" t="str">
        <f>"A2006"</f>
        <v>A2006</v>
      </c>
      <c r="B5298" s="5" t="s">
        <v>5301</v>
      </c>
      <c r="C5298" s="17">
        <v>20230101</v>
      </c>
      <c r="D5298" s="17">
        <v>22991231</v>
      </c>
      <c r="E5298" s="25">
        <v>0</v>
      </c>
    </row>
    <row r="5299" spans="1:5" x14ac:dyDescent="0.3">
      <c r="A5299" s="17" t="str">
        <f>"A2007"</f>
        <v>A2007</v>
      </c>
      <c r="B5299" s="5" t="s">
        <v>5302</v>
      </c>
      <c r="C5299" s="17">
        <v>20230101</v>
      </c>
      <c r="D5299" s="17">
        <v>22991231</v>
      </c>
      <c r="E5299" s="25">
        <v>0</v>
      </c>
    </row>
    <row r="5300" spans="1:5" x14ac:dyDescent="0.3">
      <c r="A5300" s="17" t="str">
        <f>"A2008"</f>
        <v>A2008</v>
      </c>
      <c r="B5300" s="5" t="s">
        <v>5303</v>
      </c>
      <c r="C5300" s="17">
        <v>20230101</v>
      </c>
      <c r="D5300" s="17">
        <v>22991231</v>
      </c>
      <c r="E5300" s="25">
        <v>0</v>
      </c>
    </row>
    <row r="5301" spans="1:5" x14ac:dyDescent="0.3">
      <c r="A5301" s="17" t="str">
        <f>"A2009"</f>
        <v>A2009</v>
      </c>
      <c r="B5301" s="5" t="s">
        <v>5304</v>
      </c>
      <c r="C5301" s="17">
        <v>20230101</v>
      </c>
      <c r="D5301" s="17">
        <v>22991231</v>
      </c>
      <c r="E5301" s="25">
        <v>0</v>
      </c>
    </row>
    <row r="5302" spans="1:5" x14ac:dyDescent="0.3">
      <c r="A5302" s="17" t="str">
        <f>"A2010"</f>
        <v>A2010</v>
      </c>
      <c r="B5302" s="5" t="s">
        <v>5305</v>
      </c>
      <c r="C5302" s="17">
        <v>20230101</v>
      </c>
      <c r="D5302" s="17">
        <v>22991231</v>
      </c>
      <c r="E5302" s="25">
        <v>0</v>
      </c>
    </row>
    <row r="5303" spans="1:5" x14ac:dyDescent="0.3">
      <c r="A5303" s="17" t="str">
        <f>"A2011"</f>
        <v>A2011</v>
      </c>
      <c r="B5303" s="5" t="s">
        <v>5306</v>
      </c>
      <c r="C5303" s="17">
        <v>20230101</v>
      </c>
      <c r="D5303" s="17">
        <v>22991231</v>
      </c>
      <c r="E5303" s="25">
        <v>0</v>
      </c>
    </row>
    <row r="5304" spans="1:5" x14ac:dyDescent="0.3">
      <c r="A5304" s="17" t="str">
        <f>"A2012"</f>
        <v>A2012</v>
      </c>
      <c r="B5304" s="5" t="s">
        <v>5307</v>
      </c>
      <c r="C5304" s="17">
        <v>20230101</v>
      </c>
      <c r="D5304" s="17">
        <v>22991231</v>
      </c>
      <c r="E5304" s="25">
        <v>0</v>
      </c>
    </row>
    <row r="5305" spans="1:5" x14ac:dyDescent="0.3">
      <c r="A5305" s="17" t="str">
        <f>"A2013"</f>
        <v>A2013</v>
      </c>
      <c r="B5305" s="5" t="s">
        <v>5308</v>
      </c>
      <c r="C5305" s="17">
        <v>20230101</v>
      </c>
      <c r="D5305" s="17">
        <v>22991231</v>
      </c>
      <c r="E5305" s="25">
        <v>0</v>
      </c>
    </row>
    <row r="5306" spans="1:5" x14ac:dyDescent="0.3">
      <c r="A5306" s="17" t="str">
        <f>"A2014"</f>
        <v>A2014</v>
      </c>
      <c r="B5306" s="5" t="s">
        <v>5309</v>
      </c>
      <c r="C5306" s="17">
        <v>20230101</v>
      </c>
      <c r="D5306" s="17">
        <v>22991231</v>
      </c>
      <c r="E5306" s="25">
        <v>0</v>
      </c>
    </row>
    <row r="5307" spans="1:5" x14ac:dyDescent="0.3">
      <c r="A5307" s="17" t="str">
        <f>"A2015"</f>
        <v>A2015</v>
      </c>
      <c r="B5307" s="5" t="s">
        <v>5310</v>
      </c>
      <c r="C5307" s="17">
        <v>20230101</v>
      </c>
      <c r="D5307" s="17">
        <v>22991231</v>
      </c>
      <c r="E5307" s="25">
        <v>0</v>
      </c>
    </row>
    <row r="5308" spans="1:5" x14ac:dyDescent="0.3">
      <c r="A5308" s="17" t="str">
        <f>"A2016"</f>
        <v>A2016</v>
      </c>
      <c r="B5308" s="5" t="s">
        <v>5311</v>
      </c>
      <c r="C5308" s="17">
        <v>20230101</v>
      </c>
      <c r="D5308" s="17">
        <v>22991231</v>
      </c>
      <c r="E5308" s="25">
        <v>0</v>
      </c>
    </row>
    <row r="5309" spans="1:5" x14ac:dyDescent="0.3">
      <c r="A5309" s="17" t="str">
        <f>"A2017"</f>
        <v>A2017</v>
      </c>
      <c r="B5309" s="5" t="s">
        <v>5312</v>
      </c>
      <c r="C5309" s="17">
        <v>20230101</v>
      </c>
      <c r="D5309" s="17">
        <v>22991231</v>
      </c>
      <c r="E5309" s="25">
        <v>0</v>
      </c>
    </row>
    <row r="5310" spans="1:5" x14ac:dyDescent="0.3">
      <c r="A5310" s="17" t="str">
        <f>"A2018"</f>
        <v>A2018</v>
      </c>
      <c r="B5310" s="5" t="s">
        <v>5313</v>
      </c>
      <c r="C5310" s="17">
        <v>20230101</v>
      </c>
      <c r="D5310" s="17">
        <v>22991231</v>
      </c>
      <c r="E5310" s="25">
        <v>0</v>
      </c>
    </row>
    <row r="5311" spans="1:5" ht="26" x14ac:dyDescent="0.3">
      <c r="A5311" s="17" t="str">
        <f>"A2019"</f>
        <v>A2019</v>
      </c>
      <c r="B5311" s="5" t="s">
        <v>5314</v>
      </c>
      <c r="C5311" s="17">
        <v>20240101</v>
      </c>
      <c r="D5311" s="17">
        <v>22991231</v>
      </c>
      <c r="E5311" s="25">
        <v>0</v>
      </c>
    </row>
    <row r="5312" spans="1:5" x14ac:dyDescent="0.3">
      <c r="A5312" s="17" t="str">
        <f>"A2020"</f>
        <v>A2020</v>
      </c>
      <c r="B5312" s="5" t="s">
        <v>5315</v>
      </c>
      <c r="C5312" s="17">
        <v>20240101</v>
      </c>
      <c r="D5312" s="17">
        <v>22991231</v>
      </c>
      <c r="E5312" s="25">
        <v>0</v>
      </c>
    </row>
    <row r="5313" spans="1:5" x14ac:dyDescent="0.3">
      <c r="A5313" s="17" t="str">
        <f>"A2021"</f>
        <v>A2021</v>
      </c>
      <c r="B5313" s="5" t="s">
        <v>5316</v>
      </c>
      <c r="C5313" s="17">
        <v>20240101</v>
      </c>
      <c r="D5313" s="17">
        <v>22991231</v>
      </c>
      <c r="E5313" s="25">
        <v>0</v>
      </c>
    </row>
    <row r="5314" spans="1:5" ht="26" x14ac:dyDescent="0.3">
      <c r="A5314" s="17" t="str">
        <f>"A2022"</f>
        <v>A2022</v>
      </c>
      <c r="B5314" s="5" t="s">
        <v>5317</v>
      </c>
      <c r="C5314" s="17">
        <v>20240101</v>
      </c>
      <c r="D5314" s="17">
        <v>22991231</v>
      </c>
      <c r="E5314" s="25">
        <v>0</v>
      </c>
    </row>
    <row r="5315" spans="1:5" x14ac:dyDescent="0.3">
      <c r="A5315" s="17" t="str">
        <f>"A2023"</f>
        <v>A2023</v>
      </c>
      <c r="B5315" s="5" t="s">
        <v>5318</v>
      </c>
      <c r="C5315" s="17">
        <v>20240101</v>
      </c>
      <c r="D5315" s="17">
        <v>22991231</v>
      </c>
      <c r="E5315" s="25">
        <v>0</v>
      </c>
    </row>
    <row r="5316" spans="1:5" x14ac:dyDescent="0.3">
      <c r="A5316" s="17" t="str">
        <f>"A2024"</f>
        <v>A2024</v>
      </c>
      <c r="B5316" s="5" t="s">
        <v>5319</v>
      </c>
      <c r="C5316" s="17">
        <v>20240101</v>
      </c>
      <c r="D5316" s="17">
        <v>22991231</v>
      </c>
      <c r="E5316" s="25">
        <v>0</v>
      </c>
    </row>
    <row r="5317" spans="1:5" x14ac:dyDescent="0.3">
      <c r="A5317" s="17" t="str">
        <f>"A2025"</f>
        <v>A2025</v>
      </c>
      <c r="B5317" s="5" t="s">
        <v>5320</v>
      </c>
      <c r="C5317" s="17">
        <v>20240101</v>
      </c>
      <c r="D5317" s="17">
        <v>22991231</v>
      </c>
      <c r="E5317" s="25">
        <v>0</v>
      </c>
    </row>
    <row r="5318" spans="1:5" ht="26" x14ac:dyDescent="0.3">
      <c r="A5318" s="17" t="str">
        <f>"A4100"</f>
        <v>A4100</v>
      </c>
      <c r="B5318" s="5" t="s">
        <v>5321</v>
      </c>
      <c r="C5318" s="17">
        <v>20230101</v>
      </c>
      <c r="D5318" s="17">
        <v>22991231</v>
      </c>
      <c r="E5318" s="25">
        <v>0</v>
      </c>
    </row>
    <row r="5319" spans="1:5" x14ac:dyDescent="0.3">
      <c r="A5319" s="17" t="str">
        <f>"A4248"</f>
        <v>A4248</v>
      </c>
      <c r="B5319" s="5" t="s">
        <v>5322</v>
      </c>
      <c r="C5319" s="17">
        <v>20040101</v>
      </c>
      <c r="D5319" s="17">
        <v>22991231</v>
      </c>
      <c r="E5319" s="24" t="s">
        <v>7128</v>
      </c>
    </row>
    <row r="5320" spans="1:5" ht="26" x14ac:dyDescent="0.3">
      <c r="A5320" s="17" t="str">
        <f>"A4344"</f>
        <v>A4344</v>
      </c>
      <c r="B5320" s="5" t="s">
        <v>5323</v>
      </c>
      <c r="C5320" s="17">
        <v>20240101</v>
      </c>
      <c r="D5320" s="17">
        <v>22991231</v>
      </c>
      <c r="E5320" s="25">
        <v>0</v>
      </c>
    </row>
    <row r="5321" spans="1:5" ht="39" x14ac:dyDescent="0.3">
      <c r="A5321" s="17" t="str">
        <f>"A4357"</f>
        <v>A4357</v>
      </c>
      <c r="B5321" s="5" t="s">
        <v>5324</v>
      </c>
      <c r="C5321" s="17">
        <v>19910701</v>
      </c>
      <c r="D5321" s="17">
        <v>22991231</v>
      </c>
      <c r="E5321" s="24" t="s">
        <v>7128</v>
      </c>
    </row>
    <row r="5322" spans="1:5" x14ac:dyDescent="0.3">
      <c r="A5322" s="17" t="str">
        <f>"A4554"</f>
        <v>A4554</v>
      </c>
      <c r="B5322" s="5" t="s">
        <v>5325</v>
      </c>
      <c r="C5322" s="17">
        <v>19900101</v>
      </c>
      <c r="D5322" s="17">
        <v>22991231</v>
      </c>
      <c r="E5322" s="24" t="s">
        <v>7128</v>
      </c>
    </row>
    <row r="5323" spans="1:5" ht="39" x14ac:dyDescent="0.3">
      <c r="A5323" s="17" t="str">
        <f>"A4555"</f>
        <v>A4555</v>
      </c>
      <c r="B5323" s="5" t="s">
        <v>5326</v>
      </c>
      <c r="C5323" s="17">
        <v>19900101</v>
      </c>
      <c r="D5323" s="17">
        <v>22991231</v>
      </c>
      <c r="E5323" s="24" t="s">
        <v>7128</v>
      </c>
    </row>
    <row r="5324" spans="1:5" x14ac:dyDescent="0.3">
      <c r="A5324" s="17" t="str">
        <f>"A4580"</f>
        <v>A4580</v>
      </c>
      <c r="B5324" s="5" t="s">
        <v>5327</v>
      </c>
      <c r="C5324" s="17">
        <v>19900101</v>
      </c>
      <c r="D5324" s="17">
        <v>22991231</v>
      </c>
      <c r="E5324" s="24" t="s">
        <v>7128</v>
      </c>
    </row>
    <row r="5325" spans="1:5" ht="26" x14ac:dyDescent="0.3">
      <c r="A5325" s="17" t="str">
        <f>"A4600"</f>
        <v>A4600</v>
      </c>
      <c r="B5325" s="5" t="s">
        <v>5328</v>
      </c>
      <c r="C5325" s="17">
        <v>20070101</v>
      </c>
      <c r="D5325" s="17">
        <v>22991231</v>
      </c>
      <c r="E5325" s="24" t="s">
        <v>7128</v>
      </c>
    </row>
    <row r="5326" spans="1:5" ht="26" x14ac:dyDescent="0.3">
      <c r="A5326" s="17" t="str">
        <f>"A4601"</f>
        <v>A4601</v>
      </c>
      <c r="B5326" s="5" t="s">
        <v>5329</v>
      </c>
      <c r="C5326" s="17">
        <v>20070101</v>
      </c>
      <c r="D5326" s="17">
        <v>22991231</v>
      </c>
      <c r="E5326" s="24" t="s">
        <v>7128</v>
      </c>
    </row>
    <row r="5327" spans="1:5" ht="26" x14ac:dyDescent="0.3">
      <c r="A5327" s="17" t="str">
        <f>"A4638"</f>
        <v>A4638</v>
      </c>
      <c r="B5327" s="5" t="s">
        <v>5330</v>
      </c>
      <c r="C5327" s="17">
        <v>20040101</v>
      </c>
      <c r="D5327" s="17">
        <v>22991231</v>
      </c>
      <c r="E5327" s="24" t="s">
        <v>7128</v>
      </c>
    </row>
    <row r="5328" spans="1:5" ht="26" x14ac:dyDescent="0.3">
      <c r="A5328" s="17" t="str">
        <f>"A9156"</f>
        <v>A9156</v>
      </c>
      <c r="B5328" s="5" t="s">
        <v>5331</v>
      </c>
      <c r="C5328" s="17">
        <v>20240101</v>
      </c>
      <c r="D5328" s="17">
        <v>22991231</v>
      </c>
      <c r="E5328" s="25">
        <v>0</v>
      </c>
    </row>
    <row r="5329" spans="1:5" ht="26" x14ac:dyDescent="0.3">
      <c r="A5329" s="17" t="str">
        <f>"A9500"</f>
        <v>A9500</v>
      </c>
      <c r="B5329" s="5" t="s">
        <v>5332</v>
      </c>
      <c r="C5329" s="17">
        <v>20230101</v>
      </c>
      <c r="D5329" s="17">
        <v>22991231</v>
      </c>
      <c r="E5329" s="25">
        <v>0</v>
      </c>
    </row>
    <row r="5330" spans="1:5" ht="26" x14ac:dyDescent="0.3">
      <c r="A5330" s="17" t="str">
        <f>"A9501"</f>
        <v>A9501</v>
      </c>
      <c r="B5330" s="5" t="s">
        <v>5333</v>
      </c>
      <c r="C5330" s="17">
        <v>20230101</v>
      </c>
      <c r="D5330" s="17">
        <v>22991231</v>
      </c>
      <c r="E5330" s="25">
        <v>0</v>
      </c>
    </row>
    <row r="5331" spans="1:5" ht="26" x14ac:dyDescent="0.3">
      <c r="A5331" s="17" t="str">
        <f>"A9502"</f>
        <v>A9502</v>
      </c>
      <c r="B5331" s="5" t="s">
        <v>5334</v>
      </c>
      <c r="C5331" s="17">
        <v>20230101</v>
      </c>
      <c r="D5331" s="17">
        <v>22991231</v>
      </c>
      <c r="E5331" s="25">
        <v>0</v>
      </c>
    </row>
    <row r="5332" spans="1:5" ht="26" x14ac:dyDescent="0.3">
      <c r="A5332" s="17" t="str">
        <f>"A9503"</f>
        <v>A9503</v>
      </c>
      <c r="B5332" s="5" t="s">
        <v>5335</v>
      </c>
      <c r="C5332" s="17">
        <v>20230101</v>
      </c>
      <c r="D5332" s="17">
        <v>22991231</v>
      </c>
      <c r="E5332" s="25">
        <v>0</v>
      </c>
    </row>
    <row r="5333" spans="1:5" ht="26" x14ac:dyDescent="0.3">
      <c r="A5333" s="17" t="str">
        <f>"A9504"</f>
        <v>A9504</v>
      </c>
      <c r="B5333" s="5" t="s">
        <v>5336</v>
      </c>
      <c r="C5333" s="17">
        <v>20230101</v>
      </c>
      <c r="D5333" s="17">
        <v>22991231</v>
      </c>
      <c r="E5333" s="25">
        <v>0</v>
      </c>
    </row>
    <row r="5334" spans="1:5" ht="26" x14ac:dyDescent="0.3">
      <c r="A5334" s="17" t="str">
        <f>"A9505"</f>
        <v>A9505</v>
      </c>
      <c r="B5334" s="5" t="s">
        <v>5337</v>
      </c>
      <c r="C5334" s="17">
        <v>20230101</v>
      </c>
      <c r="D5334" s="17">
        <v>22991231</v>
      </c>
      <c r="E5334" s="25">
        <v>0</v>
      </c>
    </row>
    <row r="5335" spans="1:5" ht="26" x14ac:dyDescent="0.3">
      <c r="A5335" s="17" t="str">
        <f>"A9507"</f>
        <v>A9507</v>
      </c>
      <c r="B5335" s="5" t="s">
        <v>5338</v>
      </c>
      <c r="C5335" s="17">
        <v>20230101</v>
      </c>
      <c r="D5335" s="17">
        <v>22991231</v>
      </c>
      <c r="E5335" s="25">
        <v>0</v>
      </c>
    </row>
    <row r="5336" spans="1:5" ht="26" x14ac:dyDescent="0.3">
      <c r="A5336" s="17" t="str">
        <f>"A9508"</f>
        <v>A9508</v>
      </c>
      <c r="B5336" s="5" t="s">
        <v>5339</v>
      </c>
      <c r="C5336" s="17">
        <v>20230101</v>
      </c>
      <c r="D5336" s="17">
        <v>22991231</v>
      </c>
      <c r="E5336" s="25">
        <v>0</v>
      </c>
    </row>
    <row r="5337" spans="1:5" ht="26" x14ac:dyDescent="0.3">
      <c r="A5337" s="17" t="str">
        <f>"A9509"</f>
        <v>A9509</v>
      </c>
      <c r="B5337" s="5" t="s">
        <v>5340</v>
      </c>
      <c r="C5337" s="17">
        <v>20230101</v>
      </c>
      <c r="D5337" s="17">
        <v>22991231</v>
      </c>
      <c r="E5337" s="25">
        <v>0</v>
      </c>
    </row>
    <row r="5338" spans="1:5" ht="26" x14ac:dyDescent="0.3">
      <c r="A5338" s="17" t="str">
        <f>"A9510"</f>
        <v>A9510</v>
      </c>
      <c r="B5338" s="5" t="s">
        <v>5341</v>
      </c>
      <c r="C5338" s="17">
        <v>20230101</v>
      </c>
      <c r="D5338" s="17">
        <v>22991231</v>
      </c>
      <c r="E5338" s="25">
        <v>0</v>
      </c>
    </row>
    <row r="5339" spans="1:5" ht="26" x14ac:dyDescent="0.3">
      <c r="A5339" s="17" t="str">
        <f>"A9512"</f>
        <v>A9512</v>
      </c>
      <c r="B5339" s="5" t="s">
        <v>5342</v>
      </c>
      <c r="C5339" s="17">
        <v>20230101</v>
      </c>
      <c r="D5339" s="17">
        <v>22991231</v>
      </c>
      <c r="E5339" s="25">
        <v>0</v>
      </c>
    </row>
    <row r="5340" spans="1:5" ht="26" x14ac:dyDescent="0.3">
      <c r="A5340" s="17" t="str">
        <f>"A9515"</f>
        <v>A9515</v>
      </c>
      <c r="B5340" s="5" t="s">
        <v>5343</v>
      </c>
      <c r="C5340" s="17">
        <v>20230101</v>
      </c>
      <c r="D5340" s="17">
        <v>22991231</v>
      </c>
      <c r="E5340" s="25">
        <v>0</v>
      </c>
    </row>
    <row r="5341" spans="1:5" ht="26" x14ac:dyDescent="0.3">
      <c r="A5341" s="17" t="str">
        <f>"A9516"</f>
        <v>A9516</v>
      </c>
      <c r="B5341" s="5" t="s">
        <v>5344</v>
      </c>
      <c r="C5341" s="17">
        <v>20230101</v>
      </c>
      <c r="D5341" s="17">
        <v>22991231</v>
      </c>
      <c r="E5341" s="25">
        <v>0</v>
      </c>
    </row>
    <row r="5342" spans="1:5" ht="26" x14ac:dyDescent="0.3">
      <c r="A5342" s="17" t="str">
        <f>"A9520"</f>
        <v>A9520</v>
      </c>
      <c r="B5342" s="5" t="s">
        <v>5345</v>
      </c>
      <c r="C5342" s="17">
        <v>20230101</v>
      </c>
      <c r="D5342" s="17">
        <v>22991231</v>
      </c>
      <c r="E5342" s="25">
        <v>0</v>
      </c>
    </row>
    <row r="5343" spans="1:5" ht="26" x14ac:dyDescent="0.3">
      <c r="A5343" s="17" t="str">
        <f>"A9521"</f>
        <v>A9521</v>
      </c>
      <c r="B5343" s="5" t="s">
        <v>5346</v>
      </c>
      <c r="C5343" s="17">
        <v>20230101</v>
      </c>
      <c r="D5343" s="17">
        <v>22991231</v>
      </c>
      <c r="E5343" s="25">
        <v>0</v>
      </c>
    </row>
    <row r="5344" spans="1:5" ht="26" x14ac:dyDescent="0.3">
      <c r="A5344" s="17" t="str">
        <f>"A9524"</f>
        <v>A9524</v>
      </c>
      <c r="B5344" s="5" t="s">
        <v>5347</v>
      </c>
      <c r="C5344" s="17">
        <v>20230101</v>
      </c>
      <c r="D5344" s="17">
        <v>22991231</v>
      </c>
      <c r="E5344" s="25">
        <v>0</v>
      </c>
    </row>
    <row r="5345" spans="1:5" ht="26" x14ac:dyDescent="0.3">
      <c r="A5345" s="17" t="str">
        <f>"A9526"</f>
        <v>A9526</v>
      </c>
      <c r="B5345" s="5" t="s">
        <v>5348</v>
      </c>
      <c r="C5345" s="17">
        <v>20230101</v>
      </c>
      <c r="D5345" s="17">
        <v>22991231</v>
      </c>
      <c r="E5345" s="25">
        <v>0</v>
      </c>
    </row>
    <row r="5346" spans="1:5" ht="26" x14ac:dyDescent="0.3">
      <c r="A5346" s="17" t="str">
        <f>"A9527"</f>
        <v>A9527</v>
      </c>
      <c r="B5346" s="5" t="s">
        <v>5349</v>
      </c>
      <c r="C5346" s="17">
        <v>20230101</v>
      </c>
      <c r="D5346" s="17">
        <v>22991231</v>
      </c>
      <c r="E5346" s="25">
        <v>57.45</v>
      </c>
    </row>
    <row r="5347" spans="1:5" ht="26" x14ac:dyDescent="0.3">
      <c r="A5347" s="17" t="str">
        <f>"A9528"</f>
        <v>A9528</v>
      </c>
      <c r="B5347" s="5" t="s">
        <v>5350</v>
      </c>
      <c r="C5347" s="17">
        <v>20230101</v>
      </c>
      <c r="D5347" s="17">
        <v>22991231</v>
      </c>
      <c r="E5347" s="25">
        <v>0</v>
      </c>
    </row>
    <row r="5348" spans="1:5" ht="26" x14ac:dyDescent="0.3">
      <c r="A5348" s="17" t="str">
        <f>"A9529"</f>
        <v>A9529</v>
      </c>
      <c r="B5348" s="5" t="s">
        <v>5351</v>
      </c>
      <c r="C5348" s="17">
        <v>20230101</v>
      </c>
      <c r="D5348" s="17">
        <v>22991231</v>
      </c>
      <c r="E5348" s="25">
        <v>0</v>
      </c>
    </row>
    <row r="5349" spans="1:5" ht="26" x14ac:dyDescent="0.3">
      <c r="A5349" s="17" t="str">
        <f>"A9531"</f>
        <v>A9531</v>
      </c>
      <c r="B5349" s="5" t="s">
        <v>5352</v>
      </c>
      <c r="C5349" s="17">
        <v>20230101</v>
      </c>
      <c r="D5349" s="17">
        <v>22991231</v>
      </c>
      <c r="E5349" s="25">
        <v>0</v>
      </c>
    </row>
    <row r="5350" spans="1:5" ht="26" x14ac:dyDescent="0.3">
      <c r="A5350" s="17" t="str">
        <f>"A9532"</f>
        <v>A9532</v>
      </c>
      <c r="B5350" s="5" t="s">
        <v>5353</v>
      </c>
      <c r="C5350" s="17">
        <v>20230101</v>
      </c>
      <c r="D5350" s="17">
        <v>22991231</v>
      </c>
      <c r="E5350" s="25">
        <v>0</v>
      </c>
    </row>
    <row r="5351" spans="1:5" ht="26" x14ac:dyDescent="0.3">
      <c r="A5351" s="17" t="str">
        <f>"A9536"</f>
        <v>A9536</v>
      </c>
      <c r="B5351" s="5" t="s">
        <v>5354</v>
      </c>
      <c r="C5351" s="17">
        <v>20230101</v>
      </c>
      <c r="D5351" s="17">
        <v>22991231</v>
      </c>
      <c r="E5351" s="25">
        <v>0</v>
      </c>
    </row>
    <row r="5352" spans="1:5" ht="26" x14ac:dyDescent="0.3">
      <c r="A5352" s="17" t="str">
        <f>"A9537"</f>
        <v>A9537</v>
      </c>
      <c r="B5352" s="5" t="s">
        <v>5355</v>
      </c>
      <c r="C5352" s="17">
        <v>20230101</v>
      </c>
      <c r="D5352" s="17">
        <v>22991231</v>
      </c>
      <c r="E5352" s="25">
        <v>0</v>
      </c>
    </row>
    <row r="5353" spans="1:5" ht="26" x14ac:dyDescent="0.3">
      <c r="A5353" s="17" t="str">
        <f>"A9538"</f>
        <v>A9538</v>
      </c>
      <c r="B5353" s="5" t="s">
        <v>5356</v>
      </c>
      <c r="C5353" s="17">
        <v>20230101</v>
      </c>
      <c r="D5353" s="17">
        <v>22991231</v>
      </c>
      <c r="E5353" s="25">
        <v>0</v>
      </c>
    </row>
    <row r="5354" spans="1:5" ht="26" x14ac:dyDescent="0.3">
      <c r="A5354" s="17" t="str">
        <f>"A9539"</f>
        <v>A9539</v>
      </c>
      <c r="B5354" s="5" t="s">
        <v>5357</v>
      </c>
      <c r="C5354" s="17">
        <v>20230101</v>
      </c>
      <c r="D5354" s="17">
        <v>22991231</v>
      </c>
      <c r="E5354" s="25">
        <v>0</v>
      </c>
    </row>
    <row r="5355" spans="1:5" ht="26" x14ac:dyDescent="0.3">
      <c r="A5355" s="17" t="str">
        <f>"A9540"</f>
        <v>A9540</v>
      </c>
      <c r="B5355" s="5" t="s">
        <v>5358</v>
      </c>
      <c r="C5355" s="17">
        <v>20230101</v>
      </c>
      <c r="D5355" s="17">
        <v>22991231</v>
      </c>
      <c r="E5355" s="25">
        <v>0</v>
      </c>
    </row>
    <row r="5356" spans="1:5" ht="26" x14ac:dyDescent="0.3">
      <c r="A5356" s="17" t="str">
        <f>"A9541"</f>
        <v>A9541</v>
      </c>
      <c r="B5356" s="5" t="s">
        <v>5359</v>
      </c>
      <c r="C5356" s="17">
        <v>20230101</v>
      </c>
      <c r="D5356" s="17">
        <v>22991231</v>
      </c>
      <c r="E5356" s="25">
        <v>0</v>
      </c>
    </row>
    <row r="5357" spans="1:5" ht="26" x14ac:dyDescent="0.3">
      <c r="A5357" s="17" t="str">
        <f>"A9542"</f>
        <v>A9542</v>
      </c>
      <c r="B5357" s="5" t="s">
        <v>5360</v>
      </c>
      <c r="C5357" s="17">
        <v>20230101</v>
      </c>
      <c r="D5357" s="17">
        <v>22991231</v>
      </c>
      <c r="E5357" s="25">
        <v>0</v>
      </c>
    </row>
    <row r="5358" spans="1:5" ht="26" x14ac:dyDescent="0.3">
      <c r="A5358" s="17" t="str">
        <f>"A9546"</f>
        <v>A9546</v>
      </c>
      <c r="B5358" s="5" t="s">
        <v>5361</v>
      </c>
      <c r="C5358" s="17">
        <v>20230101</v>
      </c>
      <c r="D5358" s="17">
        <v>22991231</v>
      </c>
      <c r="E5358" s="25">
        <v>0</v>
      </c>
    </row>
    <row r="5359" spans="1:5" ht="26" x14ac:dyDescent="0.3">
      <c r="A5359" s="17" t="str">
        <f>"A9547"</f>
        <v>A9547</v>
      </c>
      <c r="B5359" s="5" t="s">
        <v>5362</v>
      </c>
      <c r="C5359" s="17">
        <v>20230101</v>
      </c>
      <c r="D5359" s="17">
        <v>22991231</v>
      </c>
      <c r="E5359" s="25">
        <v>0</v>
      </c>
    </row>
    <row r="5360" spans="1:5" ht="26" x14ac:dyDescent="0.3">
      <c r="A5360" s="17" t="str">
        <f>"A9548"</f>
        <v>A9548</v>
      </c>
      <c r="B5360" s="5" t="s">
        <v>5363</v>
      </c>
      <c r="C5360" s="17">
        <v>20230101</v>
      </c>
      <c r="D5360" s="17">
        <v>22991231</v>
      </c>
      <c r="E5360" s="25">
        <v>0</v>
      </c>
    </row>
    <row r="5361" spans="1:5" ht="26" x14ac:dyDescent="0.3">
      <c r="A5361" s="17" t="str">
        <f>"A9550"</f>
        <v>A9550</v>
      </c>
      <c r="B5361" s="5" t="s">
        <v>5364</v>
      </c>
      <c r="C5361" s="17">
        <v>20230101</v>
      </c>
      <c r="D5361" s="17">
        <v>22991231</v>
      </c>
      <c r="E5361" s="25">
        <v>0</v>
      </c>
    </row>
    <row r="5362" spans="1:5" ht="26" x14ac:dyDescent="0.3">
      <c r="A5362" s="17" t="str">
        <f>"A9551"</f>
        <v>A9551</v>
      </c>
      <c r="B5362" s="5" t="s">
        <v>5365</v>
      </c>
      <c r="C5362" s="17">
        <v>20230101</v>
      </c>
      <c r="D5362" s="17">
        <v>22991231</v>
      </c>
      <c r="E5362" s="25">
        <v>0</v>
      </c>
    </row>
    <row r="5363" spans="1:5" ht="26" x14ac:dyDescent="0.3">
      <c r="A5363" s="17" t="str">
        <f>"A9552"</f>
        <v>A9552</v>
      </c>
      <c r="B5363" s="5" t="s">
        <v>5366</v>
      </c>
      <c r="C5363" s="17">
        <v>20230101</v>
      </c>
      <c r="D5363" s="17">
        <v>22991231</v>
      </c>
      <c r="E5363" s="25">
        <v>0</v>
      </c>
    </row>
    <row r="5364" spans="1:5" ht="26" x14ac:dyDescent="0.3">
      <c r="A5364" s="17" t="str">
        <f>"A9553"</f>
        <v>A9553</v>
      </c>
      <c r="B5364" s="5" t="s">
        <v>5367</v>
      </c>
      <c r="C5364" s="17">
        <v>20230101</v>
      </c>
      <c r="D5364" s="17">
        <v>22991231</v>
      </c>
      <c r="E5364" s="25">
        <v>0</v>
      </c>
    </row>
    <row r="5365" spans="1:5" ht="26" x14ac:dyDescent="0.3">
      <c r="A5365" s="17" t="str">
        <f>"A9554"</f>
        <v>A9554</v>
      </c>
      <c r="B5365" s="5" t="s">
        <v>5368</v>
      </c>
      <c r="C5365" s="17">
        <v>20230101</v>
      </c>
      <c r="D5365" s="17">
        <v>22991231</v>
      </c>
      <c r="E5365" s="25">
        <v>0</v>
      </c>
    </row>
    <row r="5366" spans="1:5" ht="26" x14ac:dyDescent="0.3">
      <c r="A5366" s="17" t="str">
        <f>"A9555"</f>
        <v>A9555</v>
      </c>
      <c r="B5366" s="5" t="s">
        <v>5369</v>
      </c>
      <c r="C5366" s="17">
        <v>20230101</v>
      </c>
      <c r="D5366" s="17">
        <v>22991231</v>
      </c>
      <c r="E5366" s="25">
        <v>0</v>
      </c>
    </row>
    <row r="5367" spans="1:5" x14ac:dyDescent="0.3">
      <c r="A5367" s="17" t="str">
        <f>"A9556"</f>
        <v>A9556</v>
      </c>
      <c r="B5367" s="5" t="s">
        <v>5370</v>
      </c>
      <c r="C5367" s="17">
        <v>20230101</v>
      </c>
      <c r="D5367" s="17">
        <v>22991231</v>
      </c>
      <c r="E5367" s="25">
        <v>0</v>
      </c>
    </row>
    <row r="5368" spans="1:5" ht="26" x14ac:dyDescent="0.3">
      <c r="A5368" s="17" t="str">
        <f>"A9557"</f>
        <v>A9557</v>
      </c>
      <c r="B5368" s="5" t="s">
        <v>5371</v>
      </c>
      <c r="C5368" s="17">
        <v>20230101</v>
      </c>
      <c r="D5368" s="17">
        <v>22991231</v>
      </c>
      <c r="E5368" s="25">
        <v>0</v>
      </c>
    </row>
    <row r="5369" spans="1:5" x14ac:dyDescent="0.3">
      <c r="A5369" s="17" t="str">
        <f>"A9558"</f>
        <v>A9558</v>
      </c>
      <c r="B5369" s="5" t="s">
        <v>5372</v>
      </c>
      <c r="C5369" s="17">
        <v>20230101</v>
      </c>
      <c r="D5369" s="17">
        <v>22991231</v>
      </c>
      <c r="E5369" s="25">
        <v>0</v>
      </c>
    </row>
    <row r="5370" spans="1:5" ht="26" x14ac:dyDescent="0.3">
      <c r="A5370" s="17" t="str">
        <f>"A9559"</f>
        <v>A9559</v>
      </c>
      <c r="B5370" s="5" t="s">
        <v>5373</v>
      </c>
      <c r="C5370" s="17">
        <v>20230101</v>
      </c>
      <c r="D5370" s="17">
        <v>22991231</v>
      </c>
      <c r="E5370" s="25">
        <v>0</v>
      </c>
    </row>
    <row r="5371" spans="1:5" ht="26" x14ac:dyDescent="0.3">
      <c r="A5371" s="17" t="str">
        <f>"A9560"</f>
        <v>A9560</v>
      </c>
      <c r="B5371" s="5" t="s">
        <v>5374</v>
      </c>
      <c r="C5371" s="17">
        <v>20230101</v>
      </c>
      <c r="D5371" s="17">
        <v>22991231</v>
      </c>
      <c r="E5371" s="25">
        <v>0</v>
      </c>
    </row>
    <row r="5372" spans="1:5" ht="26" x14ac:dyDescent="0.3">
      <c r="A5372" s="17" t="str">
        <f>"A9561"</f>
        <v>A9561</v>
      </c>
      <c r="B5372" s="5" t="s">
        <v>5375</v>
      </c>
      <c r="C5372" s="17">
        <v>20100101</v>
      </c>
      <c r="D5372" s="17">
        <v>22991231</v>
      </c>
      <c r="E5372" s="25">
        <v>0</v>
      </c>
    </row>
    <row r="5373" spans="1:5" ht="26" x14ac:dyDescent="0.3">
      <c r="A5373" s="17" t="str">
        <f>"A9562"</f>
        <v>A9562</v>
      </c>
      <c r="B5373" s="5" t="s">
        <v>5376</v>
      </c>
      <c r="C5373" s="17">
        <v>20170101</v>
      </c>
      <c r="D5373" s="17">
        <v>22991231</v>
      </c>
      <c r="E5373" s="25">
        <v>0</v>
      </c>
    </row>
    <row r="5374" spans="1:5" ht="26" x14ac:dyDescent="0.3">
      <c r="A5374" s="17" t="str">
        <f>"A9566"</f>
        <v>A9566</v>
      </c>
      <c r="B5374" s="5" t="s">
        <v>5377</v>
      </c>
      <c r="C5374" s="17">
        <v>20230101</v>
      </c>
      <c r="D5374" s="17">
        <v>22991231</v>
      </c>
      <c r="E5374" s="25">
        <v>0</v>
      </c>
    </row>
    <row r="5375" spans="1:5" ht="26" x14ac:dyDescent="0.3">
      <c r="A5375" s="17" t="str">
        <f>"A9567"</f>
        <v>A9567</v>
      </c>
      <c r="B5375" s="5" t="s">
        <v>5378</v>
      </c>
      <c r="C5375" s="17">
        <v>20230101</v>
      </c>
      <c r="D5375" s="17">
        <v>22991231</v>
      </c>
      <c r="E5375" s="25">
        <v>0</v>
      </c>
    </row>
    <row r="5376" spans="1:5" ht="26" x14ac:dyDescent="0.3">
      <c r="A5376" s="17" t="str">
        <f>"A9568"</f>
        <v>A9568</v>
      </c>
      <c r="B5376" s="5" t="s">
        <v>5379</v>
      </c>
      <c r="C5376" s="17">
        <v>20230101</v>
      </c>
      <c r="D5376" s="17">
        <v>22991231</v>
      </c>
      <c r="E5376" s="25">
        <v>0</v>
      </c>
    </row>
    <row r="5377" spans="1:5" ht="39" x14ac:dyDescent="0.3">
      <c r="A5377" s="17" t="str">
        <f>"A9569"</f>
        <v>A9569</v>
      </c>
      <c r="B5377" s="5" t="s">
        <v>5380</v>
      </c>
      <c r="C5377" s="17">
        <v>20230101</v>
      </c>
      <c r="D5377" s="17">
        <v>22991231</v>
      </c>
      <c r="E5377" s="25">
        <v>0</v>
      </c>
    </row>
    <row r="5378" spans="1:5" ht="26" x14ac:dyDescent="0.3">
      <c r="A5378" s="17" t="str">
        <f>"A9570"</f>
        <v>A9570</v>
      </c>
      <c r="B5378" s="5" t="s">
        <v>5381</v>
      </c>
      <c r="C5378" s="17">
        <v>20230101</v>
      </c>
      <c r="D5378" s="17">
        <v>22991231</v>
      </c>
      <c r="E5378" s="25">
        <v>0</v>
      </c>
    </row>
    <row r="5379" spans="1:5" ht="26" x14ac:dyDescent="0.3">
      <c r="A5379" s="17" t="str">
        <f>"A9571"</f>
        <v>A9571</v>
      </c>
      <c r="B5379" s="5" t="s">
        <v>5382</v>
      </c>
      <c r="C5379" s="17">
        <v>20230101</v>
      </c>
      <c r="D5379" s="17">
        <v>22991231</v>
      </c>
      <c r="E5379" s="25">
        <v>0</v>
      </c>
    </row>
    <row r="5380" spans="1:5" ht="26" x14ac:dyDescent="0.3">
      <c r="A5380" s="17" t="str">
        <f>"A9572"</f>
        <v>A9572</v>
      </c>
      <c r="B5380" s="5" t="s">
        <v>5383</v>
      </c>
      <c r="C5380" s="17">
        <v>20230101</v>
      </c>
      <c r="D5380" s="17">
        <v>22991231</v>
      </c>
      <c r="E5380" s="25">
        <v>0</v>
      </c>
    </row>
    <row r="5381" spans="1:5" x14ac:dyDescent="0.3">
      <c r="A5381" s="17" t="str">
        <f>"A9573"</f>
        <v>A9573</v>
      </c>
      <c r="B5381" s="5" t="s">
        <v>5384</v>
      </c>
      <c r="C5381" s="17">
        <v>20240101</v>
      </c>
      <c r="D5381" s="17">
        <v>22991231</v>
      </c>
      <c r="E5381" s="25">
        <v>0</v>
      </c>
    </row>
    <row r="5382" spans="1:5" x14ac:dyDescent="0.3">
      <c r="A5382" s="17" t="str">
        <f>"A9575"</f>
        <v>A9575</v>
      </c>
      <c r="B5382" s="5" t="s">
        <v>5385</v>
      </c>
      <c r="C5382" s="17">
        <v>20230101</v>
      </c>
      <c r="D5382" s="17">
        <v>22991231</v>
      </c>
      <c r="E5382" s="25">
        <v>0</v>
      </c>
    </row>
    <row r="5383" spans="1:5" ht="26" x14ac:dyDescent="0.3">
      <c r="A5383" s="17" t="str">
        <f>"A9576"</f>
        <v>A9576</v>
      </c>
      <c r="B5383" s="5" t="s">
        <v>5386</v>
      </c>
      <c r="C5383" s="17">
        <v>20230101</v>
      </c>
      <c r="D5383" s="17">
        <v>22991231</v>
      </c>
      <c r="E5383" s="25">
        <v>0</v>
      </c>
    </row>
    <row r="5384" spans="1:5" ht="26" x14ac:dyDescent="0.3">
      <c r="A5384" s="17" t="str">
        <f>"A9577"</f>
        <v>A9577</v>
      </c>
      <c r="B5384" s="5" t="s">
        <v>5387</v>
      </c>
      <c r="C5384" s="17">
        <v>20230101</v>
      </c>
      <c r="D5384" s="17">
        <v>22991231</v>
      </c>
      <c r="E5384" s="25">
        <v>0</v>
      </c>
    </row>
    <row r="5385" spans="1:5" ht="26" x14ac:dyDescent="0.3">
      <c r="A5385" s="17" t="str">
        <f>"A9578"</f>
        <v>A9578</v>
      </c>
      <c r="B5385" s="5" t="s">
        <v>5388</v>
      </c>
      <c r="C5385" s="17">
        <v>20230101</v>
      </c>
      <c r="D5385" s="17">
        <v>22991231</v>
      </c>
      <c r="E5385" s="25">
        <v>0</v>
      </c>
    </row>
    <row r="5386" spans="1:5" ht="39" x14ac:dyDescent="0.3">
      <c r="A5386" s="17" t="str">
        <f>"A9579"</f>
        <v>A9579</v>
      </c>
      <c r="B5386" s="5" t="s">
        <v>5389</v>
      </c>
      <c r="C5386" s="17">
        <v>20230101</v>
      </c>
      <c r="D5386" s="17">
        <v>22991231</v>
      </c>
      <c r="E5386" s="25">
        <v>0</v>
      </c>
    </row>
    <row r="5387" spans="1:5" ht="26" x14ac:dyDescent="0.3">
      <c r="A5387" s="17" t="str">
        <f>"A9580"</f>
        <v>A9580</v>
      </c>
      <c r="B5387" s="5" t="s">
        <v>5390</v>
      </c>
      <c r="C5387" s="17">
        <v>20230101</v>
      </c>
      <c r="D5387" s="17">
        <v>22991231</v>
      </c>
      <c r="E5387" s="25">
        <v>0</v>
      </c>
    </row>
    <row r="5388" spans="1:5" x14ac:dyDescent="0.3">
      <c r="A5388" s="17" t="str">
        <f>"A9581"</f>
        <v>A9581</v>
      </c>
      <c r="B5388" s="5" t="s">
        <v>5391</v>
      </c>
      <c r="C5388" s="17">
        <v>20230101</v>
      </c>
      <c r="D5388" s="17">
        <v>22991231</v>
      </c>
      <c r="E5388" s="25">
        <v>0</v>
      </c>
    </row>
    <row r="5389" spans="1:5" ht="26" x14ac:dyDescent="0.3">
      <c r="A5389" s="17" t="str">
        <f>"A9582"</f>
        <v>A9582</v>
      </c>
      <c r="B5389" s="5" t="s">
        <v>5392</v>
      </c>
      <c r="C5389" s="17">
        <v>20230101</v>
      </c>
      <c r="D5389" s="17">
        <v>22991231</v>
      </c>
      <c r="E5389" s="25">
        <v>0</v>
      </c>
    </row>
    <row r="5390" spans="1:5" x14ac:dyDescent="0.3">
      <c r="A5390" s="17" t="str">
        <f>"A9583"</f>
        <v>A9583</v>
      </c>
      <c r="B5390" s="5" t="s">
        <v>5393</v>
      </c>
      <c r="C5390" s="17">
        <v>20230101</v>
      </c>
      <c r="D5390" s="17">
        <v>22991231</v>
      </c>
      <c r="E5390" s="25">
        <v>0</v>
      </c>
    </row>
    <row r="5391" spans="1:5" ht="26" x14ac:dyDescent="0.3">
      <c r="A5391" s="17" t="str">
        <f>"A9584"</f>
        <v>A9584</v>
      </c>
      <c r="B5391" s="5" t="s">
        <v>5394</v>
      </c>
      <c r="C5391" s="17">
        <v>20230101</v>
      </c>
      <c r="D5391" s="17">
        <v>22991231</v>
      </c>
      <c r="E5391" s="25">
        <v>0</v>
      </c>
    </row>
    <row r="5392" spans="1:5" x14ac:dyDescent="0.3">
      <c r="A5392" s="17" t="str">
        <f>"A9585"</f>
        <v>A9585</v>
      </c>
      <c r="B5392" s="5" t="s">
        <v>5395</v>
      </c>
      <c r="C5392" s="17">
        <v>20201001</v>
      </c>
      <c r="D5392" s="17">
        <v>22991231</v>
      </c>
      <c r="E5392" s="25">
        <v>0</v>
      </c>
    </row>
    <row r="5393" spans="1:5" ht="26" x14ac:dyDescent="0.3">
      <c r="A5393" s="17" t="str">
        <f>"A9586"</f>
        <v>A9586</v>
      </c>
      <c r="B5393" s="5" t="s">
        <v>5396</v>
      </c>
      <c r="C5393" s="17">
        <v>20230101</v>
      </c>
      <c r="D5393" s="17">
        <v>22991231</v>
      </c>
      <c r="E5393" s="25">
        <v>0</v>
      </c>
    </row>
    <row r="5394" spans="1:5" ht="26" x14ac:dyDescent="0.3">
      <c r="A5394" s="17" t="str">
        <f>"A9587"</f>
        <v>A9587</v>
      </c>
      <c r="B5394" s="5" t="s">
        <v>5397</v>
      </c>
      <c r="C5394" s="17">
        <v>20230101</v>
      </c>
      <c r="D5394" s="17">
        <v>22991231</v>
      </c>
      <c r="E5394" s="25">
        <v>0</v>
      </c>
    </row>
    <row r="5395" spans="1:5" x14ac:dyDescent="0.3">
      <c r="A5395" s="17" t="str">
        <f>"A9588"</f>
        <v>A9588</v>
      </c>
      <c r="B5395" s="5" t="s">
        <v>5398</v>
      </c>
      <c r="C5395" s="17">
        <v>20230101</v>
      </c>
      <c r="D5395" s="17">
        <v>22991231</v>
      </c>
      <c r="E5395" s="25">
        <v>0</v>
      </c>
    </row>
    <row r="5396" spans="1:5" x14ac:dyDescent="0.3">
      <c r="A5396" s="17" t="str">
        <f>"A9590"</f>
        <v>A9590</v>
      </c>
      <c r="B5396" s="5" t="s">
        <v>5399</v>
      </c>
      <c r="C5396" s="17">
        <v>20230101</v>
      </c>
      <c r="D5396" s="17">
        <v>22991231</v>
      </c>
      <c r="E5396" s="25">
        <v>324.38</v>
      </c>
    </row>
    <row r="5397" spans="1:5" x14ac:dyDescent="0.3">
      <c r="A5397" s="17" t="str">
        <f>"A9591"</f>
        <v>A9591</v>
      </c>
      <c r="B5397" s="5" t="s">
        <v>5400</v>
      </c>
      <c r="C5397" s="17">
        <v>20230101</v>
      </c>
      <c r="D5397" s="17">
        <v>22991231</v>
      </c>
      <c r="E5397" s="25">
        <v>0</v>
      </c>
    </row>
    <row r="5398" spans="1:5" x14ac:dyDescent="0.3">
      <c r="A5398" s="17" t="str">
        <f>"A9592"</f>
        <v>A9592</v>
      </c>
      <c r="B5398" s="5" t="s">
        <v>5401</v>
      </c>
      <c r="C5398" s="17">
        <v>20230101</v>
      </c>
      <c r="D5398" s="17">
        <v>22991231</v>
      </c>
      <c r="E5398" s="25">
        <v>0</v>
      </c>
    </row>
    <row r="5399" spans="1:5" ht="26" x14ac:dyDescent="0.3">
      <c r="A5399" s="17" t="str">
        <f>"A9593"</f>
        <v>A9593</v>
      </c>
      <c r="B5399" s="5" t="s">
        <v>5402</v>
      </c>
      <c r="C5399" s="17">
        <v>20230101</v>
      </c>
      <c r="D5399" s="17">
        <v>22991231</v>
      </c>
      <c r="E5399" s="25">
        <v>769.98</v>
      </c>
    </row>
    <row r="5400" spans="1:5" ht="26" x14ac:dyDescent="0.3">
      <c r="A5400" s="17" t="str">
        <f>"A9594"</f>
        <v>A9594</v>
      </c>
      <c r="B5400" s="5" t="s">
        <v>5403</v>
      </c>
      <c r="C5400" s="17">
        <v>20230101</v>
      </c>
      <c r="D5400" s="17">
        <v>22991231</v>
      </c>
      <c r="E5400" s="25">
        <v>753.9</v>
      </c>
    </row>
    <row r="5401" spans="1:5" x14ac:dyDescent="0.3">
      <c r="A5401" s="17" t="str">
        <f>"A9595"</f>
        <v>A9595</v>
      </c>
      <c r="B5401" s="5" t="s">
        <v>5404</v>
      </c>
      <c r="C5401" s="17">
        <v>20230101</v>
      </c>
      <c r="D5401" s="17">
        <v>22991231</v>
      </c>
      <c r="E5401" s="25">
        <v>554.32000000000005</v>
      </c>
    </row>
    <row r="5402" spans="1:5" ht="26" x14ac:dyDescent="0.3">
      <c r="A5402" s="17" t="str">
        <f>"A9596"</f>
        <v>A9596</v>
      </c>
      <c r="B5402" s="5" t="s">
        <v>5405</v>
      </c>
      <c r="C5402" s="17">
        <v>20230101</v>
      </c>
      <c r="D5402" s="17">
        <v>22991231</v>
      </c>
      <c r="E5402" s="25">
        <v>947.2</v>
      </c>
    </row>
    <row r="5403" spans="1:5" ht="39" x14ac:dyDescent="0.3">
      <c r="A5403" s="17" t="str">
        <f>"A9597"</f>
        <v>A9597</v>
      </c>
      <c r="B5403" s="5" t="s">
        <v>5406</v>
      </c>
      <c r="C5403" s="17">
        <v>20230101</v>
      </c>
      <c r="D5403" s="17">
        <v>22991231</v>
      </c>
      <c r="E5403" s="25">
        <v>0</v>
      </c>
    </row>
    <row r="5404" spans="1:5" ht="39" x14ac:dyDescent="0.3">
      <c r="A5404" s="17" t="str">
        <f>"A9598"</f>
        <v>A9598</v>
      </c>
      <c r="B5404" s="5" t="s">
        <v>5407</v>
      </c>
      <c r="C5404" s="17">
        <v>20230101</v>
      </c>
      <c r="D5404" s="17">
        <v>22991231</v>
      </c>
      <c r="E5404" s="25">
        <v>0</v>
      </c>
    </row>
    <row r="5405" spans="1:5" ht="26" x14ac:dyDescent="0.3">
      <c r="A5405" s="17" t="str">
        <f>"A9601"</f>
        <v>A9601</v>
      </c>
      <c r="B5405" s="5" t="s">
        <v>5408</v>
      </c>
      <c r="C5405" s="17">
        <v>20230101</v>
      </c>
      <c r="D5405" s="17">
        <v>22991231</v>
      </c>
      <c r="E5405" s="25">
        <v>3543.61</v>
      </c>
    </row>
    <row r="5406" spans="1:5" x14ac:dyDescent="0.3">
      <c r="A5406" s="17" t="str">
        <f>"A9602"</f>
        <v>A9602</v>
      </c>
      <c r="B5406" s="5" t="s">
        <v>5409</v>
      </c>
      <c r="C5406" s="17">
        <v>20230101</v>
      </c>
      <c r="D5406" s="17">
        <v>22991231</v>
      </c>
      <c r="E5406" s="25">
        <v>426.84</v>
      </c>
    </row>
    <row r="5407" spans="1:5" x14ac:dyDescent="0.3">
      <c r="A5407" s="17" t="str">
        <f>"A9603"</f>
        <v>A9603</v>
      </c>
      <c r="B5407" s="5" t="s">
        <v>5410</v>
      </c>
      <c r="C5407" s="17">
        <v>20240101</v>
      </c>
      <c r="D5407" s="17">
        <v>22991231</v>
      </c>
      <c r="E5407" s="25">
        <v>0</v>
      </c>
    </row>
    <row r="5408" spans="1:5" x14ac:dyDescent="0.3">
      <c r="A5408" s="17" t="str">
        <f>"A9608"</f>
        <v>A9608</v>
      </c>
      <c r="B5408" s="5" t="s">
        <v>5411</v>
      </c>
      <c r="C5408" s="17">
        <v>20240101</v>
      </c>
      <c r="D5408" s="17">
        <v>22991231</v>
      </c>
      <c r="E5408" s="25">
        <v>604.30999999999995</v>
      </c>
    </row>
    <row r="5409" spans="1:5" x14ac:dyDescent="0.3">
      <c r="A5409" s="17" t="str">
        <f>"A9609"</f>
        <v>A9609</v>
      </c>
      <c r="B5409" s="5" t="s">
        <v>5412</v>
      </c>
      <c r="C5409" s="17">
        <v>20240101</v>
      </c>
      <c r="D5409" s="17">
        <v>22991231</v>
      </c>
      <c r="E5409" s="25">
        <v>0</v>
      </c>
    </row>
    <row r="5410" spans="1:5" ht="26" x14ac:dyDescent="0.3">
      <c r="A5410" s="17" t="str">
        <f>"A9697"</f>
        <v>A9697</v>
      </c>
      <c r="B5410" s="5" t="s">
        <v>5413</v>
      </c>
      <c r="C5410" s="17">
        <v>20240101</v>
      </c>
      <c r="D5410" s="17">
        <v>22991231</v>
      </c>
      <c r="E5410" s="25">
        <v>0</v>
      </c>
    </row>
    <row r="5411" spans="1:5" ht="26" x14ac:dyDescent="0.3">
      <c r="A5411" s="17" t="str">
        <f>"A9698"</f>
        <v>A9698</v>
      </c>
      <c r="B5411" s="5" t="s">
        <v>5414</v>
      </c>
      <c r="C5411" s="17">
        <v>20230101</v>
      </c>
      <c r="D5411" s="17">
        <v>22991231</v>
      </c>
      <c r="E5411" s="25">
        <v>0</v>
      </c>
    </row>
    <row r="5412" spans="1:5" ht="26" x14ac:dyDescent="0.3">
      <c r="A5412" s="17" t="str">
        <f>"A9700"</f>
        <v>A9700</v>
      </c>
      <c r="B5412" s="5" t="s">
        <v>5415</v>
      </c>
      <c r="C5412" s="17">
        <v>20230101</v>
      </c>
      <c r="D5412" s="17">
        <v>22991231</v>
      </c>
      <c r="E5412" s="25">
        <v>0</v>
      </c>
    </row>
    <row r="5413" spans="1:5" ht="26" x14ac:dyDescent="0.3">
      <c r="A5413" s="17" t="str">
        <f>"A9800"</f>
        <v>A9800</v>
      </c>
      <c r="B5413" s="5" t="s">
        <v>5416</v>
      </c>
      <c r="C5413" s="17">
        <v>20230101</v>
      </c>
      <c r="D5413" s="17">
        <v>22991231</v>
      </c>
      <c r="E5413" s="25">
        <v>834.27</v>
      </c>
    </row>
    <row r="5414" spans="1:5" x14ac:dyDescent="0.3">
      <c r="A5414" s="17" t="str">
        <f>"C1052"</f>
        <v>C1052</v>
      </c>
      <c r="B5414" s="5" t="s">
        <v>5417</v>
      </c>
      <c r="C5414" s="17">
        <v>20230101</v>
      </c>
      <c r="D5414" s="17">
        <v>22991231</v>
      </c>
      <c r="E5414" s="25">
        <v>0</v>
      </c>
    </row>
    <row r="5415" spans="1:5" ht="26" x14ac:dyDescent="0.3">
      <c r="A5415" s="17" t="str">
        <f>"C1062"</f>
        <v>C1062</v>
      </c>
      <c r="B5415" s="5" t="s">
        <v>5418</v>
      </c>
      <c r="C5415" s="17">
        <v>20230101</v>
      </c>
      <c r="D5415" s="17">
        <v>22991231</v>
      </c>
      <c r="E5415" s="25">
        <v>0</v>
      </c>
    </row>
    <row r="5416" spans="1:5" ht="26" x14ac:dyDescent="0.3">
      <c r="A5416" s="17" t="str">
        <f>"C1600"</f>
        <v>C1600</v>
      </c>
      <c r="B5416" s="5" t="s">
        <v>5419</v>
      </c>
      <c r="C5416" s="17">
        <v>20240101</v>
      </c>
      <c r="D5416" s="17">
        <v>22991231</v>
      </c>
      <c r="E5416" s="25">
        <v>0</v>
      </c>
    </row>
    <row r="5417" spans="1:5" ht="39" x14ac:dyDescent="0.3">
      <c r="A5417" s="17" t="str">
        <f>"C1601"</f>
        <v>C1601</v>
      </c>
      <c r="B5417" s="5" t="s">
        <v>5420</v>
      </c>
      <c r="C5417" s="17">
        <v>20240101</v>
      </c>
      <c r="D5417" s="17">
        <v>22991231</v>
      </c>
      <c r="E5417" s="25">
        <v>0</v>
      </c>
    </row>
    <row r="5418" spans="1:5" ht="26" x14ac:dyDescent="0.3">
      <c r="A5418" s="17" t="str">
        <f>"C1602"</f>
        <v>C1602</v>
      </c>
      <c r="B5418" s="5" t="s">
        <v>5421</v>
      </c>
      <c r="C5418" s="17">
        <v>20240101</v>
      </c>
      <c r="D5418" s="17">
        <v>22991231</v>
      </c>
      <c r="E5418" s="25">
        <v>0</v>
      </c>
    </row>
    <row r="5419" spans="1:5" ht="26" x14ac:dyDescent="0.3">
      <c r="A5419" s="17" t="str">
        <f>"C1603"</f>
        <v>C1603</v>
      </c>
      <c r="B5419" s="5" t="s">
        <v>5422</v>
      </c>
      <c r="C5419" s="17">
        <v>20240101</v>
      </c>
      <c r="D5419" s="17">
        <v>22991231</v>
      </c>
      <c r="E5419" s="25">
        <v>0</v>
      </c>
    </row>
    <row r="5420" spans="1:5" ht="39" x14ac:dyDescent="0.3">
      <c r="A5420" s="17" t="str">
        <f>"C1604"</f>
        <v>C1604</v>
      </c>
      <c r="B5420" s="5" t="s">
        <v>5423</v>
      </c>
      <c r="C5420" s="17">
        <v>20240101</v>
      </c>
      <c r="D5420" s="17">
        <v>22991231</v>
      </c>
      <c r="E5420" s="25">
        <v>0</v>
      </c>
    </row>
    <row r="5421" spans="1:5" ht="26" x14ac:dyDescent="0.3">
      <c r="A5421" s="17" t="str">
        <f>"C1713"</f>
        <v>C1713</v>
      </c>
      <c r="B5421" s="5" t="s">
        <v>5424</v>
      </c>
      <c r="C5421" s="17">
        <v>20230101</v>
      </c>
      <c r="D5421" s="17">
        <v>22991231</v>
      </c>
      <c r="E5421" s="25">
        <v>0</v>
      </c>
    </row>
    <row r="5422" spans="1:5" x14ac:dyDescent="0.3">
      <c r="A5422" s="17" t="str">
        <f>"C1714"</f>
        <v>C1714</v>
      </c>
      <c r="B5422" s="5" t="s">
        <v>5425</v>
      </c>
      <c r="C5422" s="17">
        <v>20230101</v>
      </c>
      <c r="D5422" s="17">
        <v>22991231</v>
      </c>
      <c r="E5422" s="25">
        <v>0</v>
      </c>
    </row>
    <row r="5423" spans="1:5" x14ac:dyDescent="0.3">
      <c r="A5423" s="17" t="str">
        <f>"C1715"</f>
        <v>C1715</v>
      </c>
      <c r="B5423" s="5" t="s">
        <v>5426</v>
      </c>
      <c r="C5423" s="17">
        <v>20230101</v>
      </c>
      <c r="D5423" s="17">
        <v>22991231</v>
      </c>
      <c r="E5423" s="25">
        <v>0</v>
      </c>
    </row>
    <row r="5424" spans="1:5" ht="26" x14ac:dyDescent="0.3">
      <c r="A5424" s="17" t="str">
        <f>"C1716"</f>
        <v>C1716</v>
      </c>
      <c r="B5424" s="5" t="s">
        <v>5427</v>
      </c>
      <c r="C5424" s="17">
        <v>20230101</v>
      </c>
      <c r="D5424" s="17">
        <v>22991231</v>
      </c>
      <c r="E5424" s="25">
        <v>258.76</v>
      </c>
    </row>
    <row r="5425" spans="1:5" ht="26" x14ac:dyDescent="0.3">
      <c r="A5425" s="17" t="str">
        <f>"C1717"</f>
        <v>C1717</v>
      </c>
      <c r="B5425" s="5" t="s">
        <v>5428</v>
      </c>
      <c r="C5425" s="17">
        <v>20230101</v>
      </c>
      <c r="D5425" s="17">
        <v>22991231</v>
      </c>
      <c r="E5425" s="25">
        <v>331.42</v>
      </c>
    </row>
    <row r="5426" spans="1:5" ht="26" x14ac:dyDescent="0.3">
      <c r="A5426" s="17" t="str">
        <f>"C1719"</f>
        <v>C1719</v>
      </c>
      <c r="B5426" s="5" t="s">
        <v>5429</v>
      </c>
      <c r="C5426" s="17">
        <v>20230101</v>
      </c>
      <c r="D5426" s="17">
        <v>22991231</v>
      </c>
      <c r="E5426" s="25">
        <v>332.79</v>
      </c>
    </row>
    <row r="5427" spans="1:5" ht="26" x14ac:dyDescent="0.3">
      <c r="A5427" s="17" t="str">
        <f>"C1721"</f>
        <v>C1721</v>
      </c>
      <c r="B5427" s="5" t="s">
        <v>5430</v>
      </c>
      <c r="C5427" s="17">
        <v>20050101</v>
      </c>
      <c r="D5427" s="17">
        <v>22991231</v>
      </c>
      <c r="E5427" s="25">
        <v>0</v>
      </c>
    </row>
    <row r="5428" spans="1:5" ht="26" x14ac:dyDescent="0.3">
      <c r="A5428" s="17" t="str">
        <f>"C1722"</f>
        <v>C1722</v>
      </c>
      <c r="B5428" s="5" t="s">
        <v>5431</v>
      </c>
      <c r="C5428" s="17">
        <v>20230101</v>
      </c>
      <c r="D5428" s="17">
        <v>22991231</v>
      </c>
      <c r="E5428" s="25">
        <v>0</v>
      </c>
    </row>
    <row r="5429" spans="1:5" x14ac:dyDescent="0.3">
      <c r="A5429" s="17" t="str">
        <f>"C1724"</f>
        <v>C1724</v>
      </c>
      <c r="B5429" s="5" t="s">
        <v>5432</v>
      </c>
      <c r="C5429" s="17">
        <v>20230101</v>
      </c>
      <c r="D5429" s="17">
        <v>22991231</v>
      </c>
      <c r="E5429" s="25">
        <v>0</v>
      </c>
    </row>
    <row r="5430" spans="1:5" ht="39" x14ac:dyDescent="0.3">
      <c r="A5430" s="17" t="str">
        <f>"C1725"</f>
        <v>C1725</v>
      </c>
      <c r="B5430" s="5" t="s">
        <v>5433</v>
      </c>
      <c r="C5430" s="17">
        <v>20230101</v>
      </c>
      <c r="D5430" s="17">
        <v>22991231</v>
      </c>
      <c r="E5430" s="25">
        <v>0</v>
      </c>
    </row>
    <row r="5431" spans="1:5" x14ac:dyDescent="0.3">
      <c r="A5431" s="17" t="str">
        <f>"C1726"</f>
        <v>C1726</v>
      </c>
      <c r="B5431" s="5" t="s">
        <v>5434</v>
      </c>
      <c r="C5431" s="17">
        <v>20230101</v>
      </c>
      <c r="D5431" s="17">
        <v>22991231</v>
      </c>
      <c r="E5431" s="25">
        <v>0</v>
      </c>
    </row>
    <row r="5432" spans="1:5" ht="26" x14ac:dyDescent="0.3">
      <c r="A5432" s="17" t="str">
        <f>"C1727"</f>
        <v>C1727</v>
      </c>
      <c r="B5432" s="5" t="s">
        <v>5435</v>
      </c>
      <c r="C5432" s="17">
        <v>20230101</v>
      </c>
      <c r="D5432" s="17">
        <v>22991231</v>
      </c>
      <c r="E5432" s="25">
        <v>0</v>
      </c>
    </row>
    <row r="5433" spans="1:5" x14ac:dyDescent="0.3">
      <c r="A5433" s="17" t="str">
        <f>"C1728"</f>
        <v>C1728</v>
      </c>
      <c r="B5433" s="5" t="s">
        <v>5436</v>
      </c>
      <c r="C5433" s="17">
        <v>20230101</v>
      </c>
      <c r="D5433" s="17">
        <v>22991231</v>
      </c>
      <c r="E5433" s="25">
        <v>0</v>
      </c>
    </row>
    <row r="5434" spans="1:5" x14ac:dyDescent="0.3">
      <c r="A5434" s="17" t="str">
        <f>"C1729"</f>
        <v>C1729</v>
      </c>
      <c r="B5434" s="5" t="s">
        <v>5437</v>
      </c>
      <c r="C5434" s="17">
        <v>20230101</v>
      </c>
      <c r="D5434" s="17">
        <v>22991231</v>
      </c>
      <c r="E5434" s="25">
        <v>0</v>
      </c>
    </row>
    <row r="5435" spans="1:5" ht="26" x14ac:dyDescent="0.3">
      <c r="A5435" s="17" t="str">
        <f>"C1730"</f>
        <v>C1730</v>
      </c>
      <c r="B5435" s="5" t="s">
        <v>5438</v>
      </c>
      <c r="C5435" s="17">
        <v>20230101</v>
      </c>
      <c r="D5435" s="17">
        <v>22991231</v>
      </c>
      <c r="E5435" s="25">
        <v>0</v>
      </c>
    </row>
    <row r="5436" spans="1:5" ht="26" x14ac:dyDescent="0.3">
      <c r="A5436" s="17" t="str">
        <f>"C1731"</f>
        <v>C1731</v>
      </c>
      <c r="B5436" s="5" t="s">
        <v>5439</v>
      </c>
      <c r="C5436" s="17">
        <v>20230101</v>
      </c>
      <c r="D5436" s="17">
        <v>22991231</v>
      </c>
      <c r="E5436" s="25">
        <v>0</v>
      </c>
    </row>
    <row r="5437" spans="1:5" ht="26" x14ac:dyDescent="0.3">
      <c r="A5437" s="17" t="str">
        <f>"C1732"</f>
        <v>C1732</v>
      </c>
      <c r="B5437" s="5" t="s">
        <v>5440</v>
      </c>
      <c r="C5437" s="17">
        <v>20230101</v>
      </c>
      <c r="D5437" s="17">
        <v>22991231</v>
      </c>
      <c r="E5437" s="25">
        <v>0</v>
      </c>
    </row>
    <row r="5438" spans="1:5" ht="39" x14ac:dyDescent="0.3">
      <c r="A5438" s="17" t="str">
        <f>"C1733"</f>
        <v>C1733</v>
      </c>
      <c r="B5438" s="5" t="s">
        <v>5441</v>
      </c>
      <c r="C5438" s="17">
        <v>20230101</v>
      </c>
      <c r="D5438" s="17">
        <v>22991231</v>
      </c>
      <c r="E5438" s="25">
        <v>0</v>
      </c>
    </row>
    <row r="5439" spans="1:5" ht="26" x14ac:dyDescent="0.3">
      <c r="A5439" s="17" t="str">
        <f>"C1734"</f>
        <v>C1734</v>
      </c>
      <c r="B5439" s="5" t="s">
        <v>5442</v>
      </c>
      <c r="C5439" s="17">
        <v>20230101</v>
      </c>
      <c r="D5439" s="17">
        <v>22991231</v>
      </c>
      <c r="E5439" s="25">
        <v>0</v>
      </c>
    </row>
    <row r="5440" spans="1:5" ht="26" x14ac:dyDescent="0.3">
      <c r="A5440" s="17" t="str">
        <f>"C1747"</f>
        <v>C1747</v>
      </c>
      <c r="B5440" s="5" t="s">
        <v>5443</v>
      </c>
      <c r="C5440" s="17">
        <v>20230101</v>
      </c>
      <c r="D5440" s="17">
        <v>22991231</v>
      </c>
      <c r="E5440" s="25">
        <v>0</v>
      </c>
    </row>
    <row r="5441" spans="1:5" ht="26" x14ac:dyDescent="0.3">
      <c r="A5441" s="17" t="str">
        <f>"C1748"</f>
        <v>C1748</v>
      </c>
      <c r="B5441" s="5" t="s">
        <v>5444</v>
      </c>
      <c r="C5441" s="17">
        <v>20230101</v>
      </c>
      <c r="D5441" s="17">
        <v>22991231</v>
      </c>
      <c r="E5441" s="25">
        <v>0</v>
      </c>
    </row>
    <row r="5442" spans="1:5" ht="26" x14ac:dyDescent="0.3">
      <c r="A5442" s="17" t="str">
        <f>"C1749"</f>
        <v>C1749</v>
      </c>
      <c r="B5442" s="5" t="s">
        <v>5445</v>
      </c>
      <c r="C5442" s="17">
        <v>20230101</v>
      </c>
      <c r="D5442" s="17">
        <v>22991231</v>
      </c>
      <c r="E5442" s="25">
        <v>0</v>
      </c>
    </row>
    <row r="5443" spans="1:5" x14ac:dyDescent="0.3">
      <c r="A5443" s="17" t="str">
        <f>"C1750"</f>
        <v>C1750</v>
      </c>
      <c r="B5443" s="5" t="s">
        <v>5446</v>
      </c>
      <c r="C5443" s="17">
        <v>20230101</v>
      </c>
      <c r="D5443" s="17">
        <v>22991231</v>
      </c>
      <c r="E5443" s="25">
        <v>0</v>
      </c>
    </row>
    <row r="5444" spans="1:5" ht="26" x14ac:dyDescent="0.3">
      <c r="A5444" s="17" t="str">
        <f>"C1751"</f>
        <v>C1751</v>
      </c>
      <c r="B5444" s="5" t="s">
        <v>5447</v>
      </c>
      <c r="C5444" s="17">
        <v>20230101</v>
      </c>
      <c r="D5444" s="17">
        <v>22991231</v>
      </c>
      <c r="E5444" s="25">
        <v>0</v>
      </c>
    </row>
    <row r="5445" spans="1:5" x14ac:dyDescent="0.3">
      <c r="A5445" s="17" t="str">
        <f>"C1752"</f>
        <v>C1752</v>
      </c>
      <c r="B5445" s="5" t="s">
        <v>5448</v>
      </c>
      <c r="C5445" s="17">
        <v>20230101</v>
      </c>
      <c r="D5445" s="17">
        <v>22991231</v>
      </c>
      <c r="E5445" s="25">
        <v>0</v>
      </c>
    </row>
    <row r="5446" spans="1:5" x14ac:dyDescent="0.3">
      <c r="A5446" s="17" t="str">
        <f>"C1753"</f>
        <v>C1753</v>
      </c>
      <c r="B5446" s="5" t="s">
        <v>5449</v>
      </c>
      <c r="C5446" s="17">
        <v>20230101</v>
      </c>
      <c r="D5446" s="17">
        <v>22991231</v>
      </c>
      <c r="E5446" s="25">
        <v>0</v>
      </c>
    </row>
    <row r="5447" spans="1:5" x14ac:dyDescent="0.3">
      <c r="A5447" s="17" t="str">
        <f>"C1754"</f>
        <v>C1754</v>
      </c>
      <c r="B5447" s="5" t="s">
        <v>5450</v>
      </c>
      <c r="C5447" s="17">
        <v>20230101</v>
      </c>
      <c r="D5447" s="17">
        <v>22991231</v>
      </c>
      <c r="E5447" s="25">
        <v>0</v>
      </c>
    </row>
    <row r="5448" spans="1:5" x14ac:dyDescent="0.3">
      <c r="A5448" s="17" t="str">
        <f>"C1755"</f>
        <v>C1755</v>
      </c>
      <c r="B5448" s="5" t="s">
        <v>5451</v>
      </c>
      <c r="C5448" s="17">
        <v>20230101</v>
      </c>
      <c r="D5448" s="17">
        <v>22991231</v>
      </c>
      <c r="E5448" s="25">
        <v>0</v>
      </c>
    </row>
    <row r="5449" spans="1:5" x14ac:dyDescent="0.3">
      <c r="A5449" s="17" t="str">
        <f>"C1756"</f>
        <v>C1756</v>
      </c>
      <c r="B5449" s="5" t="s">
        <v>5452</v>
      </c>
      <c r="C5449" s="17">
        <v>20230101</v>
      </c>
      <c r="D5449" s="17">
        <v>22991231</v>
      </c>
      <c r="E5449" s="25">
        <v>0</v>
      </c>
    </row>
    <row r="5450" spans="1:5" x14ac:dyDescent="0.3">
      <c r="A5450" s="17" t="str">
        <f>"C1757"</f>
        <v>C1757</v>
      </c>
      <c r="B5450" s="5" t="s">
        <v>5453</v>
      </c>
      <c r="C5450" s="17">
        <v>20230101</v>
      </c>
      <c r="D5450" s="17">
        <v>22991231</v>
      </c>
      <c r="E5450" s="25">
        <v>0</v>
      </c>
    </row>
    <row r="5451" spans="1:5" x14ac:dyDescent="0.3">
      <c r="A5451" s="17" t="str">
        <f>"C1758"</f>
        <v>C1758</v>
      </c>
      <c r="B5451" s="5" t="s">
        <v>5454</v>
      </c>
      <c r="C5451" s="17">
        <v>20230101</v>
      </c>
      <c r="D5451" s="17">
        <v>22991231</v>
      </c>
      <c r="E5451" s="25">
        <v>0</v>
      </c>
    </row>
    <row r="5452" spans="1:5" x14ac:dyDescent="0.3">
      <c r="A5452" s="17" t="str">
        <f>"C1759"</f>
        <v>C1759</v>
      </c>
      <c r="B5452" s="5" t="s">
        <v>5455</v>
      </c>
      <c r="C5452" s="17">
        <v>20230101</v>
      </c>
      <c r="D5452" s="17">
        <v>22991231</v>
      </c>
      <c r="E5452" s="25">
        <v>0</v>
      </c>
    </row>
    <row r="5453" spans="1:5" ht="26" x14ac:dyDescent="0.3">
      <c r="A5453" s="17" t="str">
        <f>"C1760"</f>
        <v>C1760</v>
      </c>
      <c r="B5453" s="5" t="s">
        <v>5456</v>
      </c>
      <c r="C5453" s="17">
        <v>20230101</v>
      </c>
      <c r="D5453" s="17">
        <v>22991231</v>
      </c>
      <c r="E5453" s="25">
        <v>0</v>
      </c>
    </row>
    <row r="5454" spans="1:5" ht="26" x14ac:dyDescent="0.3">
      <c r="A5454" s="17" t="str">
        <f>"C1761"</f>
        <v>C1761</v>
      </c>
      <c r="B5454" s="5" t="s">
        <v>5457</v>
      </c>
      <c r="C5454" s="17">
        <v>20230101</v>
      </c>
      <c r="D5454" s="17">
        <v>22991231</v>
      </c>
      <c r="E5454" s="25">
        <v>0</v>
      </c>
    </row>
    <row r="5455" spans="1:5" x14ac:dyDescent="0.3">
      <c r="A5455" s="17" t="str">
        <f>"C1762"</f>
        <v>C1762</v>
      </c>
      <c r="B5455" s="5" t="s">
        <v>5458</v>
      </c>
      <c r="C5455" s="17">
        <v>20230101</v>
      </c>
      <c r="D5455" s="17">
        <v>22991231</v>
      </c>
      <c r="E5455" s="25">
        <v>0</v>
      </c>
    </row>
    <row r="5456" spans="1:5" ht="26" x14ac:dyDescent="0.3">
      <c r="A5456" s="17" t="str">
        <f>"C1763"</f>
        <v>C1763</v>
      </c>
      <c r="B5456" s="5" t="s">
        <v>5459</v>
      </c>
      <c r="C5456" s="17">
        <v>20230101</v>
      </c>
      <c r="D5456" s="17">
        <v>22991231</v>
      </c>
      <c r="E5456" s="25">
        <v>0</v>
      </c>
    </row>
    <row r="5457" spans="1:5" x14ac:dyDescent="0.3">
      <c r="A5457" s="17" t="str">
        <f>"C1764"</f>
        <v>C1764</v>
      </c>
      <c r="B5457" s="5" t="s">
        <v>5460</v>
      </c>
      <c r="C5457" s="17">
        <v>20230101</v>
      </c>
      <c r="D5457" s="17">
        <v>22991231</v>
      </c>
      <c r="E5457" s="25">
        <v>0</v>
      </c>
    </row>
    <row r="5458" spans="1:5" x14ac:dyDescent="0.3">
      <c r="A5458" s="17" t="str">
        <f>"C1765"</f>
        <v>C1765</v>
      </c>
      <c r="B5458" s="5" t="s">
        <v>5461</v>
      </c>
      <c r="C5458" s="17">
        <v>20230101</v>
      </c>
      <c r="D5458" s="17">
        <v>22991231</v>
      </c>
      <c r="E5458" s="25">
        <v>0</v>
      </c>
    </row>
    <row r="5459" spans="1:5" ht="39" x14ac:dyDescent="0.3">
      <c r="A5459" s="17" t="str">
        <f>"C1766"</f>
        <v>C1766</v>
      </c>
      <c r="B5459" s="5" t="s">
        <v>5462</v>
      </c>
      <c r="C5459" s="17">
        <v>20230101</v>
      </c>
      <c r="D5459" s="17">
        <v>22991231</v>
      </c>
      <c r="E5459" s="25">
        <v>0</v>
      </c>
    </row>
    <row r="5460" spans="1:5" ht="26" x14ac:dyDescent="0.3">
      <c r="A5460" s="17" t="str">
        <f>"C1767"</f>
        <v>C1767</v>
      </c>
      <c r="B5460" s="5" t="s">
        <v>5463</v>
      </c>
      <c r="C5460" s="17">
        <v>20230101</v>
      </c>
      <c r="D5460" s="17">
        <v>22991231</v>
      </c>
      <c r="E5460" s="25">
        <v>0</v>
      </c>
    </row>
    <row r="5461" spans="1:5" x14ac:dyDescent="0.3">
      <c r="A5461" s="17" t="str">
        <f>"C1768"</f>
        <v>C1768</v>
      </c>
      <c r="B5461" s="5" t="s">
        <v>5464</v>
      </c>
      <c r="C5461" s="17">
        <v>20230101</v>
      </c>
      <c r="D5461" s="17">
        <v>22991231</v>
      </c>
      <c r="E5461" s="25">
        <v>0</v>
      </c>
    </row>
    <row r="5462" spans="1:5" x14ac:dyDescent="0.3">
      <c r="A5462" s="17" t="str">
        <f>"C1769"</f>
        <v>C1769</v>
      </c>
      <c r="B5462" s="5" t="s">
        <v>5465</v>
      </c>
      <c r="C5462" s="17">
        <v>20230101</v>
      </c>
      <c r="D5462" s="17">
        <v>22991231</v>
      </c>
      <c r="E5462" s="25">
        <v>0</v>
      </c>
    </row>
    <row r="5463" spans="1:5" x14ac:dyDescent="0.3">
      <c r="A5463" s="17" t="str">
        <f>"C1770"</f>
        <v>C1770</v>
      </c>
      <c r="B5463" s="5" t="s">
        <v>5466</v>
      </c>
      <c r="C5463" s="17">
        <v>20230101</v>
      </c>
      <c r="D5463" s="17">
        <v>22991231</v>
      </c>
      <c r="E5463" s="25">
        <v>0</v>
      </c>
    </row>
    <row r="5464" spans="1:5" ht="26" x14ac:dyDescent="0.3">
      <c r="A5464" s="17" t="str">
        <f>"C1771"</f>
        <v>C1771</v>
      </c>
      <c r="B5464" s="5" t="s">
        <v>5467</v>
      </c>
      <c r="C5464" s="17">
        <v>20230101</v>
      </c>
      <c r="D5464" s="17">
        <v>22991231</v>
      </c>
      <c r="E5464" s="25">
        <v>0</v>
      </c>
    </row>
    <row r="5465" spans="1:5" x14ac:dyDescent="0.3">
      <c r="A5465" s="17" t="str">
        <f>"C1772"</f>
        <v>C1772</v>
      </c>
      <c r="B5465" s="5" t="s">
        <v>5468</v>
      </c>
      <c r="C5465" s="17">
        <v>20230101</v>
      </c>
      <c r="D5465" s="17">
        <v>22991231</v>
      </c>
      <c r="E5465" s="25">
        <v>0</v>
      </c>
    </row>
    <row r="5466" spans="1:5" ht="26" x14ac:dyDescent="0.3">
      <c r="A5466" s="17" t="str">
        <f>"C1773"</f>
        <v>C1773</v>
      </c>
      <c r="B5466" s="5" t="s">
        <v>5469</v>
      </c>
      <c r="C5466" s="17">
        <v>20230101</v>
      </c>
      <c r="D5466" s="17">
        <v>22991231</v>
      </c>
      <c r="E5466" s="25">
        <v>0</v>
      </c>
    </row>
    <row r="5467" spans="1:5" x14ac:dyDescent="0.3">
      <c r="A5467" s="17" t="str">
        <f>"C1776"</f>
        <v>C1776</v>
      </c>
      <c r="B5467" s="5" t="s">
        <v>5470</v>
      </c>
      <c r="C5467" s="17">
        <v>20230101</v>
      </c>
      <c r="D5467" s="17">
        <v>22991231</v>
      </c>
      <c r="E5467" s="25">
        <v>0</v>
      </c>
    </row>
    <row r="5468" spans="1:5" ht="26" x14ac:dyDescent="0.3">
      <c r="A5468" s="17" t="str">
        <f>"C1777"</f>
        <v>C1777</v>
      </c>
      <c r="B5468" s="5" t="s">
        <v>5471</v>
      </c>
      <c r="C5468" s="17">
        <v>20230101</v>
      </c>
      <c r="D5468" s="17">
        <v>22991231</v>
      </c>
      <c r="E5468" s="25">
        <v>0</v>
      </c>
    </row>
    <row r="5469" spans="1:5" x14ac:dyDescent="0.3">
      <c r="A5469" s="17" t="str">
        <f>"C1778"</f>
        <v>C1778</v>
      </c>
      <c r="B5469" s="5" t="s">
        <v>5472</v>
      </c>
      <c r="C5469" s="17">
        <v>20230101</v>
      </c>
      <c r="D5469" s="17">
        <v>22991231</v>
      </c>
      <c r="E5469" s="25">
        <v>0</v>
      </c>
    </row>
    <row r="5470" spans="1:5" x14ac:dyDescent="0.3">
      <c r="A5470" s="17" t="str">
        <f>"C1779"</f>
        <v>C1779</v>
      </c>
      <c r="B5470" s="5" t="s">
        <v>5473</v>
      </c>
      <c r="C5470" s="17">
        <v>20230101</v>
      </c>
      <c r="D5470" s="17">
        <v>22991231</v>
      </c>
      <c r="E5470" s="25">
        <v>0</v>
      </c>
    </row>
    <row r="5471" spans="1:5" x14ac:dyDescent="0.3">
      <c r="A5471" s="17" t="str">
        <f>"C1780"</f>
        <v>C1780</v>
      </c>
      <c r="B5471" s="5" t="s">
        <v>5474</v>
      </c>
      <c r="C5471" s="17">
        <v>20230101</v>
      </c>
      <c r="D5471" s="17">
        <v>22991231</v>
      </c>
      <c r="E5471" s="25">
        <v>0</v>
      </c>
    </row>
    <row r="5472" spans="1:5" x14ac:dyDescent="0.3">
      <c r="A5472" s="17" t="str">
        <f>"C1781"</f>
        <v>C1781</v>
      </c>
      <c r="B5472" s="5" t="s">
        <v>5475</v>
      </c>
      <c r="C5472" s="17">
        <v>20230101</v>
      </c>
      <c r="D5472" s="17">
        <v>22991231</v>
      </c>
      <c r="E5472" s="25">
        <v>0</v>
      </c>
    </row>
    <row r="5473" spans="1:5" x14ac:dyDescent="0.3">
      <c r="A5473" s="17" t="str">
        <f>"C1782"</f>
        <v>C1782</v>
      </c>
      <c r="B5473" s="5" t="s">
        <v>5476</v>
      </c>
      <c r="C5473" s="17">
        <v>20230101</v>
      </c>
      <c r="D5473" s="17">
        <v>22991231</v>
      </c>
      <c r="E5473" s="25">
        <v>0</v>
      </c>
    </row>
    <row r="5474" spans="1:5" x14ac:dyDescent="0.3">
      <c r="A5474" s="17" t="str">
        <f>"C1783"</f>
        <v>C1783</v>
      </c>
      <c r="B5474" s="5" t="s">
        <v>5477</v>
      </c>
      <c r="C5474" s="17">
        <v>20230101</v>
      </c>
      <c r="D5474" s="17">
        <v>22991231</v>
      </c>
      <c r="E5474" s="25">
        <v>0</v>
      </c>
    </row>
    <row r="5475" spans="1:5" x14ac:dyDescent="0.3">
      <c r="A5475" s="17" t="str">
        <f>"C1784"</f>
        <v>C1784</v>
      </c>
      <c r="B5475" s="5" t="s">
        <v>5478</v>
      </c>
      <c r="C5475" s="17">
        <v>20230101</v>
      </c>
      <c r="D5475" s="17">
        <v>22991231</v>
      </c>
      <c r="E5475" s="25">
        <v>0</v>
      </c>
    </row>
    <row r="5476" spans="1:5" ht="26" x14ac:dyDescent="0.3">
      <c r="A5476" s="17" t="str">
        <f>"C1785"</f>
        <v>C1785</v>
      </c>
      <c r="B5476" s="5" t="s">
        <v>5479</v>
      </c>
      <c r="C5476" s="17">
        <v>20230101</v>
      </c>
      <c r="D5476" s="17">
        <v>22991231</v>
      </c>
      <c r="E5476" s="25">
        <v>0</v>
      </c>
    </row>
    <row r="5477" spans="1:5" ht="26" x14ac:dyDescent="0.3">
      <c r="A5477" s="17" t="str">
        <f>"C1786"</f>
        <v>C1786</v>
      </c>
      <c r="B5477" s="5" t="s">
        <v>5480</v>
      </c>
      <c r="C5477" s="17">
        <v>20230101</v>
      </c>
      <c r="D5477" s="17">
        <v>22991231</v>
      </c>
      <c r="E5477" s="25">
        <v>0</v>
      </c>
    </row>
    <row r="5478" spans="1:5" x14ac:dyDescent="0.3">
      <c r="A5478" s="17" t="str">
        <f>"C1787"</f>
        <v>C1787</v>
      </c>
      <c r="B5478" s="5" t="s">
        <v>5481</v>
      </c>
      <c r="C5478" s="17">
        <v>20230101</v>
      </c>
      <c r="D5478" s="17">
        <v>22991231</v>
      </c>
      <c r="E5478" s="25">
        <v>0</v>
      </c>
    </row>
    <row r="5479" spans="1:5" x14ac:dyDescent="0.3">
      <c r="A5479" s="17" t="str">
        <f>"C1788"</f>
        <v>C1788</v>
      </c>
      <c r="B5479" s="5" t="s">
        <v>5482</v>
      </c>
      <c r="C5479" s="17">
        <v>20230101</v>
      </c>
      <c r="D5479" s="17">
        <v>22991231</v>
      </c>
      <c r="E5479" s="25">
        <v>0</v>
      </c>
    </row>
    <row r="5480" spans="1:5" x14ac:dyDescent="0.3">
      <c r="A5480" s="17" t="str">
        <f>"C1789"</f>
        <v>C1789</v>
      </c>
      <c r="B5480" s="5" t="s">
        <v>5483</v>
      </c>
      <c r="C5480" s="17">
        <v>20230101</v>
      </c>
      <c r="D5480" s="17">
        <v>22991231</v>
      </c>
      <c r="E5480" s="25">
        <v>0</v>
      </c>
    </row>
    <row r="5481" spans="1:5" x14ac:dyDescent="0.3">
      <c r="A5481" s="17" t="str">
        <f>"C1813"</f>
        <v>C1813</v>
      </c>
      <c r="B5481" s="5" t="s">
        <v>5484</v>
      </c>
      <c r="C5481" s="17">
        <v>20230101</v>
      </c>
      <c r="D5481" s="17">
        <v>22991231</v>
      </c>
      <c r="E5481" s="25">
        <v>0</v>
      </c>
    </row>
    <row r="5482" spans="1:5" x14ac:dyDescent="0.3">
      <c r="A5482" s="17" t="str">
        <f>"C1814"</f>
        <v>C1814</v>
      </c>
      <c r="B5482" s="5" t="s">
        <v>5485</v>
      </c>
      <c r="C5482" s="17">
        <v>20230101</v>
      </c>
      <c r="D5482" s="17">
        <v>22991231</v>
      </c>
      <c r="E5482" s="25">
        <v>0</v>
      </c>
    </row>
    <row r="5483" spans="1:5" x14ac:dyDescent="0.3">
      <c r="A5483" s="17" t="str">
        <f>"C1815"</f>
        <v>C1815</v>
      </c>
      <c r="B5483" s="5" t="s">
        <v>5486</v>
      </c>
      <c r="C5483" s="17">
        <v>20230101</v>
      </c>
      <c r="D5483" s="17">
        <v>22991231</v>
      </c>
      <c r="E5483" s="25">
        <v>0</v>
      </c>
    </row>
    <row r="5484" spans="1:5" ht="26" x14ac:dyDescent="0.3">
      <c r="A5484" s="17" t="str">
        <f>"C1816"</f>
        <v>C1816</v>
      </c>
      <c r="B5484" s="5" t="s">
        <v>5487</v>
      </c>
      <c r="C5484" s="17">
        <v>20230101</v>
      </c>
      <c r="D5484" s="17">
        <v>22991231</v>
      </c>
      <c r="E5484" s="25">
        <v>0</v>
      </c>
    </row>
    <row r="5485" spans="1:5" x14ac:dyDescent="0.3">
      <c r="A5485" s="17" t="str">
        <f>"C1817"</f>
        <v>C1817</v>
      </c>
      <c r="B5485" s="5" t="s">
        <v>5488</v>
      </c>
      <c r="C5485" s="17">
        <v>20230101</v>
      </c>
      <c r="D5485" s="17">
        <v>22991231</v>
      </c>
      <c r="E5485" s="25">
        <v>0</v>
      </c>
    </row>
    <row r="5486" spans="1:5" x14ac:dyDescent="0.3">
      <c r="A5486" s="17" t="str">
        <f>"C1818"</f>
        <v>C1818</v>
      </c>
      <c r="B5486" s="5" t="s">
        <v>5489</v>
      </c>
      <c r="C5486" s="17">
        <v>20230101</v>
      </c>
      <c r="D5486" s="17">
        <v>22991231</v>
      </c>
      <c r="E5486" s="25">
        <v>0</v>
      </c>
    </row>
    <row r="5487" spans="1:5" ht="26" x14ac:dyDescent="0.3">
      <c r="A5487" s="17" t="str">
        <f>"C1819"</f>
        <v>C1819</v>
      </c>
      <c r="B5487" s="5" t="s">
        <v>5490</v>
      </c>
      <c r="C5487" s="17">
        <v>20230101</v>
      </c>
      <c r="D5487" s="17">
        <v>22991231</v>
      </c>
      <c r="E5487" s="25">
        <v>0</v>
      </c>
    </row>
    <row r="5488" spans="1:5" ht="26" x14ac:dyDescent="0.3">
      <c r="A5488" s="17" t="str">
        <f>"C1820"</f>
        <v>C1820</v>
      </c>
      <c r="B5488" s="5" t="s">
        <v>5491</v>
      </c>
      <c r="C5488" s="17">
        <v>20230101</v>
      </c>
      <c r="D5488" s="17">
        <v>22991231</v>
      </c>
      <c r="E5488" s="25">
        <v>0</v>
      </c>
    </row>
    <row r="5489" spans="1:5" ht="26" x14ac:dyDescent="0.3">
      <c r="A5489" s="17" t="str">
        <f>"C1821"</f>
        <v>C1821</v>
      </c>
      <c r="B5489" s="5" t="s">
        <v>5492</v>
      </c>
      <c r="C5489" s="17">
        <v>20230101</v>
      </c>
      <c r="D5489" s="17">
        <v>22991231</v>
      </c>
      <c r="E5489" s="25">
        <v>0</v>
      </c>
    </row>
    <row r="5490" spans="1:5" ht="39" x14ac:dyDescent="0.3">
      <c r="A5490" s="17" t="str">
        <f>"C1822"</f>
        <v>C1822</v>
      </c>
      <c r="B5490" s="5" t="s">
        <v>5493</v>
      </c>
      <c r="C5490" s="17">
        <v>20230101</v>
      </c>
      <c r="D5490" s="17">
        <v>22991231</v>
      </c>
      <c r="E5490" s="25">
        <v>0</v>
      </c>
    </row>
    <row r="5491" spans="1:5" ht="39" x14ac:dyDescent="0.3">
      <c r="A5491" s="17" t="str">
        <f>"C1823"</f>
        <v>C1823</v>
      </c>
      <c r="B5491" s="5" t="s">
        <v>5494</v>
      </c>
      <c r="C5491" s="17">
        <v>20230101</v>
      </c>
      <c r="D5491" s="17">
        <v>22991231</v>
      </c>
      <c r="E5491" s="25">
        <v>0</v>
      </c>
    </row>
    <row r="5492" spans="1:5" ht="26" x14ac:dyDescent="0.3">
      <c r="A5492" s="17" t="str">
        <f>"C1824"</f>
        <v>C1824</v>
      </c>
      <c r="B5492" s="5" t="s">
        <v>5495</v>
      </c>
      <c r="C5492" s="17">
        <v>20230101</v>
      </c>
      <c r="D5492" s="17">
        <v>22991231</v>
      </c>
      <c r="E5492" s="25">
        <v>0</v>
      </c>
    </row>
    <row r="5493" spans="1:5" ht="39" x14ac:dyDescent="0.3">
      <c r="A5493" s="17" t="str">
        <f>"C1825"</f>
        <v>C1825</v>
      </c>
      <c r="B5493" s="5" t="s">
        <v>5496</v>
      </c>
      <c r="C5493" s="17">
        <v>20230101</v>
      </c>
      <c r="D5493" s="17">
        <v>22991231</v>
      </c>
      <c r="E5493" s="25">
        <v>0</v>
      </c>
    </row>
    <row r="5494" spans="1:5" ht="52" x14ac:dyDescent="0.3">
      <c r="A5494" s="17" t="str">
        <f>"C1826"</f>
        <v>C1826</v>
      </c>
      <c r="B5494" s="5" t="s">
        <v>5497</v>
      </c>
      <c r="C5494" s="17">
        <v>20230101</v>
      </c>
      <c r="D5494" s="17">
        <v>22991231</v>
      </c>
      <c r="E5494" s="25">
        <v>0</v>
      </c>
    </row>
    <row r="5495" spans="1:5" ht="39" x14ac:dyDescent="0.3">
      <c r="A5495" s="17" t="str">
        <f>"C1827"</f>
        <v>C1827</v>
      </c>
      <c r="B5495" s="5" t="s">
        <v>5498</v>
      </c>
      <c r="C5495" s="17">
        <v>20230101</v>
      </c>
      <c r="D5495" s="17">
        <v>22991231</v>
      </c>
      <c r="E5495" s="25">
        <v>0</v>
      </c>
    </row>
    <row r="5496" spans="1:5" x14ac:dyDescent="0.3">
      <c r="A5496" s="17" t="str">
        <f>"C1830"</f>
        <v>C1830</v>
      </c>
      <c r="B5496" s="5" t="s">
        <v>5499</v>
      </c>
      <c r="C5496" s="17">
        <v>20230101</v>
      </c>
      <c r="D5496" s="17">
        <v>22991231</v>
      </c>
      <c r="E5496" s="25">
        <v>0</v>
      </c>
    </row>
    <row r="5497" spans="1:5" ht="26" x14ac:dyDescent="0.3">
      <c r="A5497" s="17" t="str">
        <f>"C1831"</f>
        <v>C1831</v>
      </c>
      <c r="B5497" s="5" t="s">
        <v>5500</v>
      </c>
      <c r="C5497" s="17">
        <v>20230101</v>
      </c>
      <c r="D5497" s="17">
        <v>22991231</v>
      </c>
      <c r="E5497" s="25">
        <v>0</v>
      </c>
    </row>
    <row r="5498" spans="1:5" ht="26" x14ac:dyDescent="0.3">
      <c r="A5498" s="17" t="str">
        <f>"C1832"</f>
        <v>C1832</v>
      </c>
      <c r="B5498" s="5" t="s">
        <v>5501</v>
      </c>
      <c r="C5498" s="17">
        <v>20230101</v>
      </c>
      <c r="D5498" s="17">
        <v>22991231</v>
      </c>
      <c r="E5498" s="25">
        <v>0</v>
      </c>
    </row>
    <row r="5499" spans="1:5" ht="26" x14ac:dyDescent="0.3">
      <c r="A5499" s="17" t="str">
        <f>"C1833"</f>
        <v>C1833</v>
      </c>
      <c r="B5499" s="5" t="s">
        <v>5502</v>
      </c>
      <c r="C5499" s="17">
        <v>20230101</v>
      </c>
      <c r="D5499" s="17">
        <v>22991231</v>
      </c>
      <c r="E5499" s="25">
        <v>0</v>
      </c>
    </row>
    <row r="5500" spans="1:5" x14ac:dyDescent="0.3">
      <c r="A5500" s="17" t="str">
        <f>"C1839"</f>
        <v>C1839</v>
      </c>
      <c r="B5500" s="5" t="s">
        <v>5503</v>
      </c>
      <c r="C5500" s="17">
        <v>20230101</v>
      </c>
      <c r="D5500" s="17">
        <v>22991231</v>
      </c>
      <c r="E5500" s="25">
        <v>0</v>
      </c>
    </row>
    <row r="5501" spans="1:5" x14ac:dyDescent="0.3">
      <c r="A5501" s="17" t="str">
        <f>"C1840"</f>
        <v>C1840</v>
      </c>
      <c r="B5501" s="5" t="s">
        <v>5504</v>
      </c>
      <c r="C5501" s="17">
        <v>20230101</v>
      </c>
      <c r="D5501" s="17">
        <v>22991231</v>
      </c>
      <c r="E5501" s="25">
        <v>0</v>
      </c>
    </row>
    <row r="5502" spans="1:5" x14ac:dyDescent="0.3">
      <c r="A5502" s="17" t="str">
        <f>"C1874"</f>
        <v>C1874</v>
      </c>
      <c r="B5502" s="5" t="s">
        <v>5505</v>
      </c>
      <c r="C5502" s="17">
        <v>20230101</v>
      </c>
      <c r="D5502" s="17">
        <v>22991231</v>
      </c>
      <c r="E5502" s="25">
        <v>0</v>
      </c>
    </row>
    <row r="5503" spans="1:5" x14ac:dyDescent="0.3">
      <c r="A5503" s="17" t="str">
        <f>"C1875"</f>
        <v>C1875</v>
      </c>
      <c r="B5503" s="5" t="s">
        <v>5506</v>
      </c>
      <c r="C5503" s="17">
        <v>20230101</v>
      </c>
      <c r="D5503" s="17">
        <v>22991231</v>
      </c>
      <c r="E5503" s="25">
        <v>0</v>
      </c>
    </row>
    <row r="5504" spans="1:5" ht="26" x14ac:dyDescent="0.3">
      <c r="A5504" s="17" t="str">
        <f>"C1876"</f>
        <v>C1876</v>
      </c>
      <c r="B5504" s="5" t="s">
        <v>5507</v>
      </c>
      <c r="C5504" s="17">
        <v>20230101</v>
      </c>
      <c r="D5504" s="17">
        <v>22991231</v>
      </c>
      <c r="E5504" s="25">
        <v>0</v>
      </c>
    </row>
    <row r="5505" spans="1:5" ht="26" x14ac:dyDescent="0.3">
      <c r="A5505" s="17" t="str">
        <f>"C1877"</f>
        <v>C1877</v>
      </c>
      <c r="B5505" s="5" t="s">
        <v>5508</v>
      </c>
      <c r="C5505" s="17">
        <v>20230101</v>
      </c>
      <c r="D5505" s="17">
        <v>22991231</v>
      </c>
      <c r="E5505" s="25">
        <v>0</v>
      </c>
    </row>
    <row r="5506" spans="1:5" ht="26" x14ac:dyDescent="0.3">
      <c r="A5506" s="17" t="str">
        <f>"C1878"</f>
        <v>C1878</v>
      </c>
      <c r="B5506" s="5" t="s">
        <v>5509</v>
      </c>
      <c r="C5506" s="17">
        <v>20230101</v>
      </c>
      <c r="D5506" s="17">
        <v>22991231</v>
      </c>
      <c r="E5506" s="25">
        <v>0</v>
      </c>
    </row>
    <row r="5507" spans="1:5" x14ac:dyDescent="0.3">
      <c r="A5507" s="17" t="str">
        <f>"C1880"</f>
        <v>C1880</v>
      </c>
      <c r="B5507" s="5" t="s">
        <v>5510</v>
      </c>
      <c r="C5507" s="17">
        <v>20230101</v>
      </c>
      <c r="D5507" s="17">
        <v>22991231</v>
      </c>
      <c r="E5507" s="25">
        <v>0</v>
      </c>
    </row>
    <row r="5508" spans="1:5" x14ac:dyDescent="0.3">
      <c r="A5508" s="17" t="str">
        <f>"C1881"</f>
        <v>C1881</v>
      </c>
      <c r="B5508" s="5" t="s">
        <v>5511</v>
      </c>
      <c r="C5508" s="17">
        <v>20230101</v>
      </c>
      <c r="D5508" s="17">
        <v>22991231</v>
      </c>
      <c r="E5508" s="25">
        <v>0</v>
      </c>
    </row>
    <row r="5509" spans="1:5" ht="26" x14ac:dyDescent="0.3">
      <c r="A5509" s="17" t="str">
        <f>"C1882"</f>
        <v>C1882</v>
      </c>
      <c r="B5509" s="5" t="s">
        <v>5512</v>
      </c>
      <c r="C5509" s="17">
        <v>20230101</v>
      </c>
      <c r="D5509" s="17">
        <v>22991231</v>
      </c>
      <c r="E5509" s="25">
        <v>0</v>
      </c>
    </row>
    <row r="5510" spans="1:5" ht="26" x14ac:dyDescent="0.3">
      <c r="A5510" s="17" t="str">
        <f>"C1883"</f>
        <v>C1883</v>
      </c>
      <c r="B5510" s="5" t="s">
        <v>5513</v>
      </c>
      <c r="C5510" s="17">
        <v>20230101</v>
      </c>
      <c r="D5510" s="17">
        <v>22991231</v>
      </c>
      <c r="E5510" s="25">
        <v>0</v>
      </c>
    </row>
    <row r="5511" spans="1:5" x14ac:dyDescent="0.3">
      <c r="A5511" s="17" t="str">
        <f>"C1884"</f>
        <v>C1884</v>
      </c>
      <c r="B5511" s="5" t="s">
        <v>5514</v>
      </c>
      <c r="C5511" s="17">
        <v>20230101</v>
      </c>
      <c r="D5511" s="17">
        <v>22991231</v>
      </c>
      <c r="E5511" s="25">
        <v>0</v>
      </c>
    </row>
    <row r="5512" spans="1:5" x14ac:dyDescent="0.3">
      <c r="A5512" s="17" t="str">
        <f>"C1885"</f>
        <v>C1885</v>
      </c>
      <c r="B5512" s="5" t="s">
        <v>5515</v>
      </c>
      <c r="C5512" s="17">
        <v>20230101</v>
      </c>
      <c r="D5512" s="17">
        <v>22991231</v>
      </c>
      <c r="E5512" s="25">
        <v>0</v>
      </c>
    </row>
    <row r="5513" spans="1:5" ht="26" x14ac:dyDescent="0.3">
      <c r="A5513" s="17" t="str">
        <f>"C1886"</f>
        <v>C1886</v>
      </c>
      <c r="B5513" s="5" t="s">
        <v>5516</v>
      </c>
      <c r="C5513" s="17">
        <v>20230101</v>
      </c>
      <c r="D5513" s="17">
        <v>22991231</v>
      </c>
      <c r="E5513" s="25">
        <v>0</v>
      </c>
    </row>
    <row r="5514" spans="1:5" ht="26" x14ac:dyDescent="0.3">
      <c r="A5514" s="17" t="str">
        <f>"C1887"</f>
        <v>C1887</v>
      </c>
      <c r="B5514" s="5" t="s">
        <v>5517</v>
      </c>
      <c r="C5514" s="17">
        <v>20230101</v>
      </c>
      <c r="D5514" s="17">
        <v>22991231</v>
      </c>
      <c r="E5514" s="25">
        <v>0</v>
      </c>
    </row>
    <row r="5515" spans="1:5" ht="26" x14ac:dyDescent="0.3">
      <c r="A5515" s="17" t="str">
        <f>"C1888"</f>
        <v>C1888</v>
      </c>
      <c r="B5515" s="5" t="s">
        <v>5518</v>
      </c>
      <c r="C5515" s="17">
        <v>20230101</v>
      </c>
      <c r="D5515" s="17">
        <v>22991231</v>
      </c>
      <c r="E5515" s="25">
        <v>0</v>
      </c>
    </row>
    <row r="5516" spans="1:5" ht="26" x14ac:dyDescent="0.3">
      <c r="A5516" s="17" t="str">
        <f>"C1889"</f>
        <v>C1889</v>
      </c>
      <c r="B5516" s="5" t="s">
        <v>5519</v>
      </c>
      <c r="C5516" s="17">
        <v>20230101</v>
      </c>
      <c r="D5516" s="17">
        <v>22991231</v>
      </c>
      <c r="E5516" s="25">
        <v>0</v>
      </c>
    </row>
    <row r="5517" spans="1:5" ht="26" x14ac:dyDescent="0.3">
      <c r="A5517" s="17" t="str">
        <f>"C1890"</f>
        <v>C1890</v>
      </c>
      <c r="B5517" s="5" t="s">
        <v>5520</v>
      </c>
      <c r="C5517" s="17">
        <v>20230101</v>
      </c>
      <c r="D5517" s="17">
        <v>22991231</v>
      </c>
      <c r="E5517" s="25">
        <v>0</v>
      </c>
    </row>
    <row r="5518" spans="1:5" ht="26" x14ac:dyDescent="0.3">
      <c r="A5518" s="17" t="str">
        <f>"C1891"</f>
        <v>C1891</v>
      </c>
      <c r="B5518" s="5" t="s">
        <v>5521</v>
      </c>
      <c r="C5518" s="17">
        <v>20230101</v>
      </c>
      <c r="D5518" s="17">
        <v>22991231</v>
      </c>
      <c r="E5518" s="25">
        <v>0</v>
      </c>
    </row>
    <row r="5519" spans="1:5" ht="26" x14ac:dyDescent="0.3">
      <c r="A5519" s="17" t="str">
        <f>"C1892"</f>
        <v>C1892</v>
      </c>
      <c r="B5519" s="5" t="s">
        <v>5522</v>
      </c>
      <c r="C5519" s="17">
        <v>20230101</v>
      </c>
      <c r="D5519" s="17">
        <v>22991231</v>
      </c>
      <c r="E5519" s="25">
        <v>0</v>
      </c>
    </row>
    <row r="5520" spans="1:5" ht="39" x14ac:dyDescent="0.3">
      <c r="A5520" s="17" t="str">
        <f>"C1893"</f>
        <v>C1893</v>
      </c>
      <c r="B5520" s="5" t="s">
        <v>5523</v>
      </c>
      <c r="C5520" s="17">
        <v>20230101</v>
      </c>
      <c r="D5520" s="17">
        <v>22991231</v>
      </c>
      <c r="E5520" s="25">
        <v>0</v>
      </c>
    </row>
    <row r="5521" spans="1:5" ht="26" x14ac:dyDescent="0.3">
      <c r="A5521" s="17" t="str">
        <f>"C1894"</f>
        <v>C1894</v>
      </c>
      <c r="B5521" s="5" t="s">
        <v>5524</v>
      </c>
      <c r="C5521" s="17">
        <v>20160101</v>
      </c>
      <c r="D5521" s="17">
        <v>22991231</v>
      </c>
      <c r="E5521" s="25">
        <v>0</v>
      </c>
    </row>
    <row r="5522" spans="1:5" ht="26" x14ac:dyDescent="0.3">
      <c r="A5522" s="17" t="str">
        <f>"C1895"</f>
        <v>C1895</v>
      </c>
      <c r="B5522" s="5" t="s">
        <v>5525</v>
      </c>
      <c r="C5522" s="17">
        <v>20230101</v>
      </c>
      <c r="D5522" s="17">
        <v>22991231</v>
      </c>
      <c r="E5522" s="25">
        <v>0</v>
      </c>
    </row>
    <row r="5523" spans="1:5" ht="26" x14ac:dyDescent="0.3">
      <c r="A5523" s="17" t="str">
        <f>"C1896"</f>
        <v>C1896</v>
      </c>
      <c r="B5523" s="5" t="s">
        <v>5526</v>
      </c>
      <c r="C5523" s="17">
        <v>20230101</v>
      </c>
      <c r="D5523" s="17">
        <v>22991231</v>
      </c>
      <c r="E5523" s="25">
        <v>0</v>
      </c>
    </row>
    <row r="5524" spans="1:5" x14ac:dyDescent="0.3">
      <c r="A5524" s="17" t="str">
        <f>"C1897"</f>
        <v>C1897</v>
      </c>
      <c r="B5524" s="5" t="s">
        <v>5527</v>
      </c>
      <c r="C5524" s="17">
        <v>20230101</v>
      </c>
      <c r="D5524" s="17">
        <v>22991231</v>
      </c>
      <c r="E5524" s="25">
        <v>0</v>
      </c>
    </row>
    <row r="5525" spans="1:5" ht="26" x14ac:dyDescent="0.3">
      <c r="A5525" s="17" t="str">
        <f>"C1898"</f>
        <v>C1898</v>
      </c>
      <c r="B5525" s="5" t="s">
        <v>5528</v>
      </c>
      <c r="C5525" s="17">
        <v>20230101</v>
      </c>
      <c r="D5525" s="17">
        <v>22991231</v>
      </c>
      <c r="E5525" s="25">
        <v>0</v>
      </c>
    </row>
    <row r="5526" spans="1:5" ht="26" x14ac:dyDescent="0.3">
      <c r="A5526" s="17" t="str">
        <f>"C1899"</f>
        <v>C1899</v>
      </c>
      <c r="B5526" s="5" t="s">
        <v>5529</v>
      </c>
      <c r="C5526" s="17">
        <v>20230101</v>
      </c>
      <c r="D5526" s="17">
        <v>22991231</v>
      </c>
      <c r="E5526" s="25">
        <v>0</v>
      </c>
    </row>
    <row r="5527" spans="1:5" x14ac:dyDescent="0.3">
      <c r="A5527" s="17" t="str">
        <f>"C1900"</f>
        <v>C1900</v>
      </c>
      <c r="B5527" s="5" t="s">
        <v>5530</v>
      </c>
      <c r="C5527" s="17">
        <v>20230101</v>
      </c>
      <c r="D5527" s="17">
        <v>22991231</v>
      </c>
      <c r="E5527" s="25">
        <v>0</v>
      </c>
    </row>
    <row r="5528" spans="1:5" ht="26" x14ac:dyDescent="0.3">
      <c r="A5528" s="17" t="str">
        <f>"C1982"</f>
        <v>C1982</v>
      </c>
      <c r="B5528" s="5" t="s">
        <v>5531</v>
      </c>
      <c r="C5528" s="17">
        <v>20230101</v>
      </c>
      <c r="D5528" s="17">
        <v>22991231</v>
      </c>
      <c r="E5528" s="25">
        <v>0</v>
      </c>
    </row>
    <row r="5529" spans="1:5" x14ac:dyDescent="0.3">
      <c r="A5529" s="17" t="str">
        <f>"C2596"</f>
        <v>C2596</v>
      </c>
      <c r="B5529" s="5" t="s">
        <v>5532</v>
      </c>
      <c r="C5529" s="17">
        <v>20230101</v>
      </c>
      <c r="D5529" s="17">
        <v>22991231</v>
      </c>
      <c r="E5529" s="25">
        <v>0</v>
      </c>
    </row>
    <row r="5530" spans="1:5" x14ac:dyDescent="0.3">
      <c r="A5530" s="17" t="str">
        <f>"C2613"</f>
        <v>C2613</v>
      </c>
      <c r="B5530" s="5" t="s">
        <v>5533</v>
      </c>
      <c r="C5530" s="17">
        <v>20230101</v>
      </c>
      <c r="D5530" s="17">
        <v>22991231</v>
      </c>
      <c r="E5530" s="25">
        <v>0</v>
      </c>
    </row>
    <row r="5531" spans="1:5" x14ac:dyDescent="0.3">
      <c r="A5531" s="17" t="str">
        <f>"C2614"</f>
        <v>C2614</v>
      </c>
      <c r="B5531" s="5" t="s">
        <v>5534</v>
      </c>
      <c r="C5531" s="17">
        <v>20230101</v>
      </c>
      <c r="D5531" s="17">
        <v>22991231</v>
      </c>
      <c r="E5531" s="25">
        <v>0</v>
      </c>
    </row>
    <row r="5532" spans="1:5" x14ac:dyDescent="0.3">
      <c r="A5532" s="17" t="str">
        <f>"C2615"</f>
        <v>C2615</v>
      </c>
      <c r="B5532" s="5" t="s">
        <v>5535</v>
      </c>
      <c r="C5532" s="17">
        <v>20230101</v>
      </c>
      <c r="D5532" s="17">
        <v>22991231</v>
      </c>
      <c r="E5532" s="25">
        <v>0</v>
      </c>
    </row>
    <row r="5533" spans="1:5" ht="26" x14ac:dyDescent="0.3">
      <c r="A5533" s="17" t="str">
        <f>"C2616"</f>
        <v>C2616</v>
      </c>
      <c r="B5533" s="5" t="s">
        <v>5536</v>
      </c>
      <c r="C5533" s="17">
        <v>20230101</v>
      </c>
      <c r="D5533" s="17">
        <v>22991231</v>
      </c>
      <c r="E5533" s="25">
        <v>16406.62</v>
      </c>
    </row>
    <row r="5534" spans="1:5" ht="26" x14ac:dyDescent="0.3">
      <c r="A5534" s="17" t="str">
        <f>"C2617"</f>
        <v>C2617</v>
      </c>
      <c r="B5534" s="5" t="s">
        <v>5537</v>
      </c>
      <c r="C5534" s="17">
        <v>20230101</v>
      </c>
      <c r="D5534" s="17">
        <v>22991231</v>
      </c>
      <c r="E5534" s="25">
        <v>0</v>
      </c>
    </row>
    <row r="5535" spans="1:5" x14ac:dyDescent="0.3">
      <c r="A5535" s="17" t="str">
        <f>"C2618"</f>
        <v>C2618</v>
      </c>
      <c r="B5535" s="5" t="s">
        <v>5538</v>
      </c>
      <c r="C5535" s="17">
        <v>20230101</v>
      </c>
      <c r="D5535" s="17">
        <v>22991231</v>
      </c>
      <c r="E5535" s="25">
        <v>0</v>
      </c>
    </row>
    <row r="5536" spans="1:5" ht="26" x14ac:dyDescent="0.3">
      <c r="A5536" s="17" t="str">
        <f>"C2619"</f>
        <v>C2619</v>
      </c>
      <c r="B5536" s="5" t="s">
        <v>5539</v>
      </c>
      <c r="C5536" s="17">
        <v>20230101</v>
      </c>
      <c r="D5536" s="17">
        <v>22991231</v>
      </c>
      <c r="E5536" s="25">
        <v>0</v>
      </c>
    </row>
    <row r="5537" spans="1:5" ht="26" x14ac:dyDescent="0.3">
      <c r="A5537" s="17" t="str">
        <f>"C2620"</f>
        <v>C2620</v>
      </c>
      <c r="B5537" s="5" t="s">
        <v>5540</v>
      </c>
      <c r="C5537" s="17">
        <v>20230101</v>
      </c>
      <c r="D5537" s="17">
        <v>22991231</v>
      </c>
      <c r="E5537" s="25">
        <v>0</v>
      </c>
    </row>
    <row r="5538" spans="1:5" ht="26" x14ac:dyDescent="0.3">
      <c r="A5538" s="17" t="str">
        <f>"C2621"</f>
        <v>C2621</v>
      </c>
      <c r="B5538" s="5" t="s">
        <v>5541</v>
      </c>
      <c r="C5538" s="17">
        <v>20230101</v>
      </c>
      <c r="D5538" s="17">
        <v>22991231</v>
      </c>
      <c r="E5538" s="25">
        <v>0</v>
      </c>
    </row>
    <row r="5539" spans="1:5" x14ac:dyDescent="0.3">
      <c r="A5539" s="17" t="str">
        <f>"C2622"</f>
        <v>C2622</v>
      </c>
      <c r="B5539" s="5" t="s">
        <v>5542</v>
      </c>
      <c r="C5539" s="17">
        <v>20230101</v>
      </c>
      <c r="D5539" s="17">
        <v>22991231</v>
      </c>
      <c r="E5539" s="25">
        <v>0</v>
      </c>
    </row>
    <row r="5540" spans="1:5" ht="26" x14ac:dyDescent="0.3">
      <c r="A5540" s="17" t="str">
        <f>"C2623"</f>
        <v>C2623</v>
      </c>
      <c r="B5540" s="5" t="s">
        <v>5543</v>
      </c>
      <c r="C5540" s="17">
        <v>20230101</v>
      </c>
      <c r="D5540" s="17">
        <v>22991231</v>
      </c>
      <c r="E5540" s="25">
        <v>0</v>
      </c>
    </row>
    <row r="5541" spans="1:5" ht="39" x14ac:dyDescent="0.3">
      <c r="A5541" s="17" t="str">
        <f>"C2624"</f>
        <v>C2624</v>
      </c>
      <c r="B5541" s="5" t="s">
        <v>5544</v>
      </c>
      <c r="C5541" s="17">
        <v>20230101</v>
      </c>
      <c r="D5541" s="17">
        <v>22991231</v>
      </c>
      <c r="E5541" s="25">
        <v>0</v>
      </c>
    </row>
    <row r="5542" spans="1:5" ht="26" x14ac:dyDescent="0.3">
      <c r="A5542" s="17" t="str">
        <f>"C2625"</f>
        <v>C2625</v>
      </c>
      <c r="B5542" s="5" t="s">
        <v>5545</v>
      </c>
      <c r="C5542" s="17">
        <v>20230101</v>
      </c>
      <c r="D5542" s="17">
        <v>22991231</v>
      </c>
      <c r="E5542" s="25">
        <v>0</v>
      </c>
    </row>
    <row r="5543" spans="1:5" ht="26" x14ac:dyDescent="0.3">
      <c r="A5543" s="17" t="str">
        <f>"C2626"</f>
        <v>C2626</v>
      </c>
      <c r="B5543" s="5" t="s">
        <v>5546</v>
      </c>
      <c r="C5543" s="17">
        <v>20230101</v>
      </c>
      <c r="D5543" s="17">
        <v>22991231</v>
      </c>
      <c r="E5543" s="25">
        <v>0</v>
      </c>
    </row>
    <row r="5544" spans="1:5" x14ac:dyDescent="0.3">
      <c r="A5544" s="17" t="str">
        <f>"C2627"</f>
        <v>C2627</v>
      </c>
      <c r="B5544" s="5" t="s">
        <v>5547</v>
      </c>
      <c r="C5544" s="17">
        <v>20230101</v>
      </c>
      <c r="D5544" s="17">
        <v>22991231</v>
      </c>
      <c r="E5544" s="25">
        <v>0</v>
      </c>
    </row>
    <row r="5545" spans="1:5" x14ac:dyDescent="0.3">
      <c r="A5545" s="17" t="str">
        <f>"C2628"</f>
        <v>C2628</v>
      </c>
      <c r="B5545" s="5" t="s">
        <v>5548</v>
      </c>
      <c r="C5545" s="17">
        <v>20230101</v>
      </c>
      <c r="D5545" s="17">
        <v>22991231</v>
      </c>
      <c r="E5545" s="25">
        <v>0</v>
      </c>
    </row>
    <row r="5546" spans="1:5" ht="26" x14ac:dyDescent="0.3">
      <c r="A5546" s="17" t="str">
        <f>"C2629"</f>
        <v>C2629</v>
      </c>
      <c r="B5546" s="5" t="s">
        <v>5549</v>
      </c>
      <c r="C5546" s="17">
        <v>20230101</v>
      </c>
      <c r="D5546" s="17">
        <v>22991231</v>
      </c>
      <c r="E5546" s="25">
        <v>0</v>
      </c>
    </row>
    <row r="5547" spans="1:5" ht="26" x14ac:dyDescent="0.3">
      <c r="A5547" s="17" t="str">
        <f>"C2630"</f>
        <v>C2630</v>
      </c>
      <c r="B5547" s="5" t="s">
        <v>5550</v>
      </c>
      <c r="C5547" s="17">
        <v>20230101</v>
      </c>
      <c r="D5547" s="17">
        <v>22991231</v>
      </c>
      <c r="E5547" s="25">
        <v>0</v>
      </c>
    </row>
    <row r="5548" spans="1:5" ht="26" x14ac:dyDescent="0.3">
      <c r="A5548" s="17" t="str">
        <f>"C2631"</f>
        <v>C2631</v>
      </c>
      <c r="B5548" s="5" t="s">
        <v>5551</v>
      </c>
      <c r="C5548" s="17">
        <v>20230101</v>
      </c>
      <c r="D5548" s="17">
        <v>22991231</v>
      </c>
      <c r="E5548" s="25">
        <v>0</v>
      </c>
    </row>
    <row r="5549" spans="1:5" ht="39" x14ac:dyDescent="0.3">
      <c r="A5549" s="17" t="str">
        <f>"C2634"</f>
        <v>C2634</v>
      </c>
      <c r="B5549" s="5" t="s">
        <v>5552</v>
      </c>
      <c r="C5549" s="17">
        <v>20230101</v>
      </c>
      <c r="D5549" s="17">
        <v>22991231</v>
      </c>
      <c r="E5549" s="25">
        <v>144.05000000000001</v>
      </c>
    </row>
    <row r="5550" spans="1:5" ht="39" x14ac:dyDescent="0.3">
      <c r="A5550" s="17" t="str">
        <f>"C2635"</f>
        <v>C2635</v>
      </c>
      <c r="B5550" s="5" t="s">
        <v>5553</v>
      </c>
      <c r="C5550" s="17">
        <v>20230101</v>
      </c>
      <c r="D5550" s="17">
        <v>22991231</v>
      </c>
      <c r="E5550" s="25">
        <v>56.48</v>
      </c>
    </row>
    <row r="5551" spans="1:5" ht="26" x14ac:dyDescent="0.3">
      <c r="A5551" s="17" t="str">
        <f>"C2636"</f>
        <v>C2636</v>
      </c>
      <c r="B5551" s="5" t="s">
        <v>5554</v>
      </c>
      <c r="C5551" s="17">
        <v>20230101</v>
      </c>
      <c r="D5551" s="17">
        <v>22991231</v>
      </c>
      <c r="E5551" s="25">
        <v>51.63</v>
      </c>
    </row>
    <row r="5552" spans="1:5" ht="26" x14ac:dyDescent="0.3">
      <c r="A5552" s="17" t="str">
        <f>"C2638"</f>
        <v>C2638</v>
      </c>
      <c r="B5552" s="5" t="s">
        <v>5555</v>
      </c>
      <c r="C5552" s="17">
        <v>20230101</v>
      </c>
      <c r="D5552" s="17">
        <v>22991231</v>
      </c>
      <c r="E5552" s="25">
        <v>39.909999999999997</v>
      </c>
    </row>
    <row r="5553" spans="1:5" ht="26" x14ac:dyDescent="0.3">
      <c r="A5553" s="17" t="str">
        <f>"C2639"</f>
        <v>C2639</v>
      </c>
      <c r="B5553" s="5" t="s">
        <v>5556</v>
      </c>
      <c r="C5553" s="17">
        <v>20230101</v>
      </c>
      <c r="D5553" s="17">
        <v>22991231</v>
      </c>
      <c r="E5553" s="25">
        <v>33.380000000000003</v>
      </c>
    </row>
    <row r="5554" spans="1:5" ht="26" x14ac:dyDescent="0.3">
      <c r="A5554" s="17" t="str">
        <f>"C2640"</f>
        <v>C2640</v>
      </c>
      <c r="B5554" s="5" t="s">
        <v>5557</v>
      </c>
      <c r="C5554" s="17">
        <v>20230101</v>
      </c>
      <c r="D5554" s="17">
        <v>22991231</v>
      </c>
      <c r="E5554" s="25">
        <v>72.77</v>
      </c>
    </row>
    <row r="5555" spans="1:5" ht="26" x14ac:dyDescent="0.3">
      <c r="A5555" s="17" t="str">
        <f>"C2641"</f>
        <v>C2641</v>
      </c>
      <c r="B5555" s="5" t="s">
        <v>5558</v>
      </c>
      <c r="C5555" s="17">
        <v>20230101</v>
      </c>
      <c r="D5555" s="17">
        <v>22991231</v>
      </c>
      <c r="E5555" s="25">
        <v>70.55</v>
      </c>
    </row>
    <row r="5556" spans="1:5" ht="26" x14ac:dyDescent="0.3">
      <c r="A5556" s="17" t="str">
        <f>"C2642"</f>
        <v>C2642</v>
      </c>
      <c r="B5556" s="5" t="s">
        <v>5559</v>
      </c>
      <c r="C5556" s="17">
        <v>20230101</v>
      </c>
      <c r="D5556" s="17">
        <v>22991231</v>
      </c>
      <c r="E5556" s="25">
        <v>93.14</v>
      </c>
    </row>
    <row r="5557" spans="1:5" ht="26" x14ac:dyDescent="0.3">
      <c r="A5557" s="17" t="str">
        <f>"C2643"</f>
        <v>C2643</v>
      </c>
      <c r="B5557" s="5" t="s">
        <v>5560</v>
      </c>
      <c r="C5557" s="17">
        <v>20230101</v>
      </c>
      <c r="D5557" s="17">
        <v>22991231</v>
      </c>
      <c r="E5557" s="25">
        <v>76.73</v>
      </c>
    </row>
    <row r="5558" spans="1:5" ht="26" x14ac:dyDescent="0.3">
      <c r="A5558" s="17" t="str">
        <f>"C2644"</f>
        <v>C2644</v>
      </c>
      <c r="B5558" s="5" t="s">
        <v>5561</v>
      </c>
      <c r="C5558" s="17">
        <v>20230101</v>
      </c>
      <c r="D5558" s="17">
        <v>22991231</v>
      </c>
      <c r="E5558" s="25">
        <v>0</v>
      </c>
    </row>
    <row r="5559" spans="1:5" ht="26" x14ac:dyDescent="0.3">
      <c r="A5559" s="17" t="str">
        <f>"C2645"</f>
        <v>C2645</v>
      </c>
      <c r="B5559" s="5" t="s">
        <v>5562</v>
      </c>
      <c r="C5559" s="17">
        <v>20230101</v>
      </c>
      <c r="D5559" s="17">
        <v>22991231</v>
      </c>
      <c r="E5559" s="25">
        <v>4.4800000000000004</v>
      </c>
    </row>
    <row r="5560" spans="1:5" ht="26" x14ac:dyDescent="0.3">
      <c r="A5560" s="17" t="str">
        <f>"C2698"</f>
        <v>C2698</v>
      </c>
      <c r="B5560" s="5" t="s">
        <v>5563</v>
      </c>
      <c r="C5560" s="17">
        <v>20230101</v>
      </c>
      <c r="D5560" s="17">
        <v>22991231</v>
      </c>
      <c r="E5560" s="25">
        <v>39.909999999999997</v>
      </c>
    </row>
    <row r="5561" spans="1:5" ht="26" x14ac:dyDescent="0.3">
      <c r="A5561" s="17" t="str">
        <f>"C2699"</f>
        <v>C2699</v>
      </c>
      <c r="B5561" s="5" t="s">
        <v>5564</v>
      </c>
      <c r="C5561" s="17">
        <v>20230101</v>
      </c>
      <c r="D5561" s="17">
        <v>22991231</v>
      </c>
      <c r="E5561" s="25">
        <v>33.380000000000003</v>
      </c>
    </row>
    <row r="5562" spans="1:5" ht="52" x14ac:dyDescent="0.3">
      <c r="A5562" s="17" t="str">
        <f>"C5271"</f>
        <v>C5271</v>
      </c>
      <c r="B5562" s="5" t="s">
        <v>5565</v>
      </c>
      <c r="C5562" s="17">
        <v>20230101</v>
      </c>
      <c r="D5562" s="17">
        <v>22991231</v>
      </c>
      <c r="E5562" s="25">
        <v>311.18</v>
      </c>
    </row>
    <row r="5563" spans="1:5" ht="65" x14ac:dyDescent="0.3">
      <c r="A5563" s="17" t="str">
        <f>"C5272"</f>
        <v>C5272</v>
      </c>
      <c r="B5563" s="5" t="s">
        <v>5566</v>
      </c>
      <c r="C5563" s="17">
        <v>20230101</v>
      </c>
      <c r="D5563" s="17">
        <v>22991231</v>
      </c>
      <c r="E5563" s="25">
        <v>0</v>
      </c>
    </row>
    <row r="5564" spans="1:5" ht="65" x14ac:dyDescent="0.3">
      <c r="A5564" s="17" t="str">
        <f>"C5273"</f>
        <v>C5273</v>
      </c>
      <c r="B5564" s="5" t="s">
        <v>5567</v>
      </c>
      <c r="C5564" s="17">
        <v>20230101</v>
      </c>
      <c r="D5564" s="17">
        <v>22991231</v>
      </c>
      <c r="E5564" s="25">
        <v>903.54</v>
      </c>
    </row>
    <row r="5565" spans="1:5" ht="104" x14ac:dyDescent="0.3">
      <c r="A5565" s="17" t="str">
        <f>"C5274"</f>
        <v>C5274</v>
      </c>
      <c r="B5565" s="5" t="s">
        <v>5568</v>
      </c>
      <c r="C5565" s="17">
        <v>20230101</v>
      </c>
      <c r="D5565" s="17">
        <v>22991231</v>
      </c>
      <c r="E5565" s="25">
        <v>0</v>
      </c>
    </row>
    <row r="5566" spans="1:5" ht="65" x14ac:dyDescent="0.3">
      <c r="A5566" s="17" t="str">
        <f>"C5275"</f>
        <v>C5275</v>
      </c>
      <c r="B5566" s="5" t="s">
        <v>5569</v>
      </c>
      <c r="C5566" s="17">
        <v>20230101</v>
      </c>
      <c r="D5566" s="17">
        <v>22991231</v>
      </c>
      <c r="E5566" s="25">
        <v>311.18</v>
      </c>
    </row>
    <row r="5567" spans="1:5" ht="91" x14ac:dyDescent="0.3">
      <c r="A5567" s="17" t="str">
        <f>"C5276"</f>
        <v>C5276</v>
      </c>
      <c r="B5567" s="5" t="s">
        <v>5570</v>
      </c>
      <c r="C5567" s="17">
        <v>20230101</v>
      </c>
      <c r="D5567" s="17">
        <v>22991231</v>
      </c>
      <c r="E5567" s="25">
        <v>0</v>
      </c>
    </row>
    <row r="5568" spans="1:5" ht="78" x14ac:dyDescent="0.3">
      <c r="A5568" s="17" t="str">
        <f>"C5277"</f>
        <v>C5277</v>
      </c>
      <c r="B5568" s="5" t="s">
        <v>5571</v>
      </c>
      <c r="C5568" s="17">
        <v>20230101</v>
      </c>
      <c r="D5568" s="17">
        <v>22991231</v>
      </c>
      <c r="E5568" s="25">
        <v>311.18</v>
      </c>
    </row>
    <row r="5569" spans="1:5" ht="117" x14ac:dyDescent="0.3">
      <c r="A5569" s="17" t="str">
        <f>"C5278"</f>
        <v>C5278</v>
      </c>
      <c r="B5569" s="5" t="s">
        <v>5572</v>
      </c>
      <c r="C5569" s="17">
        <v>20230101</v>
      </c>
      <c r="D5569" s="17">
        <v>22991231</v>
      </c>
      <c r="E5569" s="25">
        <v>0</v>
      </c>
    </row>
    <row r="5570" spans="1:5" ht="65" x14ac:dyDescent="0.3">
      <c r="A5570" s="17" t="str">
        <f>"C7500"</f>
        <v>C7500</v>
      </c>
      <c r="B5570" s="5" t="s">
        <v>5573</v>
      </c>
      <c r="C5570" s="17">
        <v>20230101</v>
      </c>
      <c r="D5570" s="17">
        <v>22991231</v>
      </c>
      <c r="E5570" s="25">
        <v>1105.24</v>
      </c>
    </row>
    <row r="5571" spans="1:5" ht="91" x14ac:dyDescent="0.3">
      <c r="A5571" s="17" t="str">
        <f>"C7501"</f>
        <v>C7501</v>
      </c>
      <c r="B5571" s="5" t="s">
        <v>5574</v>
      </c>
      <c r="C5571" s="17">
        <v>20230101</v>
      </c>
      <c r="D5571" s="17">
        <v>22991231</v>
      </c>
      <c r="E5571" s="25">
        <v>1105.24</v>
      </c>
    </row>
    <row r="5572" spans="1:5" ht="91" x14ac:dyDescent="0.3">
      <c r="A5572" s="17" t="str">
        <f>"C7502"</f>
        <v>C7502</v>
      </c>
      <c r="B5572" s="5" t="s">
        <v>5575</v>
      </c>
      <c r="C5572" s="17">
        <v>20230101</v>
      </c>
      <c r="D5572" s="17">
        <v>22991231</v>
      </c>
      <c r="E5572" s="25">
        <v>1105.24</v>
      </c>
    </row>
    <row r="5573" spans="1:5" ht="52" x14ac:dyDescent="0.3">
      <c r="A5573" s="17" t="str">
        <f>"C7503"</f>
        <v>C7503</v>
      </c>
      <c r="B5573" s="5" t="s">
        <v>5576</v>
      </c>
      <c r="C5573" s="17">
        <v>20230101</v>
      </c>
      <c r="D5573" s="17">
        <v>22991231</v>
      </c>
      <c r="E5573" s="25">
        <v>2422.23</v>
      </c>
    </row>
    <row r="5574" spans="1:5" ht="78" x14ac:dyDescent="0.3">
      <c r="A5574" s="17" t="str">
        <f>"C7504"</f>
        <v>C7504</v>
      </c>
      <c r="B5574" s="5" t="s">
        <v>5577</v>
      </c>
      <c r="C5574" s="17">
        <v>20230101</v>
      </c>
      <c r="D5574" s="17">
        <v>22991231</v>
      </c>
      <c r="E5574" s="25">
        <v>3240.75</v>
      </c>
    </row>
    <row r="5575" spans="1:5" ht="65" x14ac:dyDescent="0.3">
      <c r="A5575" s="17" t="str">
        <f>"C7505"</f>
        <v>C7505</v>
      </c>
      <c r="B5575" s="5" t="s">
        <v>5578</v>
      </c>
      <c r="C5575" s="17">
        <v>20230101</v>
      </c>
      <c r="D5575" s="17">
        <v>22991231</v>
      </c>
      <c r="E5575" s="25">
        <v>3240.75</v>
      </c>
    </row>
    <row r="5576" spans="1:5" ht="26" x14ac:dyDescent="0.3">
      <c r="A5576" s="17" t="str">
        <f>"C7506"</f>
        <v>C7506</v>
      </c>
      <c r="B5576" s="5" t="s">
        <v>5579</v>
      </c>
      <c r="C5576" s="17">
        <v>20230101</v>
      </c>
      <c r="D5576" s="17">
        <v>22991231</v>
      </c>
      <c r="E5576" s="25">
        <v>3240.75</v>
      </c>
    </row>
    <row r="5577" spans="1:5" ht="91" x14ac:dyDescent="0.3">
      <c r="A5577" s="17" t="str">
        <f>"C7507"</f>
        <v>C7507</v>
      </c>
      <c r="B5577" s="5" t="s">
        <v>5580</v>
      </c>
      <c r="C5577" s="17">
        <v>20230101</v>
      </c>
      <c r="D5577" s="17">
        <v>22991231</v>
      </c>
      <c r="E5577" s="25">
        <v>6208.9</v>
      </c>
    </row>
    <row r="5578" spans="1:5" ht="91" x14ac:dyDescent="0.3">
      <c r="A5578" s="17" t="str">
        <f>"C7508"</f>
        <v>C7508</v>
      </c>
      <c r="B5578" s="5" t="s">
        <v>5581</v>
      </c>
      <c r="C5578" s="17">
        <v>20230101</v>
      </c>
      <c r="D5578" s="17">
        <v>22991231</v>
      </c>
      <c r="E5578" s="25">
        <v>6208.9</v>
      </c>
    </row>
    <row r="5579" spans="1:5" ht="52" x14ac:dyDescent="0.3">
      <c r="A5579" s="17" t="str">
        <f>"C7509"</f>
        <v>C7509</v>
      </c>
      <c r="B5579" s="5" t="s">
        <v>5582</v>
      </c>
      <c r="C5579" s="17">
        <v>20230101</v>
      </c>
      <c r="D5579" s="17">
        <v>22991231</v>
      </c>
      <c r="E5579" s="25">
        <v>1496.36</v>
      </c>
    </row>
    <row r="5580" spans="1:5" ht="52" x14ac:dyDescent="0.3">
      <c r="A5580" s="17" t="str">
        <f>"C7510"</f>
        <v>C7510</v>
      </c>
      <c r="B5580" s="5" t="s">
        <v>5583</v>
      </c>
      <c r="C5580" s="17">
        <v>20230101</v>
      </c>
      <c r="D5580" s="17">
        <v>22991231</v>
      </c>
      <c r="E5580" s="25">
        <v>1496.36</v>
      </c>
    </row>
    <row r="5581" spans="1:5" ht="65" x14ac:dyDescent="0.3">
      <c r="A5581" s="17" t="str">
        <f>"C7511"</f>
        <v>C7511</v>
      </c>
      <c r="B5581" s="5" t="s">
        <v>5584</v>
      </c>
      <c r="C5581" s="17">
        <v>20230101</v>
      </c>
      <c r="D5581" s="17">
        <v>22991231</v>
      </c>
      <c r="E5581" s="25">
        <v>1496.36</v>
      </c>
    </row>
    <row r="5582" spans="1:5" ht="91" x14ac:dyDescent="0.3">
      <c r="A5582" s="17" t="str">
        <f>"C7512"</f>
        <v>C7512</v>
      </c>
      <c r="B5582" s="5" t="s">
        <v>5585</v>
      </c>
      <c r="C5582" s="17">
        <v>20230101</v>
      </c>
      <c r="D5582" s="17">
        <v>22991231</v>
      </c>
      <c r="E5582" s="25">
        <v>1496.36</v>
      </c>
    </row>
    <row r="5583" spans="1:5" ht="169" x14ac:dyDescent="0.3">
      <c r="A5583" s="17" t="str">
        <f>"C7513"</f>
        <v>C7513</v>
      </c>
      <c r="B5583" s="5" t="s">
        <v>5586</v>
      </c>
      <c r="C5583" s="17">
        <v>20230101</v>
      </c>
      <c r="D5583" s="17">
        <v>22991231</v>
      </c>
      <c r="E5583" s="25">
        <v>1478.57</v>
      </c>
    </row>
    <row r="5584" spans="1:5" ht="182" x14ac:dyDescent="0.3">
      <c r="A5584" s="17" t="str">
        <f>"C7514"</f>
        <v>C7514</v>
      </c>
      <c r="B5584" s="5" t="s">
        <v>5587</v>
      </c>
      <c r="C5584" s="17">
        <v>20230101</v>
      </c>
      <c r="D5584" s="17">
        <v>22991231</v>
      </c>
      <c r="E5584" s="25">
        <v>1478.57</v>
      </c>
    </row>
    <row r="5585" spans="1:5" ht="169" x14ac:dyDescent="0.3">
      <c r="A5585" s="17" t="str">
        <f>"C7515"</f>
        <v>C7515</v>
      </c>
      <c r="B5585" s="5" t="s">
        <v>5588</v>
      </c>
      <c r="C5585" s="17">
        <v>20230101</v>
      </c>
      <c r="D5585" s="17">
        <v>22991231</v>
      </c>
      <c r="E5585" s="25">
        <v>1478.57</v>
      </c>
    </row>
    <row r="5586" spans="1:5" ht="117" x14ac:dyDescent="0.3">
      <c r="A5586" s="17" t="str">
        <f>"C7516"</f>
        <v>C7516</v>
      </c>
      <c r="B5586" s="5" t="s">
        <v>5589</v>
      </c>
      <c r="C5586" s="17">
        <v>20230101</v>
      </c>
      <c r="D5586" s="17">
        <v>22991231</v>
      </c>
      <c r="E5586" s="25">
        <v>2412.7800000000002</v>
      </c>
    </row>
    <row r="5587" spans="1:5" ht="156" x14ac:dyDescent="0.3">
      <c r="A5587" s="17" t="str">
        <f>"C7517"</f>
        <v>C7517</v>
      </c>
      <c r="B5587" s="5" t="s">
        <v>5590</v>
      </c>
      <c r="C5587" s="17">
        <v>20230101</v>
      </c>
      <c r="D5587" s="17">
        <v>22991231</v>
      </c>
      <c r="E5587" s="25">
        <v>2412.7800000000002</v>
      </c>
    </row>
    <row r="5588" spans="1:5" ht="208" x14ac:dyDescent="0.3">
      <c r="A5588" s="17" t="str">
        <f>"C7520"</f>
        <v>C7520</v>
      </c>
      <c r="B5588" s="5" t="s">
        <v>5591</v>
      </c>
      <c r="C5588" s="17">
        <v>20230101</v>
      </c>
      <c r="D5588" s="17">
        <v>22991231</v>
      </c>
      <c r="E5588" s="25">
        <v>2412.7800000000002</v>
      </c>
    </row>
    <row r="5589" spans="1:5" ht="130" x14ac:dyDescent="0.3">
      <c r="A5589" s="17" t="str">
        <f>"C7521"</f>
        <v>C7521</v>
      </c>
      <c r="B5589" s="5" t="s">
        <v>5592</v>
      </c>
      <c r="C5589" s="17">
        <v>20230101</v>
      </c>
      <c r="D5589" s="17">
        <v>22991231</v>
      </c>
      <c r="E5589" s="25">
        <v>2412.7800000000002</v>
      </c>
    </row>
    <row r="5590" spans="1:5" ht="117" x14ac:dyDescent="0.3">
      <c r="A5590" s="17" t="str">
        <f>"C7522"</f>
        <v>C7522</v>
      </c>
      <c r="B5590" s="5" t="s">
        <v>5593</v>
      </c>
      <c r="C5590" s="17">
        <v>20230101</v>
      </c>
      <c r="D5590" s="17">
        <v>22991231</v>
      </c>
      <c r="E5590" s="25">
        <v>2412.7800000000002</v>
      </c>
    </row>
    <row r="5591" spans="1:5" ht="156" x14ac:dyDescent="0.3">
      <c r="A5591" s="17" t="str">
        <f>"C7523"</f>
        <v>C7523</v>
      </c>
      <c r="B5591" s="5" t="s">
        <v>5594</v>
      </c>
      <c r="C5591" s="17">
        <v>20230101</v>
      </c>
      <c r="D5591" s="17">
        <v>22991231</v>
      </c>
      <c r="E5591" s="25">
        <v>2412.7800000000002</v>
      </c>
    </row>
    <row r="5592" spans="1:5" ht="143" x14ac:dyDescent="0.3">
      <c r="A5592" s="17" t="str">
        <f>"C7524"</f>
        <v>C7524</v>
      </c>
      <c r="B5592" s="5" t="s">
        <v>5595</v>
      </c>
      <c r="C5592" s="17">
        <v>20230101</v>
      </c>
      <c r="D5592" s="17">
        <v>22991231</v>
      </c>
      <c r="E5592" s="25">
        <v>2412.7800000000002</v>
      </c>
    </row>
    <row r="5593" spans="1:5" ht="195" x14ac:dyDescent="0.3">
      <c r="A5593" s="17" t="str">
        <f>"C7525"</f>
        <v>C7525</v>
      </c>
      <c r="B5593" s="5" t="s">
        <v>5596</v>
      </c>
      <c r="C5593" s="17">
        <v>20230101</v>
      </c>
      <c r="D5593" s="17">
        <v>22991231</v>
      </c>
      <c r="E5593" s="25">
        <v>2412.7800000000002</v>
      </c>
    </row>
    <row r="5594" spans="1:5" ht="182" x14ac:dyDescent="0.3">
      <c r="A5594" s="17" t="str">
        <f>"C7526"</f>
        <v>C7526</v>
      </c>
      <c r="B5594" s="5" t="s">
        <v>5597</v>
      </c>
      <c r="C5594" s="17">
        <v>20230101</v>
      </c>
      <c r="D5594" s="17">
        <v>22991231</v>
      </c>
      <c r="E5594" s="25">
        <v>2412.7800000000002</v>
      </c>
    </row>
    <row r="5595" spans="1:5" ht="156" x14ac:dyDescent="0.3">
      <c r="A5595" s="17" t="str">
        <f>"C7527"</f>
        <v>C7527</v>
      </c>
      <c r="B5595" s="5" t="s">
        <v>5598</v>
      </c>
      <c r="C5595" s="17">
        <v>20230101</v>
      </c>
      <c r="D5595" s="17">
        <v>22991231</v>
      </c>
      <c r="E5595" s="25">
        <v>2412.7800000000002</v>
      </c>
    </row>
    <row r="5596" spans="1:5" ht="143" x14ac:dyDescent="0.3">
      <c r="A5596" s="17" t="str">
        <f>"C7528"</f>
        <v>C7528</v>
      </c>
      <c r="B5596" s="5" t="s">
        <v>5599</v>
      </c>
      <c r="C5596" s="17">
        <v>20230101</v>
      </c>
      <c r="D5596" s="17">
        <v>22991231</v>
      </c>
      <c r="E5596" s="25">
        <v>2412.7800000000002</v>
      </c>
    </row>
    <row r="5597" spans="1:5" ht="182" x14ac:dyDescent="0.3">
      <c r="A5597" s="17" t="str">
        <f>"C7529"</f>
        <v>C7529</v>
      </c>
      <c r="B5597" s="5" t="s">
        <v>5600</v>
      </c>
      <c r="C5597" s="17">
        <v>20230101</v>
      </c>
      <c r="D5597" s="17">
        <v>22991231</v>
      </c>
      <c r="E5597" s="25">
        <v>2412.7800000000002</v>
      </c>
    </row>
    <row r="5598" spans="1:5" ht="234" x14ac:dyDescent="0.3">
      <c r="A5598" s="17" t="str">
        <f>"C7530"</f>
        <v>C7530</v>
      </c>
      <c r="B5598" s="5" t="s">
        <v>5601</v>
      </c>
      <c r="C5598" s="17">
        <v>20230101</v>
      </c>
      <c r="D5598" s="17">
        <v>22991231</v>
      </c>
      <c r="E5598" s="25">
        <v>4630.0600000000004</v>
      </c>
    </row>
    <row r="5599" spans="1:5" ht="91" x14ac:dyDescent="0.3">
      <c r="A5599" s="17" t="str">
        <f>"C7531"</f>
        <v>C7531</v>
      </c>
      <c r="B5599" s="5" t="s">
        <v>5602</v>
      </c>
      <c r="C5599" s="17">
        <v>20230101</v>
      </c>
      <c r="D5599" s="17">
        <v>22991231</v>
      </c>
      <c r="E5599" s="25">
        <v>5512.73</v>
      </c>
    </row>
    <row r="5600" spans="1:5" ht="143" x14ac:dyDescent="0.3">
      <c r="A5600" s="17" t="str">
        <f>"C7532"</f>
        <v>C7532</v>
      </c>
      <c r="B5600" s="5" t="s">
        <v>5603</v>
      </c>
      <c r="C5600" s="17">
        <v>20230101</v>
      </c>
      <c r="D5600" s="17">
        <v>22991231</v>
      </c>
      <c r="E5600" s="25">
        <v>5348.39</v>
      </c>
    </row>
    <row r="5601" spans="1:5" ht="65" x14ac:dyDescent="0.3">
      <c r="A5601" s="17" t="str">
        <f>"C7533"</f>
        <v>C7533</v>
      </c>
      <c r="B5601" s="5" t="s">
        <v>5604</v>
      </c>
      <c r="C5601" s="17">
        <v>20230101</v>
      </c>
      <c r="D5601" s="17">
        <v>22991231</v>
      </c>
      <c r="E5601" s="25">
        <v>5474.98</v>
      </c>
    </row>
    <row r="5602" spans="1:5" ht="117" x14ac:dyDescent="0.3">
      <c r="A5602" s="17" t="str">
        <f>"C7535"</f>
        <v>C7535</v>
      </c>
      <c r="B5602" s="5" t="s">
        <v>5605</v>
      </c>
      <c r="C5602" s="17">
        <v>20230101</v>
      </c>
      <c r="D5602" s="17">
        <v>22991231</v>
      </c>
      <c r="E5602" s="25">
        <v>9591.5300000000007</v>
      </c>
    </row>
    <row r="5603" spans="1:5" ht="91" x14ac:dyDescent="0.3">
      <c r="A5603" s="17" t="str">
        <f>"C7537"</f>
        <v>C7537</v>
      </c>
      <c r="B5603" s="5" t="s">
        <v>5606</v>
      </c>
      <c r="C5603" s="17">
        <v>20230101</v>
      </c>
      <c r="D5603" s="17">
        <v>22991231</v>
      </c>
      <c r="E5603" s="25">
        <v>10090.26</v>
      </c>
    </row>
    <row r="5604" spans="1:5" ht="91" x14ac:dyDescent="0.3">
      <c r="A5604" s="17" t="str">
        <f>"C7538"</f>
        <v>C7538</v>
      </c>
      <c r="B5604" s="5" t="s">
        <v>5607</v>
      </c>
      <c r="C5604" s="17">
        <v>20230101</v>
      </c>
      <c r="D5604" s="17">
        <v>22991231</v>
      </c>
      <c r="E5604" s="25">
        <v>10278.4</v>
      </c>
    </row>
    <row r="5605" spans="1:5" ht="104" x14ac:dyDescent="0.3">
      <c r="A5605" s="17" t="str">
        <f>"C7539"</f>
        <v>C7539</v>
      </c>
      <c r="B5605" s="5" t="s">
        <v>5608</v>
      </c>
      <c r="C5605" s="17">
        <v>20230101</v>
      </c>
      <c r="D5605" s="17">
        <v>22991231</v>
      </c>
      <c r="E5605" s="25">
        <v>10486.31</v>
      </c>
    </row>
    <row r="5606" spans="1:5" ht="104" x14ac:dyDescent="0.3">
      <c r="A5606" s="17" t="str">
        <f>"C7540"</f>
        <v>C7540</v>
      </c>
      <c r="B5606" s="5" t="s">
        <v>5609</v>
      </c>
      <c r="C5606" s="17">
        <v>20230101</v>
      </c>
      <c r="D5606" s="17">
        <v>22991231</v>
      </c>
      <c r="E5606" s="25">
        <v>10321.19</v>
      </c>
    </row>
    <row r="5607" spans="1:5" ht="143" x14ac:dyDescent="0.3">
      <c r="A5607" s="17" t="str">
        <f>"C7545"</f>
        <v>C7545</v>
      </c>
      <c r="B5607" s="5" t="s">
        <v>5610</v>
      </c>
      <c r="C5607" s="17">
        <v>20230101</v>
      </c>
      <c r="D5607" s="17">
        <v>22991231</v>
      </c>
      <c r="E5607" s="25">
        <v>2459.81</v>
      </c>
    </row>
    <row r="5608" spans="1:5" ht="104" x14ac:dyDescent="0.3">
      <c r="A5608" s="17" t="str">
        <f>"C7547"</f>
        <v>C7547</v>
      </c>
      <c r="B5608" s="5" t="s">
        <v>5611</v>
      </c>
      <c r="C5608" s="17">
        <v>20230101</v>
      </c>
      <c r="D5608" s="17">
        <v>22991231</v>
      </c>
      <c r="E5608" s="25">
        <v>1553.18</v>
      </c>
    </row>
    <row r="5609" spans="1:5" ht="78" x14ac:dyDescent="0.3">
      <c r="A5609" s="17" t="str">
        <f>"C7548"</f>
        <v>C7548</v>
      </c>
      <c r="B5609" s="5" t="s">
        <v>5612</v>
      </c>
      <c r="C5609" s="17">
        <v>20230101</v>
      </c>
      <c r="D5609" s="17">
        <v>22991231</v>
      </c>
      <c r="E5609" s="25">
        <v>1553.18</v>
      </c>
    </row>
    <row r="5610" spans="1:5" ht="39" x14ac:dyDescent="0.3">
      <c r="A5610" s="17" t="str">
        <f>"C7550"</f>
        <v>C7550</v>
      </c>
      <c r="B5610" s="5" t="s">
        <v>5613</v>
      </c>
      <c r="C5610" s="17">
        <v>20230101</v>
      </c>
      <c r="D5610" s="17">
        <v>22991231</v>
      </c>
      <c r="E5610" s="25">
        <v>1553.18</v>
      </c>
    </row>
    <row r="5611" spans="1:5" ht="39" x14ac:dyDescent="0.3">
      <c r="A5611" s="17" t="str">
        <f>"C7551"</f>
        <v>C7551</v>
      </c>
      <c r="B5611" s="5" t="s">
        <v>5614</v>
      </c>
      <c r="C5611" s="17">
        <v>20230101</v>
      </c>
      <c r="D5611" s="17">
        <v>22991231</v>
      </c>
      <c r="E5611" s="25">
        <v>2877.66</v>
      </c>
    </row>
    <row r="5612" spans="1:5" ht="26" x14ac:dyDescent="0.3">
      <c r="A5612" s="17" t="str">
        <f>"C7554"</f>
        <v>C7554</v>
      </c>
      <c r="B5612" s="5" t="s">
        <v>5615</v>
      </c>
      <c r="C5612" s="17">
        <v>20230101</v>
      </c>
      <c r="D5612" s="17">
        <v>22991231</v>
      </c>
      <c r="E5612" s="25">
        <v>888.17</v>
      </c>
    </row>
    <row r="5613" spans="1:5" ht="78" x14ac:dyDescent="0.3">
      <c r="A5613" s="17" t="str">
        <f>"C7556"</f>
        <v>C7556</v>
      </c>
      <c r="B5613" s="5" t="s">
        <v>5616</v>
      </c>
      <c r="C5613" s="17">
        <v>20240101</v>
      </c>
      <c r="D5613" s="17">
        <v>22991231</v>
      </c>
      <c r="E5613" s="25">
        <v>1496.36</v>
      </c>
    </row>
    <row r="5614" spans="1:5" ht="156" x14ac:dyDescent="0.3">
      <c r="A5614" s="17" t="str">
        <f>"C7557"</f>
        <v>C7557</v>
      </c>
      <c r="B5614" s="5" t="s">
        <v>5617</v>
      </c>
      <c r="C5614" s="17">
        <v>20240101</v>
      </c>
      <c r="D5614" s="17">
        <v>22991231</v>
      </c>
      <c r="E5614" s="25">
        <v>2412.7800000000002</v>
      </c>
    </row>
    <row r="5615" spans="1:5" ht="208" x14ac:dyDescent="0.3">
      <c r="A5615" s="17" t="str">
        <f>"C7558"</f>
        <v>C7558</v>
      </c>
      <c r="B5615" s="5" t="s">
        <v>5618</v>
      </c>
      <c r="C5615" s="17">
        <v>20240101</v>
      </c>
      <c r="D5615" s="17">
        <v>22991231</v>
      </c>
      <c r="E5615" s="25">
        <v>2412.7800000000002</v>
      </c>
    </row>
    <row r="5616" spans="1:5" ht="78" x14ac:dyDescent="0.3">
      <c r="A5616" s="17" t="str">
        <f>"C7560"</f>
        <v>C7560</v>
      </c>
      <c r="B5616" s="5" t="s">
        <v>5619</v>
      </c>
      <c r="C5616" s="17">
        <v>20240101</v>
      </c>
      <c r="D5616" s="17">
        <v>22991231</v>
      </c>
      <c r="E5616" s="25">
        <v>1718.4</v>
      </c>
    </row>
    <row r="5617" spans="1:5" ht="26" x14ac:dyDescent="0.3">
      <c r="A5617" s="17" t="str">
        <f>"C8900"</f>
        <v>C8900</v>
      </c>
      <c r="B5617" s="5" t="s">
        <v>5620</v>
      </c>
      <c r="C5617" s="17">
        <v>20230101</v>
      </c>
      <c r="D5617" s="17">
        <v>22991231</v>
      </c>
      <c r="E5617" s="25">
        <v>190.54</v>
      </c>
    </row>
    <row r="5618" spans="1:5" ht="26" x14ac:dyDescent="0.3">
      <c r="A5618" s="17" t="str">
        <f>"C8901"</f>
        <v>C8901</v>
      </c>
      <c r="B5618" s="5" t="s">
        <v>5621</v>
      </c>
      <c r="C5618" s="17">
        <v>20230101</v>
      </c>
      <c r="D5618" s="17">
        <v>22991231</v>
      </c>
      <c r="E5618" s="25">
        <v>121.41</v>
      </c>
    </row>
    <row r="5619" spans="1:5" ht="26" x14ac:dyDescent="0.3">
      <c r="A5619" s="17" t="str">
        <f>"C8902"</f>
        <v>C8902</v>
      </c>
      <c r="B5619" s="5" t="s">
        <v>5622</v>
      </c>
      <c r="C5619" s="17">
        <v>20230101</v>
      </c>
      <c r="D5619" s="17">
        <v>22991231</v>
      </c>
      <c r="E5619" s="25">
        <v>190.54</v>
      </c>
    </row>
    <row r="5620" spans="1:5" ht="26" x14ac:dyDescent="0.3">
      <c r="A5620" s="17" t="str">
        <f>"C8903"</f>
        <v>C8903</v>
      </c>
      <c r="B5620" s="5" t="s">
        <v>5623</v>
      </c>
      <c r="C5620" s="17">
        <v>20230101</v>
      </c>
      <c r="D5620" s="17">
        <v>22991231</v>
      </c>
      <c r="E5620" s="25">
        <v>91.04</v>
      </c>
    </row>
    <row r="5621" spans="1:5" ht="26" x14ac:dyDescent="0.3">
      <c r="A5621" s="17" t="str">
        <f>"C8905"</f>
        <v>C8905</v>
      </c>
      <c r="B5621" s="5" t="s">
        <v>5624</v>
      </c>
      <c r="C5621" s="17">
        <v>20230101</v>
      </c>
      <c r="D5621" s="17">
        <v>22991231</v>
      </c>
      <c r="E5621" s="25">
        <v>190.54</v>
      </c>
    </row>
    <row r="5622" spans="1:5" ht="26" x14ac:dyDescent="0.3">
      <c r="A5622" s="17" t="str">
        <f>"C8906"</f>
        <v>C8906</v>
      </c>
      <c r="B5622" s="5" t="s">
        <v>5625</v>
      </c>
      <c r="C5622" s="17">
        <v>20230101</v>
      </c>
      <c r="D5622" s="17">
        <v>22991231</v>
      </c>
      <c r="E5622" s="25">
        <v>190.54</v>
      </c>
    </row>
    <row r="5623" spans="1:5" ht="26" x14ac:dyDescent="0.3">
      <c r="A5623" s="17" t="str">
        <f>"C8908"</f>
        <v>C8908</v>
      </c>
      <c r="B5623" s="5" t="s">
        <v>5626</v>
      </c>
      <c r="C5623" s="17">
        <v>20230101</v>
      </c>
      <c r="D5623" s="17">
        <v>22991231</v>
      </c>
      <c r="E5623" s="25">
        <v>190.54</v>
      </c>
    </row>
    <row r="5624" spans="1:5" ht="26" x14ac:dyDescent="0.3">
      <c r="A5624" s="17" t="str">
        <f>"C8909"</f>
        <v>C8909</v>
      </c>
      <c r="B5624" s="5" t="s">
        <v>5627</v>
      </c>
      <c r="C5624" s="17">
        <v>20230101</v>
      </c>
      <c r="D5624" s="17">
        <v>22991231</v>
      </c>
      <c r="E5624" s="25">
        <v>190.54</v>
      </c>
    </row>
    <row r="5625" spans="1:5" ht="26" x14ac:dyDescent="0.3">
      <c r="A5625" s="17" t="str">
        <f>"C8910"</f>
        <v>C8910</v>
      </c>
      <c r="B5625" s="5" t="s">
        <v>5628</v>
      </c>
      <c r="C5625" s="17">
        <v>20230101</v>
      </c>
      <c r="D5625" s="17">
        <v>22991231</v>
      </c>
      <c r="E5625" s="25">
        <v>121.41</v>
      </c>
    </row>
    <row r="5626" spans="1:5" ht="39" x14ac:dyDescent="0.3">
      <c r="A5626" s="17" t="str">
        <f>"C8911"</f>
        <v>C8911</v>
      </c>
      <c r="B5626" s="5" t="s">
        <v>5629</v>
      </c>
      <c r="C5626" s="17">
        <v>20230101</v>
      </c>
      <c r="D5626" s="17">
        <v>22991231</v>
      </c>
      <c r="E5626" s="25">
        <v>190.54</v>
      </c>
    </row>
    <row r="5627" spans="1:5" ht="26" x14ac:dyDescent="0.3">
      <c r="A5627" s="17" t="str">
        <f>"C8912"</f>
        <v>C8912</v>
      </c>
      <c r="B5627" s="5" t="s">
        <v>5630</v>
      </c>
      <c r="C5627" s="17">
        <v>20230101</v>
      </c>
      <c r="D5627" s="17">
        <v>22991231</v>
      </c>
      <c r="E5627" s="25">
        <v>190.54</v>
      </c>
    </row>
    <row r="5628" spans="1:5" ht="26" x14ac:dyDescent="0.3">
      <c r="A5628" s="17" t="str">
        <f>"C8913"</f>
        <v>C8913</v>
      </c>
      <c r="B5628" s="5" t="s">
        <v>5631</v>
      </c>
      <c r="C5628" s="17">
        <v>20230101</v>
      </c>
      <c r="D5628" s="17">
        <v>22991231</v>
      </c>
      <c r="E5628" s="25">
        <v>121.41</v>
      </c>
    </row>
    <row r="5629" spans="1:5" ht="39" x14ac:dyDescent="0.3">
      <c r="A5629" s="17" t="str">
        <f>"C8914"</f>
        <v>C8914</v>
      </c>
      <c r="B5629" s="5" t="s">
        <v>5632</v>
      </c>
      <c r="C5629" s="17">
        <v>20230101</v>
      </c>
      <c r="D5629" s="17">
        <v>22991231</v>
      </c>
      <c r="E5629" s="25">
        <v>190.54</v>
      </c>
    </row>
    <row r="5630" spans="1:5" ht="26" x14ac:dyDescent="0.3">
      <c r="A5630" s="17" t="str">
        <f>"C8918"</f>
        <v>C8918</v>
      </c>
      <c r="B5630" s="5" t="s">
        <v>5633</v>
      </c>
      <c r="C5630" s="17">
        <v>20230101</v>
      </c>
      <c r="D5630" s="17">
        <v>22991231</v>
      </c>
      <c r="E5630" s="25">
        <v>190.54</v>
      </c>
    </row>
    <row r="5631" spans="1:5" ht="26" x14ac:dyDescent="0.3">
      <c r="A5631" s="17" t="str">
        <f>"C8919"</f>
        <v>C8919</v>
      </c>
      <c r="B5631" s="5" t="s">
        <v>5634</v>
      </c>
      <c r="C5631" s="17">
        <v>20230101</v>
      </c>
      <c r="D5631" s="17">
        <v>22991231</v>
      </c>
      <c r="E5631" s="25">
        <v>121.41</v>
      </c>
    </row>
    <row r="5632" spans="1:5" ht="26" x14ac:dyDescent="0.3">
      <c r="A5632" s="17" t="str">
        <f>"C8920"</f>
        <v>C8920</v>
      </c>
      <c r="B5632" s="5" t="s">
        <v>5635</v>
      </c>
      <c r="C5632" s="17">
        <v>20230101</v>
      </c>
      <c r="D5632" s="17">
        <v>22991231</v>
      </c>
      <c r="E5632" s="25">
        <v>190.54</v>
      </c>
    </row>
    <row r="5633" spans="1:5" ht="26" x14ac:dyDescent="0.3">
      <c r="A5633" s="17" t="str">
        <f>"C8931"</f>
        <v>C8931</v>
      </c>
      <c r="B5633" s="5" t="s">
        <v>5636</v>
      </c>
      <c r="C5633" s="17">
        <v>20230101</v>
      </c>
      <c r="D5633" s="17">
        <v>22991231</v>
      </c>
      <c r="E5633" s="25">
        <v>190.54</v>
      </c>
    </row>
    <row r="5634" spans="1:5" ht="26" x14ac:dyDescent="0.3">
      <c r="A5634" s="17" t="str">
        <f>"C8932"</f>
        <v>C8932</v>
      </c>
      <c r="B5634" s="5" t="s">
        <v>5637</v>
      </c>
      <c r="C5634" s="17">
        <v>20230101</v>
      </c>
      <c r="D5634" s="17">
        <v>22991231</v>
      </c>
      <c r="E5634" s="25">
        <v>121.41</v>
      </c>
    </row>
    <row r="5635" spans="1:5" ht="39" x14ac:dyDescent="0.3">
      <c r="A5635" s="17" t="str">
        <f>"C8933"</f>
        <v>C8933</v>
      </c>
      <c r="B5635" s="5" t="s">
        <v>5638</v>
      </c>
      <c r="C5635" s="17">
        <v>20230101</v>
      </c>
      <c r="D5635" s="17">
        <v>22991231</v>
      </c>
      <c r="E5635" s="25">
        <v>190.54</v>
      </c>
    </row>
    <row r="5636" spans="1:5" ht="26" x14ac:dyDescent="0.3">
      <c r="A5636" s="17" t="str">
        <f>"C8934"</f>
        <v>C8934</v>
      </c>
      <c r="B5636" s="5" t="s">
        <v>5639</v>
      </c>
      <c r="C5636" s="17">
        <v>20230101</v>
      </c>
      <c r="D5636" s="17">
        <v>22991231</v>
      </c>
      <c r="E5636" s="25">
        <v>190.54</v>
      </c>
    </row>
    <row r="5637" spans="1:5" ht="26" x14ac:dyDescent="0.3">
      <c r="A5637" s="17" t="str">
        <f>"C8935"</f>
        <v>C8935</v>
      </c>
      <c r="B5637" s="5" t="s">
        <v>5640</v>
      </c>
      <c r="C5637" s="17">
        <v>20230101</v>
      </c>
      <c r="D5637" s="17">
        <v>22991231</v>
      </c>
      <c r="E5637" s="25">
        <v>121.41</v>
      </c>
    </row>
    <row r="5638" spans="1:5" ht="39" x14ac:dyDescent="0.3">
      <c r="A5638" s="17" t="str">
        <f>"C8936"</f>
        <v>C8936</v>
      </c>
      <c r="B5638" s="5" t="s">
        <v>5641</v>
      </c>
      <c r="C5638" s="17">
        <v>20230101</v>
      </c>
      <c r="D5638" s="17">
        <v>22991231</v>
      </c>
      <c r="E5638" s="25">
        <v>190.54</v>
      </c>
    </row>
    <row r="5639" spans="1:5" x14ac:dyDescent="0.3">
      <c r="A5639" s="17" t="str">
        <f>"C8956"</f>
        <v>C8956</v>
      </c>
      <c r="B5639" s="5" t="s">
        <v>3729</v>
      </c>
      <c r="C5639" s="17">
        <v>20060101</v>
      </c>
      <c r="D5639" s="17">
        <v>22991231</v>
      </c>
      <c r="E5639" s="24" t="s">
        <v>7128</v>
      </c>
    </row>
    <row r="5640" spans="1:5" ht="52" x14ac:dyDescent="0.3">
      <c r="A5640" s="17" t="str">
        <f>"C8957"</f>
        <v>C8957</v>
      </c>
      <c r="B5640" s="5" t="s">
        <v>5642</v>
      </c>
      <c r="C5640" s="17">
        <v>20060101</v>
      </c>
      <c r="D5640" s="17">
        <v>22991231</v>
      </c>
      <c r="E5640" s="24" t="s">
        <v>7128</v>
      </c>
    </row>
    <row r="5641" spans="1:5" ht="26" x14ac:dyDescent="0.3">
      <c r="A5641" s="17" t="str">
        <f>"C9046"</f>
        <v>C9046</v>
      </c>
      <c r="B5641" s="5" t="s">
        <v>5643</v>
      </c>
      <c r="C5641" s="17">
        <v>20230101</v>
      </c>
      <c r="D5641" s="17">
        <v>22991231</v>
      </c>
      <c r="E5641" s="25">
        <v>0</v>
      </c>
    </row>
    <row r="5642" spans="1:5" x14ac:dyDescent="0.3">
      <c r="A5642" s="17" t="str">
        <f>"C9047"</f>
        <v>C9047</v>
      </c>
      <c r="B5642" s="5" t="s">
        <v>5644</v>
      </c>
      <c r="C5642" s="17">
        <v>20230101</v>
      </c>
      <c r="D5642" s="17">
        <v>22991231</v>
      </c>
      <c r="E5642" s="25">
        <v>710.01</v>
      </c>
    </row>
    <row r="5643" spans="1:5" x14ac:dyDescent="0.3">
      <c r="A5643" s="17" t="str">
        <f>"C9067"</f>
        <v>C9067</v>
      </c>
      <c r="B5643" s="5" t="s">
        <v>5645</v>
      </c>
      <c r="C5643" s="17">
        <v>20230101</v>
      </c>
      <c r="D5643" s="17">
        <v>22991231</v>
      </c>
      <c r="E5643" s="25">
        <v>0</v>
      </c>
    </row>
    <row r="5644" spans="1:5" ht="26" x14ac:dyDescent="0.3">
      <c r="A5644" s="17" t="str">
        <f>"C9088"</f>
        <v>C9088</v>
      </c>
      <c r="B5644" s="5" t="s">
        <v>5646</v>
      </c>
      <c r="C5644" s="17">
        <v>20230101</v>
      </c>
      <c r="D5644" s="17">
        <v>22991231</v>
      </c>
      <c r="E5644" s="25">
        <v>0.7</v>
      </c>
    </row>
    <row r="5645" spans="1:5" x14ac:dyDescent="0.3">
      <c r="A5645" s="17" t="str">
        <f>"C9089"</f>
        <v>C9089</v>
      </c>
      <c r="B5645" s="5" t="s">
        <v>5647</v>
      </c>
      <c r="C5645" s="17">
        <v>20230101</v>
      </c>
      <c r="D5645" s="17">
        <v>22991231</v>
      </c>
      <c r="E5645" s="25">
        <v>0.81</v>
      </c>
    </row>
    <row r="5646" spans="1:5" x14ac:dyDescent="0.3">
      <c r="A5646" s="17" t="str">
        <f>"C9101"</f>
        <v>C9101</v>
      </c>
      <c r="B5646" s="5" t="s">
        <v>5648</v>
      </c>
      <c r="C5646" s="17">
        <v>20230101</v>
      </c>
      <c r="D5646" s="17">
        <v>22991231</v>
      </c>
      <c r="E5646" s="25">
        <v>1.1399999999999999</v>
      </c>
    </row>
    <row r="5647" spans="1:5" ht="26" x14ac:dyDescent="0.3">
      <c r="A5647" s="17" t="s">
        <v>20</v>
      </c>
      <c r="B5647" s="5" t="s">
        <v>5649</v>
      </c>
      <c r="C5647" s="17">
        <v>20230101</v>
      </c>
      <c r="D5647" s="17">
        <v>20240630</v>
      </c>
      <c r="E5647" s="25">
        <v>0</v>
      </c>
    </row>
    <row r="5648" spans="1:5" ht="26" x14ac:dyDescent="0.3">
      <c r="A5648" s="17" t="str">
        <f>"C9143"</f>
        <v>C9143</v>
      </c>
      <c r="B5648" s="5" t="s">
        <v>5650</v>
      </c>
      <c r="C5648" s="17">
        <v>20240101</v>
      </c>
      <c r="D5648" s="17">
        <v>22991231</v>
      </c>
      <c r="E5648" s="25">
        <v>0</v>
      </c>
    </row>
    <row r="5649" spans="1:5" x14ac:dyDescent="0.3">
      <c r="A5649" s="17" t="str">
        <f>"C9144"</f>
        <v>C9144</v>
      </c>
      <c r="B5649" s="5" t="s">
        <v>5651</v>
      </c>
      <c r="C5649" s="17">
        <v>20230101</v>
      </c>
      <c r="D5649" s="17">
        <v>22991231</v>
      </c>
      <c r="E5649" s="25">
        <v>0.49</v>
      </c>
    </row>
    <row r="5650" spans="1:5" x14ac:dyDescent="0.3">
      <c r="A5650" s="17" t="str">
        <f>"C9145"</f>
        <v>C9145</v>
      </c>
      <c r="B5650" s="5" t="s">
        <v>5652</v>
      </c>
      <c r="C5650" s="17">
        <v>20240101</v>
      </c>
      <c r="D5650" s="17">
        <v>22991231</v>
      </c>
      <c r="E5650" s="25">
        <v>1.8</v>
      </c>
    </row>
    <row r="5651" spans="1:5" ht="26" x14ac:dyDescent="0.3">
      <c r="A5651" s="17" t="str">
        <f>"C9150"</f>
        <v>C9150</v>
      </c>
      <c r="B5651" s="5" t="s">
        <v>5653</v>
      </c>
      <c r="C5651" s="17">
        <v>20240101</v>
      </c>
      <c r="D5651" s="17">
        <v>22991231</v>
      </c>
      <c r="E5651" s="25">
        <v>0</v>
      </c>
    </row>
    <row r="5652" spans="1:5" ht="39" x14ac:dyDescent="0.3">
      <c r="A5652" s="17" t="str">
        <f>"C9159"</f>
        <v>C9159</v>
      </c>
      <c r="B5652" s="5" t="s">
        <v>5654</v>
      </c>
      <c r="C5652" s="17">
        <v>20240101</v>
      </c>
      <c r="D5652" s="17">
        <v>20240331</v>
      </c>
      <c r="E5652" s="25">
        <v>3.1</v>
      </c>
    </row>
    <row r="5653" spans="1:5" ht="26" x14ac:dyDescent="0.3">
      <c r="A5653" s="17" t="str">
        <f>"C9160"</f>
        <v>C9160</v>
      </c>
      <c r="B5653" s="5" t="s">
        <v>5655</v>
      </c>
      <c r="C5653" s="17">
        <v>20240101</v>
      </c>
      <c r="D5653" s="17">
        <v>20240331</v>
      </c>
      <c r="E5653" s="25">
        <v>4.25</v>
      </c>
    </row>
    <row r="5654" spans="1:5" x14ac:dyDescent="0.3">
      <c r="A5654" s="17" t="s">
        <v>5656</v>
      </c>
      <c r="B5654" s="5" t="s">
        <v>5657</v>
      </c>
      <c r="C5654" s="17">
        <v>20240101</v>
      </c>
      <c r="D5654" s="17">
        <v>20240331</v>
      </c>
      <c r="E5654" s="25">
        <v>322.81</v>
      </c>
    </row>
    <row r="5655" spans="1:5" ht="26" x14ac:dyDescent="0.3">
      <c r="A5655" s="17" t="s">
        <v>5658</v>
      </c>
      <c r="B5655" s="5" t="s">
        <v>5659</v>
      </c>
      <c r="C5655" s="17">
        <v>20240101</v>
      </c>
      <c r="D5655" s="17">
        <v>20240331</v>
      </c>
      <c r="E5655" s="25">
        <v>103.3</v>
      </c>
    </row>
    <row r="5656" spans="1:5" ht="26" x14ac:dyDescent="0.3">
      <c r="A5656" s="17" t="s">
        <v>5660</v>
      </c>
      <c r="B5656" s="5" t="s">
        <v>5661</v>
      </c>
      <c r="C5656" s="17">
        <v>20240101</v>
      </c>
      <c r="D5656" s="17">
        <v>20240331</v>
      </c>
      <c r="E5656" s="25">
        <v>63.7</v>
      </c>
    </row>
    <row r="5657" spans="1:5" ht="39" x14ac:dyDescent="0.3">
      <c r="A5657" s="17" t="s">
        <v>5662</v>
      </c>
      <c r="B5657" s="5" t="s">
        <v>5663</v>
      </c>
      <c r="C5657" s="17">
        <v>20240101</v>
      </c>
      <c r="D5657" s="17">
        <v>20240331</v>
      </c>
      <c r="E5657" s="25">
        <v>673.91</v>
      </c>
    </row>
    <row r="5658" spans="1:5" x14ac:dyDescent="0.3">
      <c r="A5658" s="17" t="s">
        <v>5664</v>
      </c>
      <c r="B5658" s="5" t="s">
        <v>5665</v>
      </c>
      <c r="C5658" s="17">
        <v>20240101</v>
      </c>
      <c r="D5658" s="17">
        <v>20240331</v>
      </c>
      <c r="E5658" s="25">
        <v>168.94</v>
      </c>
    </row>
    <row r="5659" spans="1:5" x14ac:dyDescent="0.3">
      <c r="A5659" s="17" t="str">
        <f>"C9248"</f>
        <v>C9248</v>
      </c>
      <c r="B5659" s="5" t="s">
        <v>5666</v>
      </c>
      <c r="C5659" s="17">
        <v>20230101</v>
      </c>
      <c r="D5659" s="17">
        <v>22991231</v>
      </c>
      <c r="E5659" s="25">
        <v>0</v>
      </c>
    </row>
    <row r="5660" spans="1:5" ht="26" x14ac:dyDescent="0.3">
      <c r="A5660" s="17" t="str">
        <f>"C9250"</f>
        <v>C9250</v>
      </c>
      <c r="B5660" s="5" t="s">
        <v>5667</v>
      </c>
      <c r="C5660" s="17">
        <v>20090701</v>
      </c>
      <c r="D5660" s="17">
        <v>22991231</v>
      </c>
      <c r="E5660" s="25">
        <v>126.78</v>
      </c>
    </row>
    <row r="5661" spans="1:5" x14ac:dyDescent="0.3">
      <c r="A5661" s="17" t="str">
        <f>"C9254"</f>
        <v>C9254</v>
      </c>
      <c r="B5661" s="5" t="s">
        <v>5668</v>
      </c>
      <c r="C5661" s="17">
        <v>20230101</v>
      </c>
      <c r="D5661" s="17">
        <v>22991231</v>
      </c>
      <c r="E5661" s="25">
        <v>0</v>
      </c>
    </row>
    <row r="5662" spans="1:5" x14ac:dyDescent="0.3">
      <c r="A5662" s="17" t="str">
        <f>"C9257"</f>
        <v>C9257</v>
      </c>
      <c r="B5662" s="5" t="s">
        <v>5669</v>
      </c>
      <c r="C5662" s="17">
        <v>20230101</v>
      </c>
      <c r="D5662" s="17">
        <v>22991231</v>
      </c>
      <c r="E5662" s="25">
        <v>1.77</v>
      </c>
    </row>
    <row r="5663" spans="1:5" x14ac:dyDescent="0.3">
      <c r="A5663" s="17" t="str">
        <f>"C9285"</f>
        <v>C9285</v>
      </c>
      <c r="B5663" s="5" t="s">
        <v>5670</v>
      </c>
      <c r="C5663" s="17">
        <v>20230101</v>
      </c>
      <c r="D5663" s="17">
        <v>22991231</v>
      </c>
      <c r="E5663" s="25">
        <v>0</v>
      </c>
    </row>
    <row r="5664" spans="1:5" x14ac:dyDescent="0.3">
      <c r="A5664" s="17" t="str">
        <f>"C9290"</f>
        <v>C9290</v>
      </c>
      <c r="B5664" s="5" t="s">
        <v>5671</v>
      </c>
      <c r="C5664" s="17">
        <v>20230101</v>
      </c>
      <c r="D5664" s="17">
        <v>22991231</v>
      </c>
      <c r="E5664" s="25">
        <v>1.36</v>
      </c>
    </row>
    <row r="5665" spans="1:5" x14ac:dyDescent="0.3">
      <c r="A5665" s="17" t="str">
        <f>"C9293"</f>
        <v>C9293</v>
      </c>
      <c r="B5665" s="5" t="s">
        <v>5672</v>
      </c>
      <c r="C5665" s="17">
        <v>20230101</v>
      </c>
      <c r="D5665" s="17">
        <v>22991231</v>
      </c>
      <c r="E5665" s="25">
        <v>0</v>
      </c>
    </row>
    <row r="5666" spans="1:5" ht="26" x14ac:dyDescent="0.3">
      <c r="A5666" s="17" t="str">
        <f>"C9352"</f>
        <v>C9352</v>
      </c>
      <c r="B5666" s="5" t="s">
        <v>5673</v>
      </c>
      <c r="C5666" s="17">
        <v>20230101</v>
      </c>
      <c r="D5666" s="17">
        <v>22991231</v>
      </c>
      <c r="E5666" s="25">
        <v>0</v>
      </c>
    </row>
    <row r="5667" spans="1:5" ht="39" x14ac:dyDescent="0.3">
      <c r="A5667" s="17" t="str">
        <f>"C9353"</f>
        <v>C9353</v>
      </c>
      <c r="B5667" s="5" t="s">
        <v>5674</v>
      </c>
      <c r="C5667" s="17">
        <v>20230101</v>
      </c>
      <c r="D5667" s="17">
        <v>22991231</v>
      </c>
      <c r="E5667" s="25">
        <v>0</v>
      </c>
    </row>
    <row r="5668" spans="1:5" ht="26" x14ac:dyDescent="0.3">
      <c r="A5668" s="17" t="str">
        <f>"C9354"</f>
        <v>C9354</v>
      </c>
      <c r="B5668" s="5" t="s">
        <v>5675</v>
      </c>
      <c r="C5668" s="17">
        <v>20230101</v>
      </c>
      <c r="D5668" s="17">
        <v>22991231</v>
      </c>
      <c r="E5668" s="25">
        <v>0</v>
      </c>
    </row>
    <row r="5669" spans="1:5" ht="26" x14ac:dyDescent="0.3">
      <c r="A5669" s="17" t="str">
        <f>"C9355"</f>
        <v>C9355</v>
      </c>
      <c r="B5669" s="5" t="s">
        <v>5676</v>
      </c>
      <c r="C5669" s="17">
        <v>20230101</v>
      </c>
      <c r="D5669" s="17">
        <v>22991231</v>
      </c>
      <c r="E5669" s="25">
        <v>0</v>
      </c>
    </row>
    <row r="5670" spans="1:5" ht="39" x14ac:dyDescent="0.3">
      <c r="A5670" s="17" t="str">
        <f>"C9356"</f>
        <v>C9356</v>
      </c>
      <c r="B5670" s="5" t="s">
        <v>5677</v>
      </c>
      <c r="C5670" s="17">
        <v>20230101</v>
      </c>
      <c r="D5670" s="17">
        <v>22991231</v>
      </c>
      <c r="E5670" s="25">
        <v>0</v>
      </c>
    </row>
    <row r="5671" spans="1:5" ht="39" x14ac:dyDescent="0.3">
      <c r="A5671" s="17" t="str">
        <f>"C9358"</f>
        <v>C9358</v>
      </c>
      <c r="B5671" s="5" t="s">
        <v>5678</v>
      </c>
      <c r="C5671" s="17">
        <v>20230101</v>
      </c>
      <c r="D5671" s="17">
        <v>22991231</v>
      </c>
      <c r="E5671" s="25">
        <v>0</v>
      </c>
    </row>
    <row r="5672" spans="1:5" ht="52" x14ac:dyDescent="0.3">
      <c r="A5672" s="17" t="str">
        <f>"C9359"</f>
        <v>C9359</v>
      </c>
      <c r="B5672" s="5" t="s">
        <v>5679</v>
      </c>
      <c r="C5672" s="17">
        <v>20230101</v>
      </c>
      <c r="D5672" s="17">
        <v>22991231</v>
      </c>
      <c r="E5672" s="25">
        <v>0</v>
      </c>
    </row>
    <row r="5673" spans="1:5" ht="39" x14ac:dyDescent="0.3">
      <c r="A5673" s="17" t="str">
        <f>"C9360"</f>
        <v>C9360</v>
      </c>
      <c r="B5673" s="5" t="s">
        <v>5680</v>
      </c>
      <c r="C5673" s="17">
        <v>20100101</v>
      </c>
      <c r="D5673" s="17">
        <v>22991231</v>
      </c>
      <c r="E5673" s="25">
        <v>0</v>
      </c>
    </row>
    <row r="5674" spans="1:5" ht="26" x14ac:dyDescent="0.3">
      <c r="A5674" s="17" t="str">
        <f>"C9361"</f>
        <v>C9361</v>
      </c>
      <c r="B5674" s="5" t="s">
        <v>5681</v>
      </c>
      <c r="C5674" s="17">
        <v>20100101</v>
      </c>
      <c r="D5674" s="17">
        <v>22991231</v>
      </c>
      <c r="E5674" s="25">
        <v>0</v>
      </c>
    </row>
    <row r="5675" spans="1:5" ht="39" x14ac:dyDescent="0.3">
      <c r="A5675" s="17" t="str">
        <f>"C9362"</f>
        <v>C9362</v>
      </c>
      <c r="B5675" s="5" t="s">
        <v>5682</v>
      </c>
      <c r="C5675" s="17">
        <v>20100101</v>
      </c>
      <c r="D5675" s="17">
        <v>22991231</v>
      </c>
      <c r="E5675" s="25">
        <v>0</v>
      </c>
    </row>
    <row r="5676" spans="1:5" ht="26" x14ac:dyDescent="0.3">
      <c r="A5676" s="17" t="str">
        <f>"C9363"</f>
        <v>C9363</v>
      </c>
      <c r="B5676" s="5" t="s">
        <v>5683</v>
      </c>
      <c r="C5676" s="17">
        <v>20100101</v>
      </c>
      <c r="D5676" s="17">
        <v>22991231</v>
      </c>
      <c r="E5676" s="25">
        <v>0</v>
      </c>
    </row>
    <row r="5677" spans="1:5" ht="26" x14ac:dyDescent="0.3">
      <c r="A5677" s="17" t="str">
        <f>"C9364"</f>
        <v>C9364</v>
      </c>
      <c r="B5677" s="5" t="s">
        <v>5684</v>
      </c>
      <c r="C5677" s="17">
        <v>20100101</v>
      </c>
      <c r="D5677" s="17">
        <v>22991231</v>
      </c>
      <c r="E5677" s="25">
        <v>0</v>
      </c>
    </row>
    <row r="5678" spans="1:5" x14ac:dyDescent="0.3">
      <c r="A5678" s="17" t="str">
        <f>"C9399"</f>
        <v>C9399</v>
      </c>
      <c r="B5678" s="5" t="s">
        <v>5685</v>
      </c>
      <c r="C5678" s="17">
        <v>20230101</v>
      </c>
      <c r="D5678" s="17">
        <v>22991231</v>
      </c>
      <c r="E5678" s="25">
        <v>0</v>
      </c>
    </row>
    <row r="5679" spans="1:5" x14ac:dyDescent="0.3">
      <c r="A5679" s="17" t="str">
        <f>"C9460"</f>
        <v>C9460</v>
      </c>
      <c r="B5679" s="5" t="s">
        <v>5686</v>
      </c>
      <c r="C5679" s="17">
        <v>20230101</v>
      </c>
      <c r="D5679" s="17">
        <v>22991231</v>
      </c>
      <c r="E5679" s="25">
        <v>17.43</v>
      </c>
    </row>
    <row r="5680" spans="1:5" x14ac:dyDescent="0.3">
      <c r="A5680" s="17" t="str">
        <f>"C9462"</f>
        <v>C9462</v>
      </c>
      <c r="B5680" s="5" t="s">
        <v>5687</v>
      </c>
      <c r="C5680" s="17">
        <v>20230101</v>
      </c>
      <c r="D5680" s="17">
        <v>22991231</v>
      </c>
      <c r="E5680" s="25">
        <v>0</v>
      </c>
    </row>
    <row r="5681" spans="1:5" x14ac:dyDescent="0.3">
      <c r="A5681" s="17" t="str">
        <f>"C9482"</f>
        <v>C9482</v>
      </c>
      <c r="B5681" s="5" t="s">
        <v>5688</v>
      </c>
      <c r="C5681" s="17">
        <v>20230101</v>
      </c>
      <c r="D5681" s="17">
        <v>22991231</v>
      </c>
      <c r="E5681" s="25">
        <v>19.78</v>
      </c>
    </row>
    <row r="5682" spans="1:5" x14ac:dyDescent="0.3">
      <c r="A5682" s="17" t="str">
        <f>"C9488"</f>
        <v>C9488</v>
      </c>
      <c r="B5682" s="5" t="s">
        <v>5689</v>
      </c>
      <c r="C5682" s="17">
        <v>20230101</v>
      </c>
      <c r="D5682" s="17">
        <v>22991231</v>
      </c>
      <c r="E5682" s="25">
        <v>45.12</v>
      </c>
    </row>
    <row r="5683" spans="1:5" ht="52" x14ac:dyDescent="0.3">
      <c r="A5683" s="17" t="str">
        <f>"C9600"</f>
        <v>C9600</v>
      </c>
      <c r="B5683" s="5" t="s">
        <v>5690</v>
      </c>
      <c r="C5683" s="17">
        <v>20230101</v>
      </c>
      <c r="D5683" s="17">
        <v>22991231</v>
      </c>
      <c r="E5683" s="25">
        <v>6400.99</v>
      </c>
    </row>
    <row r="5684" spans="1:5" ht="65" x14ac:dyDescent="0.3">
      <c r="A5684" s="17" t="str">
        <f>"C9601"</f>
        <v>C9601</v>
      </c>
      <c r="B5684" s="5" t="s">
        <v>5691</v>
      </c>
      <c r="C5684" s="17">
        <v>20230101</v>
      </c>
      <c r="D5684" s="17">
        <v>22991231</v>
      </c>
      <c r="E5684" s="25">
        <v>0</v>
      </c>
    </row>
    <row r="5685" spans="1:5" ht="26" x14ac:dyDescent="0.3">
      <c r="A5685" s="17" t="str">
        <f>"C9716"</f>
        <v>C9716</v>
      </c>
      <c r="B5685" s="5" t="s">
        <v>5692</v>
      </c>
      <c r="C5685" s="17">
        <v>20050101</v>
      </c>
      <c r="D5685" s="17">
        <v>22991231</v>
      </c>
      <c r="E5685" s="24" t="s">
        <v>7128</v>
      </c>
    </row>
    <row r="5686" spans="1:5" ht="26" x14ac:dyDescent="0.3">
      <c r="A5686" s="17" t="str">
        <f>"C9725"</f>
        <v>C9725</v>
      </c>
      <c r="B5686" s="5" t="s">
        <v>5693</v>
      </c>
      <c r="C5686" s="17">
        <v>20060101</v>
      </c>
      <c r="D5686" s="17">
        <v>22991231</v>
      </c>
      <c r="E5686" s="25">
        <v>452.84</v>
      </c>
    </row>
    <row r="5687" spans="1:5" ht="39" x14ac:dyDescent="0.3">
      <c r="A5687" s="17" t="str">
        <f>"C9726"</f>
        <v>C9726</v>
      </c>
      <c r="B5687" s="5" t="s">
        <v>5694</v>
      </c>
      <c r="C5687" s="17">
        <v>20230101</v>
      </c>
      <c r="D5687" s="17">
        <v>22991231</v>
      </c>
      <c r="E5687" s="25">
        <v>0</v>
      </c>
    </row>
    <row r="5688" spans="1:5" ht="26" x14ac:dyDescent="0.3">
      <c r="A5688" s="17" t="str">
        <f>"C9727"</f>
        <v>C9727</v>
      </c>
      <c r="B5688" s="5" t="s">
        <v>5695</v>
      </c>
      <c r="C5688" s="17">
        <v>20230101</v>
      </c>
      <c r="D5688" s="17">
        <v>22991231</v>
      </c>
      <c r="E5688" s="25">
        <v>636.91999999999996</v>
      </c>
    </row>
    <row r="5689" spans="1:5" ht="65" x14ac:dyDescent="0.3">
      <c r="A5689" s="17" t="str">
        <f>"C9728"</f>
        <v>C9728</v>
      </c>
      <c r="B5689" s="5" t="s">
        <v>5696</v>
      </c>
      <c r="C5689" s="17">
        <v>20230101</v>
      </c>
      <c r="D5689" s="17">
        <v>22991231</v>
      </c>
      <c r="E5689" s="25">
        <v>686.53</v>
      </c>
    </row>
    <row r="5690" spans="1:5" ht="39" x14ac:dyDescent="0.3">
      <c r="A5690" s="17" t="str">
        <f>"C9734"</f>
        <v>C9734</v>
      </c>
      <c r="B5690" s="5" t="s">
        <v>5697</v>
      </c>
      <c r="C5690" s="17">
        <v>20240101</v>
      </c>
      <c r="D5690" s="17">
        <v>22991231</v>
      </c>
      <c r="E5690" s="25">
        <v>7819.46</v>
      </c>
    </row>
    <row r="5691" spans="1:5" ht="39" x14ac:dyDescent="0.3">
      <c r="A5691" s="17" t="str">
        <f>"C9738"</f>
        <v>C9738</v>
      </c>
      <c r="B5691" s="5" t="s">
        <v>5698</v>
      </c>
      <c r="C5691" s="17">
        <v>20230101</v>
      </c>
      <c r="D5691" s="17">
        <v>22991231</v>
      </c>
      <c r="E5691" s="25">
        <v>0</v>
      </c>
    </row>
    <row r="5692" spans="1:5" ht="26" x14ac:dyDescent="0.3">
      <c r="A5692" s="17" t="str">
        <f>"C9739"</f>
        <v>C9739</v>
      </c>
      <c r="B5692" s="5" t="s">
        <v>5699</v>
      </c>
      <c r="C5692" s="17">
        <v>20230101</v>
      </c>
      <c r="D5692" s="17">
        <v>22991231</v>
      </c>
      <c r="E5692" s="25">
        <v>3591.97</v>
      </c>
    </row>
    <row r="5693" spans="1:5" ht="26" x14ac:dyDescent="0.3">
      <c r="A5693" s="17" t="str">
        <f>"C9740"</f>
        <v>C9740</v>
      </c>
      <c r="B5693" s="5" t="s">
        <v>5700</v>
      </c>
      <c r="C5693" s="17">
        <v>20230101</v>
      </c>
      <c r="D5693" s="17">
        <v>22991231</v>
      </c>
      <c r="E5693" s="25">
        <v>7016.19</v>
      </c>
    </row>
    <row r="5694" spans="1:5" ht="117" x14ac:dyDescent="0.3">
      <c r="A5694" s="17" t="str">
        <f>"C9757"</f>
        <v>C9757</v>
      </c>
      <c r="B5694" s="5" t="s">
        <v>5701</v>
      </c>
      <c r="C5694" s="17">
        <v>20230101</v>
      </c>
      <c r="D5694" s="17">
        <v>22991231</v>
      </c>
      <c r="E5694" s="25">
        <v>6208.9</v>
      </c>
    </row>
    <row r="5695" spans="1:5" ht="65" x14ac:dyDescent="0.3">
      <c r="A5695" s="17" t="str">
        <f>"C9759"</f>
        <v>C9759</v>
      </c>
      <c r="B5695" s="5" t="s">
        <v>5702</v>
      </c>
      <c r="C5695" s="17">
        <v>20230101</v>
      </c>
      <c r="D5695" s="17">
        <v>22991231</v>
      </c>
      <c r="E5695" s="25">
        <v>0</v>
      </c>
    </row>
    <row r="5696" spans="1:5" ht="78" x14ac:dyDescent="0.3">
      <c r="A5696" s="17" t="str">
        <f>"C9761"</f>
        <v>C9761</v>
      </c>
      <c r="B5696" s="5" t="s">
        <v>5703</v>
      </c>
      <c r="C5696" s="17">
        <v>20230101</v>
      </c>
      <c r="D5696" s="17">
        <v>22991231</v>
      </c>
      <c r="E5696" s="25">
        <v>4341.6400000000003</v>
      </c>
    </row>
    <row r="5697" spans="1:5" ht="39" x14ac:dyDescent="0.3">
      <c r="A5697" s="17" t="str">
        <f>"C9762"</f>
        <v>C9762</v>
      </c>
      <c r="B5697" s="5" t="s">
        <v>5704</v>
      </c>
      <c r="C5697" s="17">
        <v>20230101</v>
      </c>
      <c r="D5697" s="17">
        <v>22991231</v>
      </c>
      <c r="E5697" s="25">
        <v>273.33999999999997</v>
      </c>
    </row>
    <row r="5698" spans="1:5" ht="39" x14ac:dyDescent="0.3">
      <c r="A5698" s="17" t="str">
        <f>"C9763"</f>
        <v>C9763</v>
      </c>
      <c r="B5698" s="5" t="s">
        <v>5705</v>
      </c>
      <c r="C5698" s="17">
        <v>20230101</v>
      </c>
      <c r="D5698" s="17">
        <v>22991231</v>
      </c>
      <c r="E5698" s="25">
        <v>273.33999999999997</v>
      </c>
    </row>
    <row r="5699" spans="1:5" ht="65" x14ac:dyDescent="0.3">
      <c r="A5699" s="17" t="str">
        <f>"C9764"</f>
        <v>C9764</v>
      </c>
      <c r="B5699" s="5" t="s">
        <v>5706</v>
      </c>
      <c r="C5699" s="17">
        <v>20230101</v>
      </c>
      <c r="D5699" s="17">
        <v>22991231</v>
      </c>
      <c r="E5699" s="25">
        <v>6930.6</v>
      </c>
    </row>
    <row r="5700" spans="1:5" ht="78" x14ac:dyDescent="0.3">
      <c r="A5700" s="17" t="str">
        <f>"C9765"</f>
        <v>C9765</v>
      </c>
      <c r="B5700" s="5" t="s">
        <v>5707</v>
      </c>
      <c r="C5700" s="17">
        <v>20230101</v>
      </c>
      <c r="D5700" s="17">
        <v>22991231</v>
      </c>
      <c r="E5700" s="25">
        <v>11217.1</v>
      </c>
    </row>
    <row r="5701" spans="1:5" ht="65" x14ac:dyDescent="0.3">
      <c r="A5701" s="17" t="str">
        <f>"C9766"</f>
        <v>C9766</v>
      </c>
      <c r="B5701" s="5" t="s">
        <v>5708</v>
      </c>
      <c r="C5701" s="17">
        <v>20230101</v>
      </c>
      <c r="D5701" s="17">
        <v>22991231</v>
      </c>
      <c r="E5701" s="25">
        <v>11533.92</v>
      </c>
    </row>
    <row r="5702" spans="1:5" ht="78" x14ac:dyDescent="0.3">
      <c r="A5702" s="17" t="str">
        <f>"C9767"</f>
        <v>C9767</v>
      </c>
      <c r="B5702" s="5" t="s">
        <v>5709</v>
      </c>
      <c r="C5702" s="17">
        <v>20230101</v>
      </c>
      <c r="D5702" s="17">
        <v>22991231</v>
      </c>
      <c r="E5702" s="25">
        <v>11787.26</v>
      </c>
    </row>
    <row r="5703" spans="1:5" ht="39" x14ac:dyDescent="0.3">
      <c r="A5703" s="17" t="str">
        <f>"C9769"</f>
        <v>C9769</v>
      </c>
      <c r="B5703" s="5" t="s">
        <v>5710</v>
      </c>
      <c r="C5703" s="17">
        <v>20230101</v>
      </c>
      <c r="D5703" s="17">
        <v>22991231</v>
      </c>
      <c r="E5703" s="25">
        <v>6731.73</v>
      </c>
    </row>
    <row r="5704" spans="1:5" ht="52" x14ac:dyDescent="0.3">
      <c r="A5704" s="17" t="str">
        <f>"C9772"</f>
        <v>C9772</v>
      </c>
      <c r="B5704" s="5" t="s">
        <v>5711</v>
      </c>
      <c r="C5704" s="17">
        <v>20230101</v>
      </c>
      <c r="D5704" s="17">
        <v>22991231</v>
      </c>
      <c r="E5704" s="25">
        <v>6372.31</v>
      </c>
    </row>
    <row r="5705" spans="1:5" ht="65" x14ac:dyDescent="0.3">
      <c r="A5705" s="17" t="str">
        <f>"C9773"</f>
        <v>C9773</v>
      </c>
      <c r="B5705" s="5" t="s">
        <v>5712</v>
      </c>
      <c r="C5705" s="17">
        <v>20230101</v>
      </c>
      <c r="D5705" s="17">
        <v>22991231</v>
      </c>
      <c r="E5705" s="25">
        <v>10890.84</v>
      </c>
    </row>
    <row r="5706" spans="1:5" ht="65" x14ac:dyDescent="0.3">
      <c r="A5706" s="17" t="str">
        <f>"C9774"</f>
        <v>C9774</v>
      </c>
      <c r="B5706" s="5" t="s">
        <v>5713</v>
      </c>
      <c r="C5706" s="17">
        <v>20230101</v>
      </c>
      <c r="D5706" s="17">
        <v>22991231</v>
      </c>
      <c r="E5706" s="25">
        <v>11510.67</v>
      </c>
    </row>
    <row r="5707" spans="1:5" ht="78" x14ac:dyDescent="0.3">
      <c r="A5707" s="17" t="str">
        <f>"C9775"</f>
        <v>C9775</v>
      </c>
      <c r="B5707" s="5" t="s">
        <v>5714</v>
      </c>
      <c r="C5707" s="17">
        <v>20230101</v>
      </c>
      <c r="D5707" s="17">
        <v>22991231</v>
      </c>
      <c r="E5707" s="25">
        <v>11667.82</v>
      </c>
    </row>
    <row r="5708" spans="1:5" ht="78" x14ac:dyDescent="0.3">
      <c r="A5708" s="17" t="str">
        <f>"C9776"</f>
        <v>C9776</v>
      </c>
      <c r="B5708" s="5" t="s">
        <v>5715</v>
      </c>
      <c r="C5708" s="17">
        <v>20230101</v>
      </c>
      <c r="D5708" s="17">
        <v>22991231</v>
      </c>
      <c r="E5708" s="25">
        <v>0</v>
      </c>
    </row>
    <row r="5709" spans="1:5" ht="39" x14ac:dyDescent="0.3">
      <c r="A5709" s="17" t="str">
        <f>"C9777"</f>
        <v>C9777</v>
      </c>
      <c r="B5709" s="5" t="s">
        <v>5716</v>
      </c>
      <c r="C5709" s="17">
        <v>20230101</v>
      </c>
      <c r="D5709" s="17">
        <v>22991231</v>
      </c>
      <c r="E5709" s="25">
        <v>2164.15</v>
      </c>
    </row>
    <row r="5710" spans="1:5" ht="26" x14ac:dyDescent="0.3">
      <c r="A5710" s="17" t="str">
        <f>"C9778"</f>
        <v>C9778</v>
      </c>
      <c r="B5710" s="5" t="s">
        <v>5717</v>
      </c>
      <c r="C5710" s="17">
        <v>20230101</v>
      </c>
      <c r="D5710" s="17">
        <v>22991231</v>
      </c>
      <c r="E5710" s="25">
        <v>2568.9</v>
      </c>
    </row>
    <row r="5711" spans="1:5" ht="78" x14ac:dyDescent="0.3">
      <c r="A5711" s="17" t="str">
        <f>"C9781"</f>
        <v>C9781</v>
      </c>
      <c r="B5711" s="5" t="s">
        <v>5718</v>
      </c>
      <c r="C5711" s="17">
        <v>20230101</v>
      </c>
      <c r="D5711" s="17">
        <v>22991231</v>
      </c>
      <c r="E5711" s="25">
        <v>9555.3700000000008</v>
      </c>
    </row>
    <row r="5712" spans="1:5" ht="52" x14ac:dyDescent="0.3">
      <c r="A5712" s="17" t="str">
        <f>"C9789"</f>
        <v>C9789</v>
      </c>
      <c r="B5712" s="5" t="s">
        <v>5719</v>
      </c>
      <c r="C5712" s="17">
        <v>20240101</v>
      </c>
      <c r="D5712" s="17">
        <v>22991231</v>
      </c>
      <c r="E5712" s="25">
        <v>1170.3</v>
      </c>
    </row>
    <row r="5713" spans="1:5" ht="39" x14ac:dyDescent="0.3">
      <c r="A5713" s="17" t="str">
        <f>"C9790"</f>
        <v>C9790</v>
      </c>
      <c r="B5713" s="5" t="s">
        <v>5720</v>
      </c>
      <c r="C5713" s="17">
        <v>20240101</v>
      </c>
      <c r="D5713" s="17">
        <v>22991231</v>
      </c>
      <c r="E5713" s="25">
        <v>6500.49</v>
      </c>
    </row>
    <row r="5714" spans="1:5" ht="65" x14ac:dyDescent="0.3">
      <c r="A5714" s="17" t="str">
        <f>"C9794"</f>
        <v>C9794</v>
      </c>
      <c r="B5714" s="5" t="s">
        <v>5721</v>
      </c>
      <c r="C5714" s="17">
        <v>20240101</v>
      </c>
      <c r="D5714" s="17">
        <v>22991231</v>
      </c>
      <c r="E5714" s="25">
        <v>1014.29</v>
      </c>
    </row>
    <row r="5715" spans="1:5" x14ac:dyDescent="0.3">
      <c r="A5715" s="17" t="str">
        <f>"D0120"</f>
        <v>D0120</v>
      </c>
      <c r="B5715" s="5" t="s">
        <v>5722</v>
      </c>
      <c r="C5715" s="17">
        <v>20240101</v>
      </c>
      <c r="D5715" s="17">
        <v>22991231</v>
      </c>
      <c r="E5715" s="25">
        <v>0</v>
      </c>
    </row>
    <row r="5716" spans="1:5" x14ac:dyDescent="0.3">
      <c r="A5716" s="17" t="str">
        <f>"D0140"</f>
        <v>D0140</v>
      </c>
      <c r="B5716" s="5" t="s">
        <v>5723</v>
      </c>
      <c r="C5716" s="17">
        <v>20160205</v>
      </c>
      <c r="D5716" s="17">
        <v>22991231</v>
      </c>
      <c r="E5716" s="25">
        <v>0</v>
      </c>
    </row>
    <row r="5717" spans="1:5" ht="26" x14ac:dyDescent="0.3">
      <c r="A5717" s="17" t="str">
        <f>"D0145"</f>
        <v>D0145</v>
      </c>
      <c r="B5717" s="5" t="s">
        <v>5724</v>
      </c>
      <c r="C5717" s="17">
        <v>20160205</v>
      </c>
      <c r="D5717" s="17">
        <v>22991231</v>
      </c>
      <c r="E5717" s="21" t="s">
        <v>7128</v>
      </c>
    </row>
    <row r="5718" spans="1:5" ht="26" x14ac:dyDescent="0.3">
      <c r="A5718" s="17" t="str">
        <f>"D0150"</f>
        <v>D0150</v>
      </c>
      <c r="B5718" s="5" t="s">
        <v>5725</v>
      </c>
      <c r="C5718" s="17">
        <v>20031016</v>
      </c>
      <c r="D5718" s="17">
        <v>22991231</v>
      </c>
      <c r="E5718" s="25">
        <v>0</v>
      </c>
    </row>
    <row r="5719" spans="1:5" ht="26" x14ac:dyDescent="0.3">
      <c r="A5719" s="17" t="str">
        <f>"D0160"</f>
        <v>D0160</v>
      </c>
      <c r="B5719" s="5" t="s">
        <v>5726</v>
      </c>
      <c r="C5719" s="17">
        <v>20240101</v>
      </c>
      <c r="D5719" s="17">
        <v>22991231</v>
      </c>
      <c r="E5719" s="25">
        <v>0</v>
      </c>
    </row>
    <row r="5720" spans="1:5" ht="26" x14ac:dyDescent="0.3">
      <c r="A5720" s="17" t="str">
        <f>"D0170"</f>
        <v>D0170</v>
      </c>
      <c r="B5720" s="5" t="s">
        <v>5727</v>
      </c>
      <c r="C5720" s="17">
        <v>20240101</v>
      </c>
      <c r="D5720" s="17">
        <v>22991231</v>
      </c>
      <c r="E5720" s="25">
        <v>0</v>
      </c>
    </row>
    <row r="5721" spans="1:5" x14ac:dyDescent="0.3">
      <c r="A5721" s="17" t="str">
        <f>"D0171"</f>
        <v>D0171</v>
      </c>
      <c r="B5721" s="5" t="s">
        <v>5728</v>
      </c>
      <c r="C5721" s="17">
        <v>20240101</v>
      </c>
      <c r="D5721" s="17">
        <v>22991231</v>
      </c>
      <c r="E5721" s="25">
        <v>0</v>
      </c>
    </row>
    <row r="5722" spans="1:5" ht="26" x14ac:dyDescent="0.3">
      <c r="A5722" s="17" t="str">
        <f>"D0180"</f>
        <v>D0180</v>
      </c>
      <c r="B5722" s="5" t="s">
        <v>5729</v>
      </c>
      <c r="C5722" s="17">
        <v>20240101</v>
      </c>
      <c r="D5722" s="17">
        <v>22991231</v>
      </c>
      <c r="E5722" s="25">
        <v>0</v>
      </c>
    </row>
    <row r="5723" spans="1:5" x14ac:dyDescent="0.3">
      <c r="A5723" s="17" t="str">
        <f>"D0191"</f>
        <v>D0191</v>
      </c>
      <c r="B5723" s="5" t="s">
        <v>5730</v>
      </c>
      <c r="C5723" s="17">
        <v>20160205</v>
      </c>
      <c r="D5723" s="17">
        <v>22991231</v>
      </c>
      <c r="E5723" s="25">
        <v>0</v>
      </c>
    </row>
    <row r="5724" spans="1:5" ht="26" x14ac:dyDescent="0.3">
      <c r="A5724" s="17" t="str">
        <f>"D0210"</f>
        <v>D0210</v>
      </c>
      <c r="B5724" s="5" t="s">
        <v>5731</v>
      </c>
      <c r="C5724" s="17">
        <v>20050401</v>
      </c>
      <c r="D5724" s="17">
        <v>22991231</v>
      </c>
      <c r="E5724" s="25">
        <v>0</v>
      </c>
    </row>
    <row r="5725" spans="1:5" x14ac:dyDescent="0.3">
      <c r="A5725" s="17" t="str">
        <f>"D0220"</f>
        <v>D0220</v>
      </c>
      <c r="B5725" s="5" t="s">
        <v>5732</v>
      </c>
      <c r="C5725" s="17">
        <v>20050401</v>
      </c>
      <c r="D5725" s="17">
        <v>22991231</v>
      </c>
      <c r="E5725" s="25">
        <v>0</v>
      </c>
    </row>
    <row r="5726" spans="1:5" ht="26" x14ac:dyDescent="0.3">
      <c r="A5726" s="17" t="str">
        <f>"D0230"</f>
        <v>D0230</v>
      </c>
      <c r="B5726" s="5" t="s">
        <v>5733</v>
      </c>
      <c r="C5726" s="17">
        <v>20050401</v>
      </c>
      <c r="D5726" s="17">
        <v>22991231</v>
      </c>
      <c r="E5726" s="25">
        <v>0</v>
      </c>
    </row>
    <row r="5727" spans="1:5" x14ac:dyDescent="0.3">
      <c r="A5727" s="17" t="str">
        <f>"D0240"</f>
        <v>D0240</v>
      </c>
      <c r="B5727" s="5" t="s">
        <v>5734</v>
      </c>
      <c r="C5727" s="17">
        <v>20240101</v>
      </c>
      <c r="D5727" s="17">
        <v>22991231</v>
      </c>
      <c r="E5727" s="25">
        <v>0</v>
      </c>
    </row>
    <row r="5728" spans="1:5" ht="39" x14ac:dyDescent="0.3">
      <c r="A5728" s="17" t="str">
        <f>"D0250"</f>
        <v>D0250</v>
      </c>
      <c r="B5728" s="5" t="s">
        <v>5735</v>
      </c>
      <c r="C5728" s="17">
        <v>20240101</v>
      </c>
      <c r="D5728" s="17">
        <v>22991231</v>
      </c>
      <c r="E5728" s="25">
        <v>0</v>
      </c>
    </row>
    <row r="5729" spans="1:5" x14ac:dyDescent="0.3">
      <c r="A5729" s="17" t="str">
        <f>"D0251"</f>
        <v>D0251</v>
      </c>
      <c r="B5729" s="5" t="s">
        <v>5736</v>
      </c>
      <c r="C5729" s="17">
        <v>20240101</v>
      </c>
      <c r="D5729" s="17">
        <v>22991231</v>
      </c>
      <c r="E5729" s="25">
        <v>0</v>
      </c>
    </row>
    <row r="5730" spans="1:5" x14ac:dyDescent="0.3">
      <c r="A5730" s="17" t="str">
        <f>"D0270"</f>
        <v>D0270</v>
      </c>
      <c r="B5730" s="5" t="s">
        <v>5737</v>
      </c>
      <c r="C5730" s="17">
        <v>20050401</v>
      </c>
      <c r="D5730" s="17">
        <v>22991231</v>
      </c>
      <c r="E5730" s="25">
        <v>0</v>
      </c>
    </row>
    <row r="5731" spans="1:5" x14ac:dyDescent="0.3">
      <c r="A5731" s="17" t="str">
        <f>"D0272"</f>
        <v>D0272</v>
      </c>
      <c r="B5731" s="5" t="s">
        <v>5738</v>
      </c>
      <c r="C5731" s="17">
        <v>20050401</v>
      </c>
      <c r="D5731" s="17">
        <v>22991231</v>
      </c>
      <c r="E5731" s="25">
        <v>0</v>
      </c>
    </row>
    <row r="5732" spans="1:5" x14ac:dyDescent="0.3">
      <c r="A5732" s="17" t="str">
        <f>"D0273"</f>
        <v>D0273</v>
      </c>
      <c r="B5732" s="5" t="s">
        <v>5739</v>
      </c>
      <c r="C5732" s="17">
        <v>20240101</v>
      </c>
      <c r="D5732" s="17">
        <v>22991231</v>
      </c>
      <c r="E5732" s="25">
        <v>0</v>
      </c>
    </row>
    <row r="5733" spans="1:5" x14ac:dyDescent="0.3">
      <c r="A5733" s="17" t="str">
        <f>"D0274"</f>
        <v>D0274</v>
      </c>
      <c r="B5733" s="5" t="s">
        <v>5740</v>
      </c>
      <c r="C5733" s="17">
        <v>20050401</v>
      </c>
      <c r="D5733" s="17">
        <v>22991231</v>
      </c>
      <c r="E5733" s="25">
        <v>0</v>
      </c>
    </row>
    <row r="5734" spans="1:5" x14ac:dyDescent="0.3">
      <c r="A5734" s="17" t="str">
        <f>"D0277"</f>
        <v>D0277</v>
      </c>
      <c r="B5734" s="5" t="s">
        <v>5741</v>
      </c>
      <c r="C5734" s="17">
        <v>20240101</v>
      </c>
      <c r="D5734" s="17">
        <v>22991231</v>
      </c>
      <c r="E5734" s="25">
        <v>0</v>
      </c>
    </row>
    <row r="5735" spans="1:5" x14ac:dyDescent="0.3">
      <c r="A5735" s="17" t="str">
        <f>"D0330"</f>
        <v>D0330</v>
      </c>
      <c r="B5735" s="5" t="s">
        <v>5742</v>
      </c>
      <c r="C5735" s="17">
        <v>20160205</v>
      </c>
      <c r="D5735" s="17">
        <v>22991231</v>
      </c>
      <c r="E5735" s="25">
        <v>0</v>
      </c>
    </row>
    <row r="5736" spans="1:5" ht="26" x14ac:dyDescent="0.3">
      <c r="A5736" s="17" t="str">
        <f>"D0340"</f>
        <v>D0340</v>
      </c>
      <c r="B5736" s="5" t="s">
        <v>5743</v>
      </c>
      <c r="C5736" s="17">
        <v>20050401</v>
      </c>
      <c r="D5736" s="17">
        <v>22991231</v>
      </c>
      <c r="E5736" s="25">
        <v>0</v>
      </c>
    </row>
    <row r="5737" spans="1:5" ht="26" x14ac:dyDescent="0.3">
      <c r="A5737" s="17" t="str">
        <f>"D0350"</f>
        <v>D0350</v>
      </c>
      <c r="B5737" s="5" t="s">
        <v>5744</v>
      </c>
      <c r="C5737" s="17">
        <v>20240101</v>
      </c>
      <c r="D5737" s="17">
        <v>22991231</v>
      </c>
      <c r="E5737" s="25">
        <v>0</v>
      </c>
    </row>
    <row r="5738" spans="1:5" ht="39" x14ac:dyDescent="0.3">
      <c r="A5738" s="17" t="str">
        <f>"D0367"</f>
        <v>D0367</v>
      </c>
      <c r="B5738" s="5" t="s">
        <v>5745</v>
      </c>
      <c r="C5738" s="17">
        <v>20240101</v>
      </c>
      <c r="D5738" s="17">
        <v>22991231</v>
      </c>
      <c r="E5738" s="25">
        <v>0</v>
      </c>
    </row>
    <row r="5739" spans="1:5" ht="26" x14ac:dyDescent="0.3">
      <c r="A5739" s="17" t="str">
        <f>"D0383"</f>
        <v>D0383</v>
      </c>
      <c r="B5739" s="5" t="s">
        <v>5746</v>
      </c>
      <c r="C5739" s="17">
        <v>20240101</v>
      </c>
      <c r="D5739" s="17">
        <v>22991231</v>
      </c>
      <c r="E5739" s="25">
        <v>0</v>
      </c>
    </row>
    <row r="5740" spans="1:5" ht="26" x14ac:dyDescent="0.3">
      <c r="A5740" s="17" t="str">
        <f>"D0393"</f>
        <v>D0393</v>
      </c>
      <c r="B5740" s="5" t="s">
        <v>5747</v>
      </c>
      <c r="C5740" s="17">
        <v>20240101</v>
      </c>
      <c r="D5740" s="17">
        <v>22991231</v>
      </c>
      <c r="E5740" s="25">
        <v>0</v>
      </c>
    </row>
    <row r="5741" spans="1:5" x14ac:dyDescent="0.3">
      <c r="A5741" s="17" t="str">
        <f>"D1110"</f>
        <v>D1110</v>
      </c>
      <c r="B5741" s="5" t="s">
        <v>5748</v>
      </c>
      <c r="C5741" s="17">
        <v>20050401</v>
      </c>
      <c r="D5741" s="17">
        <v>22991231</v>
      </c>
      <c r="E5741" s="25">
        <v>0</v>
      </c>
    </row>
    <row r="5742" spans="1:5" x14ac:dyDescent="0.3">
      <c r="A5742" s="17" t="str">
        <f>"D1120"</f>
        <v>D1120</v>
      </c>
      <c r="B5742" s="5" t="s">
        <v>5749</v>
      </c>
      <c r="C5742" s="17">
        <v>20070101</v>
      </c>
      <c r="D5742" s="17">
        <v>22991231</v>
      </c>
      <c r="E5742" s="21" t="s">
        <v>7128</v>
      </c>
    </row>
    <row r="5743" spans="1:5" x14ac:dyDescent="0.3">
      <c r="A5743" s="17" t="str">
        <f>"D1351"</f>
        <v>D1351</v>
      </c>
      <c r="B5743" s="5" t="s">
        <v>5750</v>
      </c>
      <c r="C5743" s="17">
        <v>20050401</v>
      </c>
      <c r="D5743" s="17">
        <v>22991231</v>
      </c>
      <c r="E5743" s="21" t="s">
        <v>7128</v>
      </c>
    </row>
    <row r="5744" spans="1:5" ht="26" x14ac:dyDescent="0.3">
      <c r="A5744" s="17" t="str">
        <f>"D1354"</f>
        <v>D1354</v>
      </c>
      <c r="B5744" s="5" t="s">
        <v>5751</v>
      </c>
      <c r="C5744" s="17">
        <v>20240101</v>
      </c>
      <c r="D5744" s="17">
        <v>22991231</v>
      </c>
      <c r="E5744" s="25">
        <v>0</v>
      </c>
    </row>
    <row r="5745" spans="1:6" ht="26" x14ac:dyDescent="0.3">
      <c r="A5745" s="17" t="str">
        <f>"D1510"</f>
        <v>D1510</v>
      </c>
      <c r="B5745" s="5" t="s">
        <v>5752</v>
      </c>
      <c r="C5745" s="17">
        <v>20050401</v>
      </c>
      <c r="D5745" s="17">
        <v>22991231</v>
      </c>
      <c r="E5745" s="21" t="s">
        <v>7128</v>
      </c>
    </row>
    <row r="5746" spans="1:6" ht="26" x14ac:dyDescent="0.3">
      <c r="A5746" s="17" t="str">
        <f>"D1520"</f>
        <v>D1520</v>
      </c>
      <c r="B5746" s="5" t="s">
        <v>5753</v>
      </c>
      <c r="C5746" s="17">
        <v>20050401</v>
      </c>
      <c r="D5746" s="17">
        <v>22991231</v>
      </c>
      <c r="E5746" s="21" t="s">
        <v>7128</v>
      </c>
    </row>
    <row r="5747" spans="1:6" x14ac:dyDescent="0.3">
      <c r="A5747" s="17" t="str">
        <f>"D2140"</f>
        <v>D2140</v>
      </c>
      <c r="B5747" s="5" t="s">
        <v>5754</v>
      </c>
      <c r="C5747" s="17">
        <v>20050401</v>
      </c>
      <c r="D5747" s="17">
        <v>22991231</v>
      </c>
      <c r="E5747" s="25">
        <v>0</v>
      </c>
    </row>
    <row r="5748" spans="1:6" x14ac:dyDescent="0.3">
      <c r="A5748" s="17" t="str">
        <f>"D2150"</f>
        <v>D2150</v>
      </c>
      <c r="B5748" s="5" t="s">
        <v>5755</v>
      </c>
      <c r="C5748" s="17">
        <v>20050401</v>
      </c>
      <c r="D5748" s="17">
        <v>22991231</v>
      </c>
      <c r="E5748" s="25">
        <v>0</v>
      </c>
    </row>
    <row r="5749" spans="1:6" x14ac:dyDescent="0.3">
      <c r="A5749" s="17" t="str">
        <f>"D2160"</f>
        <v>D2160</v>
      </c>
      <c r="B5749" s="5" t="s">
        <v>5756</v>
      </c>
      <c r="C5749" s="17">
        <v>20050401</v>
      </c>
      <c r="D5749" s="17">
        <v>22991231</v>
      </c>
      <c r="E5749" s="25">
        <v>0</v>
      </c>
      <c r="F5749" s="18"/>
    </row>
    <row r="5750" spans="1:6" ht="26" x14ac:dyDescent="0.3">
      <c r="A5750" s="17" t="str">
        <f>"D2161"</f>
        <v>D2161</v>
      </c>
      <c r="B5750" s="5" t="s">
        <v>5757</v>
      </c>
      <c r="C5750" s="17">
        <v>20050401</v>
      </c>
      <c r="D5750" s="17">
        <v>22991231</v>
      </c>
      <c r="E5750" s="25">
        <v>0</v>
      </c>
    </row>
    <row r="5751" spans="1:6" x14ac:dyDescent="0.3">
      <c r="A5751" s="17" t="str">
        <f>"D2330"</f>
        <v>D2330</v>
      </c>
      <c r="B5751" s="5" t="s">
        <v>5758</v>
      </c>
      <c r="C5751" s="17">
        <v>20050401</v>
      </c>
      <c r="D5751" s="17">
        <v>22991231</v>
      </c>
      <c r="E5751" s="25">
        <v>0</v>
      </c>
    </row>
    <row r="5752" spans="1:6" x14ac:dyDescent="0.3">
      <c r="A5752" s="17" t="str">
        <f>"D2331"</f>
        <v>D2331</v>
      </c>
      <c r="B5752" s="5" t="s">
        <v>5759</v>
      </c>
      <c r="C5752" s="17">
        <v>20050401</v>
      </c>
      <c r="D5752" s="17">
        <v>22991231</v>
      </c>
      <c r="E5752" s="25">
        <v>0</v>
      </c>
    </row>
    <row r="5753" spans="1:6" x14ac:dyDescent="0.3">
      <c r="A5753" s="17" t="str">
        <f>"D2332"</f>
        <v>D2332</v>
      </c>
      <c r="B5753" s="5" t="s">
        <v>5760</v>
      </c>
      <c r="C5753" s="17">
        <v>20050401</v>
      </c>
      <c r="D5753" s="17">
        <v>22991231</v>
      </c>
      <c r="E5753" s="25">
        <v>0</v>
      </c>
    </row>
    <row r="5754" spans="1:6" ht="26" x14ac:dyDescent="0.3">
      <c r="A5754" s="17" t="str">
        <f>"D2335"</f>
        <v>D2335</v>
      </c>
      <c r="B5754" s="5" t="s">
        <v>5761</v>
      </c>
      <c r="C5754" s="17">
        <v>20050401</v>
      </c>
      <c r="D5754" s="17">
        <v>22991231</v>
      </c>
      <c r="E5754" s="25">
        <v>0</v>
      </c>
    </row>
    <row r="5755" spans="1:6" x14ac:dyDescent="0.3">
      <c r="A5755" s="17" t="str">
        <f>"D2390"</f>
        <v>D2390</v>
      </c>
      <c r="B5755" s="5" t="s">
        <v>5762</v>
      </c>
      <c r="C5755" s="17">
        <v>20160205</v>
      </c>
      <c r="D5755" s="17">
        <v>22991231</v>
      </c>
      <c r="E5755" s="25">
        <v>0</v>
      </c>
    </row>
    <row r="5756" spans="1:6" x14ac:dyDescent="0.3">
      <c r="A5756" s="17" t="str">
        <f>"D2391"</f>
        <v>D2391</v>
      </c>
      <c r="B5756" s="5" t="s">
        <v>5763</v>
      </c>
      <c r="C5756" s="17">
        <v>20050401</v>
      </c>
      <c r="D5756" s="17">
        <v>22991231</v>
      </c>
      <c r="E5756" s="25">
        <v>0</v>
      </c>
    </row>
    <row r="5757" spans="1:6" x14ac:dyDescent="0.3">
      <c r="A5757" s="17" t="str">
        <f>"D2392"</f>
        <v>D2392</v>
      </c>
      <c r="B5757" s="5" t="s">
        <v>5764</v>
      </c>
      <c r="C5757" s="17">
        <v>20050401</v>
      </c>
      <c r="D5757" s="17">
        <v>22991231</v>
      </c>
      <c r="E5757" s="25">
        <v>0</v>
      </c>
    </row>
    <row r="5758" spans="1:6" ht="26" x14ac:dyDescent="0.3">
      <c r="A5758" s="17" t="str">
        <f>"D2393"</f>
        <v>D2393</v>
      </c>
      <c r="B5758" s="5" t="s">
        <v>5765</v>
      </c>
      <c r="C5758" s="17">
        <v>20050401</v>
      </c>
      <c r="D5758" s="17">
        <v>22991231</v>
      </c>
      <c r="E5758" s="25">
        <v>0</v>
      </c>
    </row>
    <row r="5759" spans="1:6" ht="26" x14ac:dyDescent="0.3">
      <c r="A5759" s="17" t="str">
        <f>"D2394"</f>
        <v>D2394</v>
      </c>
      <c r="B5759" s="5" t="s">
        <v>5766</v>
      </c>
      <c r="C5759" s="17">
        <v>20050401</v>
      </c>
      <c r="D5759" s="17">
        <v>22991231</v>
      </c>
      <c r="E5759" s="25">
        <v>0</v>
      </c>
    </row>
    <row r="5760" spans="1:6" x14ac:dyDescent="0.3">
      <c r="A5760" s="17" t="str">
        <f>"D2740"</f>
        <v>D2740</v>
      </c>
      <c r="B5760" s="5" t="s">
        <v>5767</v>
      </c>
      <c r="C5760" s="17">
        <v>20240101</v>
      </c>
      <c r="D5760" s="17">
        <v>22991231</v>
      </c>
      <c r="E5760" s="25">
        <v>0</v>
      </c>
    </row>
    <row r="5761" spans="1:5" x14ac:dyDescent="0.3">
      <c r="A5761" s="17" t="str">
        <f>"D2750"</f>
        <v>D2750</v>
      </c>
      <c r="B5761" s="5" t="s">
        <v>5768</v>
      </c>
      <c r="C5761" s="17">
        <v>20240101</v>
      </c>
      <c r="D5761" s="17">
        <v>22991231</v>
      </c>
      <c r="E5761" s="25">
        <v>0</v>
      </c>
    </row>
    <row r="5762" spans="1:5" ht="26" x14ac:dyDescent="0.3">
      <c r="A5762" s="17" t="str">
        <f>"D2751"</f>
        <v>D2751</v>
      </c>
      <c r="B5762" s="5" t="s">
        <v>5769</v>
      </c>
      <c r="C5762" s="17">
        <v>20240101</v>
      </c>
      <c r="D5762" s="17">
        <v>22991231</v>
      </c>
      <c r="E5762" s="25">
        <v>0</v>
      </c>
    </row>
    <row r="5763" spans="1:5" x14ac:dyDescent="0.3">
      <c r="A5763" s="17" t="str">
        <f>"D2752"</f>
        <v>D2752</v>
      </c>
      <c r="B5763" s="5" t="s">
        <v>5770</v>
      </c>
      <c r="C5763" s="17">
        <v>20240101</v>
      </c>
      <c r="D5763" s="17">
        <v>22991231</v>
      </c>
      <c r="E5763" s="25">
        <v>0</v>
      </c>
    </row>
    <row r="5764" spans="1:5" x14ac:dyDescent="0.3">
      <c r="A5764" s="17" t="str">
        <f>"D2791"</f>
        <v>D2791</v>
      </c>
      <c r="B5764" s="5" t="s">
        <v>5771</v>
      </c>
      <c r="C5764" s="17">
        <v>20240101</v>
      </c>
      <c r="D5764" s="17">
        <v>22991231</v>
      </c>
      <c r="E5764" s="25">
        <v>0</v>
      </c>
    </row>
    <row r="5765" spans="1:5" ht="26" x14ac:dyDescent="0.3">
      <c r="A5765" s="17" t="str">
        <f>"D2799"</f>
        <v>D2799</v>
      </c>
      <c r="B5765" s="5" t="s">
        <v>5772</v>
      </c>
      <c r="C5765" s="17">
        <v>20240101</v>
      </c>
      <c r="D5765" s="17">
        <v>22991231</v>
      </c>
      <c r="E5765" s="25">
        <v>0</v>
      </c>
    </row>
    <row r="5766" spans="1:5" x14ac:dyDescent="0.3">
      <c r="A5766" s="17" t="str">
        <f>"D2920"</f>
        <v>D2920</v>
      </c>
      <c r="B5766" s="5" t="s">
        <v>5773</v>
      </c>
      <c r="C5766" s="17">
        <v>20240101</v>
      </c>
      <c r="D5766" s="17">
        <v>22991231</v>
      </c>
      <c r="E5766" s="25">
        <v>0</v>
      </c>
    </row>
    <row r="5767" spans="1:5" ht="26" x14ac:dyDescent="0.3">
      <c r="A5767" s="17" t="str">
        <f>"D2929"</f>
        <v>D2929</v>
      </c>
      <c r="B5767" s="5" t="s">
        <v>5774</v>
      </c>
      <c r="C5767" s="17">
        <v>20240101</v>
      </c>
      <c r="D5767" s="17">
        <v>22991231</v>
      </c>
      <c r="E5767" s="25">
        <v>0</v>
      </c>
    </row>
    <row r="5768" spans="1:5" ht="26" x14ac:dyDescent="0.3">
      <c r="A5768" s="17" t="str">
        <f>"D2930"</f>
        <v>D2930</v>
      </c>
      <c r="B5768" s="5" t="s">
        <v>5775</v>
      </c>
      <c r="C5768" s="17">
        <v>20050401</v>
      </c>
      <c r="D5768" s="17">
        <v>22991231</v>
      </c>
      <c r="E5768" s="25">
        <v>0</v>
      </c>
    </row>
    <row r="5769" spans="1:5" ht="26" x14ac:dyDescent="0.3">
      <c r="A5769" s="17" t="str">
        <f>"D2931"</f>
        <v>D2931</v>
      </c>
      <c r="B5769" s="5" t="s">
        <v>5776</v>
      </c>
      <c r="C5769" s="17">
        <v>20050401</v>
      </c>
      <c r="D5769" s="17">
        <v>22991231</v>
      </c>
      <c r="E5769" s="25">
        <v>0</v>
      </c>
    </row>
    <row r="5770" spans="1:5" x14ac:dyDescent="0.3">
      <c r="A5770" s="17" t="str">
        <f>"D2932"</f>
        <v>D2932</v>
      </c>
      <c r="B5770" s="5" t="s">
        <v>5777</v>
      </c>
      <c r="C5770" s="17">
        <v>20050401</v>
      </c>
      <c r="D5770" s="17">
        <v>22991231</v>
      </c>
      <c r="E5770" s="25">
        <v>0</v>
      </c>
    </row>
    <row r="5771" spans="1:5" ht="26" x14ac:dyDescent="0.3">
      <c r="A5771" s="17" t="str">
        <f>"D2933"</f>
        <v>D2933</v>
      </c>
      <c r="B5771" s="5" t="s">
        <v>5778</v>
      </c>
      <c r="C5771" s="17">
        <v>20240101</v>
      </c>
      <c r="D5771" s="17">
        <v>22991231</v>
      </c>
      <c r="E5771" s="25">
        <v>0</v>
      </c>
    </row>
    <row r="5772" spans="1:5" ht="26" x14ac:dyDescent="0.3">
      <c r="A5772" s="17" t="str">
        <f>"D2934"</f>
        <v>D2934</v>
      </c>
      <c r="B5772" s="5" t="s">
        <v>5779</v>
      </c>
      <c r="C5772" s="17">
        <v>20090401</v>
      </c>
      <c r="D5772" s="17">
        <v>22991231</v>
      </c>
      <c r="E5772" s="25">
        <v>0</v>
      </c>
    </row>
    <row r="5773" spans="1:5" x14ac:dyDescent="0.3">
      <c r="A5773" s="17" t="str">
        <f>"D2940"</f>
        <v>D2940</v>
      </c>
      <c r="B5773" s="5" t="s">
        <v>5780</v>
      </c>
      <c r="C5773" s="17">
        <v>20240101</v>
      </c>
      <c r="D5773" s="17">
        <v>22991231</v>
      </c>
      <c r="E5773" s="25">
        <v>0</v>
      </c>
    </row>
    <row r="5774" spans="1:5" ht="26" x14ac:dyDescent="0.3">
      <c r="A5774" s="17" t="str">
        <f>"D2941"</f>
        <v>D2941</v>
      </c>
      <c r="B5774" s="5" t="s">
        <v>5781</v>
      </c>
      <c r="C5774" s="17">
        <v>20240101</v>
      </c>
      <c r="D5774" s="17">
        <v>22991231</v>
      </c>
      <c r="E5774" s="25">
        <v>0</v>
      </c>
    </row>
    <row r="5775" spans="1:5" x14ac:dyDescent="0.3">
      <c r="A5775" s="17" t="str">
        <f>"D2950"</f>
        <v>D2950</v>
      </c>
      <c r="B5775" s="5" t="s">
        <v>5782</v>
      </c>
      <c r="C5775" s="17">
        <v>20240101</v>
      </c>
      <c r="D5775" s="17">
        <v>22991231</v>
      </c>
      <c r="E5775" s="25">
        <v>0</v>
      </c>
    </row>
    <row r="5776" spans="1:5" x14ac:dyDescent="0.3">
      <c r="A5776" s="17" t="str">
        <f>"D2951"</f>
        <v>D2951</v>
      </c>
      <c r="B5776" s="5" t="s">
        <v>5783</v>
      </c>
      <c r="C5776" s="17">
        <v>20050401</v>
      </c>
      <c r="D5776" s="17">
        <v>22991231</v>
      </c>
      <c r="E5776" s="25">
        <v>0</v>
      </c>
    </row>
    <row r="5777" spans="1:5" ht="26" x14ac:dyDescent="0.3">
      <c r="A5777" s="17" t="str">
        <f>"D2952"</f>
        <v>D2952</v>
      </c>
      <c r="B5777" s="5" t="s">
        <v>5784</v>
      </c>
      <c r="C5777" s="17">
        <v>20240101</v>
      </c>
      <c r="D5777" s="17">
        <v>22991231</v>
      </c>
      <c r="E5777" s="25">
        <v>0</v>
      </c>
    </row>
    <row r="5778" spans="1:5" x14ac:dyDescent="0.3">
      <c r="A5778" s="17" t="str">
        <f>"D2954"</f>
        <v>D2954</v>
      </c>
      <c r="B5778" s="5" t="s">
        <v>5785</v>
      </c>
      <c r="C5778" s="17">
        <v>20240101</v>
      </c>
      <c r="D5778" s="17">
        <v>22991231</v>
      </c>
      <c r="E5778" s="25">
        <v>0</v>
      </c>
    </row>
    <row r="5779" spans="1:5" x14ac:dyDescent="0.3">
      <c r="A5779" s="17" t="str">
        <f>"D3110"</f>
        <v>D3110</v>
      </c>
      <c r="B5779" s="5" t="s">
        <v>5786</v>
      </c>
      <c r="C5779" s="17">
        <v>20050401</v>
      </c>
      <c r="D5779" s="17">
        <v>22991231</v>
      </c>
      <c r="E5779" s="25">
        <v>0</v>
      </c>
    </row>
    <row r="5780" spans="1:5" x14ac:dyDescent="0.3">
      <c r="A5780" s="17" t="str">
        <f>"D3120"</f>
        <v>D3120</v>
      </c>
      <c r="B5780" s="5" t="s">
        <v>5787</v>
      </c>
      <c r="C5780" s="17">
        <v>20240101</v>
      </c>
      <c r="D5780" s="17">
        <v>22991231</v>
      </c>
      <c r="E5780" s="25">
        <v>0</v>
      </c>
    </row>
    <row r="5781" spans="1:5" ht="52" x14ac:dyDescent="0.3">
      <c r="A5781" s="17" t="str">
        <f>"D3220"</f>
        <v>D3220</v>
      </c>
      <c r="B5781" s="5" t="s">
        <v>5788</v>
      </c>
      <c r="C5781" s="17">
        <v>20050401</v>
      </c>
      <c r="D5781" s="17">
        <v>22991231</v>
      </c>
      <c r="E5781" s="25">
        <v>0</v>
      </c>
    </row>
    <row r="5782" spans="1:5" ht="26" x14ac:dyDescent="0.3">
      <c r="A5782" s="17" t="str">
        <f>"D3221"</f>
        <v>D3221</v>
      </c>
      <c r="B5782" s="5" t="s">
        <v>5789</v>
      </c>
      <c r="C5782" s="17">
        <v>20240101</v>
      </c>
      <c r="D5782" s="17">
        <v>22991231</v>
      </c>
      <c r="E5782" s="25">
        <v>0</v>
      </c>
    </row>
    <row r="5783" spans="1:5" ht="26" x14ac:dyDescent="0.3">
      <c r="A5783" s="17" t="str">
        <f>"D3222"</f>
        <v>D3222</v>
      </c>
      <c r="B5783" s="5" t="s">
        <v>5790</v>
      </c>
      <c r="C5783" s="17">
        <v>20240101</v>
      </c>
      <c r="D5783" s="17">
        <v>22991231</v>
      </c>
      <c r="E5783" s="25">
        <v>0</v>
      </c>
    </row>
    <row r="5784" spans="1:5" ht="26" x14ac:dyDescent="0.3">
      <c r="A5784" s="17" t="str">
        <f>"D3230"</f>
        <v>D3230</v>
      </c>
      <c r="B5784" s="5" t="s">
        <v>5791</v>
      </c>
      <c r="C5784" s="17">
        <v>20240101</v>
      </c>
      <c r="D5784" s="17">
        <v>22991231</v>
      </c>
      <c r="E5784" s="25">
        <v>0</v>
      </c>
    </row>
    <row r="5785" spans="1:5" ht="26" x14ac:dyDescent="0.3">
      <c r="A5785" s="17" t="str">
        <f>"D3240"</f>
        <v>D3240</v>
      </c>
      <c r="B5785" s="5" t="s">
        <v>5792</v>
      </c>
      <c r="C5785" s="17">
        <v>20240101</v>
      </c>
      <c r="D5785" s="17">
        <v>22991231</v>
      </c>
      <c r="E5785" s="25">
        <v>0</v>
      </c>
    </row>
    <row r="5786" spans="1:5" ht="26" x14ac:dyDescent="0.3">
      <c r="A5786" s="17" t="str">
        <f>"D3310"</f>
        <v>D3310</v>
      </c>
      <c r="B5786" s="5" t="s">
        <v>5793</v>
      </c>
      <c r="C5786" s="17">
        <v>20050401</v>
      </c>
      <c r="D5786" s="17">
        <v>22991231</v>
      </c>
      <c r="E5786" s="25">
        <v>0</v>
      </c>
    </row>
    <row r="5787" spans="1:5" ht="26" x14ac:dyDescent="0.3">
      <c r="A5787" s="17" t="str">
        <f>"D3320"</f>
        <v>D3320</v>
      </c>
      <c r="B5787" s="5" t="s">
        <v>5794</v>
      </c>
      <c r="C5787" s="17">
        <v>20050401</v>
      </c>
      <c r="D5787" s="17">
        <v>22991231</v>
      </c>
      <c r="E5787" s="25">
        <v>0</v>
      </c>
    </row>
    <row r="5788" spans="1:5" ht="26" x14ac:dyDescent="0.3">
      <c r="A5788" s="17" t="str">
        <f>"D3330"</f>
        <v>D3330</v>
      </c>
      <c r="B5788" s="5" t="s">
        <v>5795</v>
      </c>
      <c r="C5788" s="17">
        <v>20050401</v>
      </c>
      <c r="D5788" s="17">
        <v>22991231</v>
      </c>
      <c r="E5788" s="25">
        <v>0</v>
      </c>
    </row>
    <row r="5789" spans="1:5" x14ac:dyDescent="0.3">
      <c r="A5789" s="17" t="str">
        <f>"D3410"</f>
        <v>D3410</v>
      </c>
      <c r="B5789" s="5" t="s">
        <v>5796</v>
      </c>
      <c r="C5789" s="17">
        <v>20050401</v>
      </c>
      <c r="D5789" s="17">
        <v>22991231</v>
      </c>
      <c r="E5789" s="21" t="s">
        <v>7128</v>
      </c>
    </row>
    <row r="5790" spans="1:5" x14ac:dyDescent="0.3">
      <c r="A5790" s="17" t="str">
        <f>"D3421"</f>
        <v>D3421</v>
      </c>
      <c r="B5790" s="5" t="s">
        <v>5797</v>
      </c>
      <c r="C5790" s="17">
        <v>20050401</v>
      </c>
      <c r="D5790" s="17">
        <v>22991231</v>
      </c>
      <c r="E5790" s="21" t="s">
        <v>7128</v>
      </c>
    </row>
    <row r="5791" spans="1:5" x14ac:dyDescent="0.3">
      <c r="A5791" s="17" t="str">
        <f>"D3425"</f>
        <v>D3425</v>
      </c>
      <c r="B5791" s="5" t="s">
        <v>5798</v>
      </c>
      <c r="C5791" s="17">
        <v>20050401</v>
      </c>
      <c r="D5791" s="17">
        <v>22991231</v>
      </c>
      <c r="E5791" s="21" t="s">
        <v>7128</v>
      </c>
    </row>
    <row r="5792" spans="1:5" x14ac:dyDescent="0.3">
      <c r="A5792" s="17" t="str">
        <f>"D3426"</f>
        <v>D3426</v>
      </c>
      <c r="B5792" s="5" t="s">
        <v>5799</v>
      </c>
      <c r="C5792" s="17">
        <v>20050401</v>
      </c>
      <c r="D5792" s="17">
        <v>22991231</v>
      </c>
      <c r="E5792" s="21" t="s">
        <v>7128</v>
      </c>
    </row>
    <row r="5793" spans="1:5" x14ac:dyDescent="0.3">
      <c r="A5793" s="17" t="str">
        <f>"D3460"</f>
        <v>D3460</v>
      </c>
      <c r="B5793" s="5" t="s">
        <v>5800</v>
      </c>
      <c r="C5793" s="17">
        <v>20240101</v>
      </c>
      <c r="D5793" s="17">
        <v>22991231</v>
      </c>
      <c r="E5793" s="25">
        <v>0</v>
      </c>
    </row>
    <row r="5794" spans="1:5" ht="26" x14ac:dyDescent="0.3">
      <c r="A5794" s="17" t="str">
        <f>"D3910"</f>
        <v>D3910</v>
      </c>
      <c r="B5794" s="5" t="s">
        <v>5801</v>
      </c>
      <c r="C5794" s="17">
        <v>20240101</v>
      </c>
      <c r="D5794" s="17">
        <v>22991231</v>
      </c>
      <c r="E5794" s="25">
        <v>0</v>
      </c>
    </row>
    <row r="5795" spans="1:5" ht="39" x14ac:dyDescent="0.3">
      <c r="A5795" s="17" t="str">
        <f>"D4210"</f>
        <v>D4210</v>
      </c>
      <c r="B5795" s="5" t="s">
        <v>5802</v>
      </c>
      <c r="C5795" s="17">
        <v>20050401</v>
      </c>
      <c r="D5795" s="17">
        <v>22991231</v>
      </c>
      <c r="E5795" s="25">
        <v>1259.74</v>
      </c>
    </row>
    <row r="5796" spans="1:5" ht="39" x14ac:dyDescent="0.3">
      <c r="A5796" s="17" t="str">
        <f>"D4211"</f>
        <v>D4211</v>
      </c>
      <c r="B5796" s="5" t="s">
        <v>5803</v>
      </c>
      <c r="C5796" s="17">
        <v>20050401</v>
      </c>
      <c r="D5796" s="17">
        <v>22991231</v>
      </c>
      <c r="E5796" s="25">
        <v>1259.74</v>
      </c>
    </row>
    <row r="5797" spans="1:5" ht="26" x14ac:dyDescent="0.3">
      <c r="A5797" s="17" t="str">
        <f>"D4212"</f>
        <v>D4212</v>
      </c>
      <c r="B5797" s="5" t="s">
        <v>5804</v>
      </c>
      <c r="C5797" s="17">
        <v>20240101</v>
      </c>
      <c r="D5797" s="17">
        <v>22991231</v>
      </c>
      <c r="E5797" s="25">
        <v>1259.74</v>
      </c>
    </row>
    <row r="5798" spans="1:5" ht="52" x14ac:dyDescent="0.3">
      <c r="A5798" s="17" t="str">
        <f>"D4260"</f>
        <v>D4260</v>
      </c>
      <c r="B5798" s="5" t="s">
        <v>5805</v>
      </c>
      <c r="C5798" s="17">
        <v>20240101</v>
      </c>
      <c r="D5798" s="17">
        <v>22991231</v>
      </c>
      <c r="E5798" s="25">
        <v>2637</v>
      </c>
    </row>
    <row r="5799" spans="1:5" ht="26" x14ac:dyDescent="0.3">
      <c r="A5799" s="17" t="str">
        <f>"D4263"</f>
        <v>D4263</v>
      </c>
      <c r="B5799" s="5" t="s">
        <v>5806</v>
      </c>
      <c r="C5799" s="17">
        <v>20240101</v>
      </c>
      <c r="D5799" s="17">
        <v>22991231</v>
      </c>
      <c r="E5799" s="25">
        <v>436.25</v>
      </c>
    </row>
    <row r="5800" spans="1:5" x14ac:dyDescent="0.3">
      <c r="A5800" s="17" t="str">
        <f>"D4270"</f>
        <v>D4270</v>
      </c>
      <c r="B5800" s="5" t="s">
        <v>5807</v>
      </c>
      <c r="C5800" s="17">
        <v>20240101</v>
      </c>
      <c r="D5800" s="17">
        <v>22991231</v>
      </c>
      <c r="E5800" s="25">
        <v>636.91999999999996</v>
      </c>
    </row>
    <row r="5801" spans="1:5" ht="52" x14ac:dyDescent="0.3">
      <c r="A5801" s="17" t="str">
        <f>"D4273"</f>
        <v>D4273</v>
      </c>
      <c r="B5801" s="5" t="s">
        <v>5808</v>
      </c>
      <c r="C5801" s="17">
        <v>20240101</v>
      </c>
      <c r="D5801" s="17">
        <v>22991231</v>
      </c>
      <c r="E5801" s="25">
        <v>636.91999999999996</v>
      </c>
    </row>
    <row r="5802" spans="1:5" ht="26" x14ac:dyDescent="0.3">
      <c r="A5802" s="17" t="str">
        <f>"D4341"</f>
        <v>D4341</v>
      </c>
      <c r="B5802" s="5" t="s">
        <v>5809</v>
      </c>
      <c r="C5802" s="17">
        <v>20050401</v>
      </c>
      <c r="D5802" s="17">
        <v>22991231</v>
      </c>
      <c r="E5802" s="25">
        <v>0</v>
      </c>
    </row>
    <row r="5803" spans="1:5" ht="26" x14ac:dyDescent="0.3">
      <c r="A5803" s="17" t="str">
        <f>"D4342"</f>
        <v>D4342</v>
      </c>
      <c r="B5803" s="5" t="s">
        <v>5810</v>
      </c>
      <c r="C5803" s="17">
        <v>20240101</v>
      </c>
      <c r="D5803" s="17">
        <v>22991231</v>
      </c>
      <c r="E5803" s="25">
        <v>0</v>
      </c>
    </row>
    <row r="5804" spans="1:5" ht="39" x14ac:dyDescent="0.3">
      <c r="A5804" s="17" t="str">
        <f>"D4346"</f>
        <v>D4346</v>
      </c>
      <c r="B5804" s="5" t="s">
        <v>5811</v>
      </c>
      <c r="C5804" s="17">
        <v>20240101</v>
      </c>
      <c r="D5804" s="17">
        <v>22991231</v>
      </c>
      <c r="E5804" s="25">
        <v>0</v>
      </c>
    </row>
    <row r="5805" spans="1:5" ht="39" x14ac:dyDescent="0.3">
      <c r="A5805" s="17" t="str">
        <f>"D4355"</f>
        <v>D4355</v>
      </c>
      <c r="B5805" s="5" t="s">
        <v>5812</v>
      </c>
      <c r="C5805" s="17">
        <v>20240101</v>
      </c>
      <c r="D5805" s="17">
        <v>22991231</v>
      </c>
      <c r="E5805" s="25">
        <v>0</v>
      </c>
    </row>
    <row r="5806" spans="1:5" ht="39" x14ac:dyDescent="0.3">
      <c r="A5806" s="17" t="str">
        <f>"D4381"</f>
        <v>D4381</v>
      </c>
      <c r="B5806" s="5" t="s">
        <v>5813</v>
      </c>
      <c r="C5806" s="17">
        <v>20240101</v>
      </c>
      <c r="D5806" s="17">
        <v>22991231</v>
      </c>
      <c r="E5806" s="25">
        <v>0</v>
      </c>
    </row>
    <row r="5807" spans="1:5" x14ac:dyDescent="0.3">
      <c r="A5807" s="17" t="str">
        <f>"D4910"</f>
        <v>D4910</v>
      </c>
      <c r="B5807" s="5" t="s">
        <v>5814</v>
      </c>
      <c r="C5807" s="17">
        <v>20240101</v>
      </c>
      <c r="D5807" s="17">
        <v>22991231</v>
      </c>
      <c r="E5807" s="25">
        <v>0</v>
      </c>
    </row>
    <row r="5808" spans="1:5" ht="26" x14ac:dyDescent="0.3">
      <c r="A5808" s="17" t="str">
        <f>"D5520"</f>
        <v>D5520</v>
      </c>
      <c r="B5808" s="5" t="s">
        <v>5815</v>
      </c>
      <c r="C5808" s="17">
        <v>20050401</v>
      </c>
      <c r="D5808" s="17">
        <v>22991231</v>
      </c>
      <c r="E5808" s="21" t="s">
        <v>7128</v>
      </c>
    </row>
    <row r="5809" spans="1:5" x14ac:dyDescent="0.3">
      <c r="A5809" s="17" t="str">
        <f>"D5640"</f>
        <v>D5640</v>
      </c>
      <c r="B5809" s="5" t="s">
        <v>5816</v>
      </c>
      <c r="C5809" s="17">
        <v>20050401</v>
      </c>
      <c r="D5809" s="17">
        <v>22991231</v>
      </c>
      <c r="E5809" s="21" t="s">
        <v>7128</v>
      </c>
    </row>
    <row r="5810" spans="1:5" x14ac:dyDescent="0.3">
      <c r="A5810" s="17" t="str">
        <f>"D5750"</f>
        <v>D5750</v>
      </c>
      <c r="B5810" s="5" t="s">
        <v>5817</v>
      </c>
      <c r="C5810" s="17">
        <v>20050401</v>
      </c>
      <c r="D5810" s="17">
        <v>22991231</v>
      </c>
      <c r="E5810" s="21" t="s">
        <v>7128</v>
      </c>
    </row>
    <row r="5811" spans="1:5" x14ac:dyDescent="0.3">
      <c r="A5811" s="17" t="str">
        <f>"D5751"</f>
        <v>D5751</v>
      </c>
      <c r="B5811" s="5" t="s">
        <v>5818</v>
      </c>
      <c r="C5811" s="17">
        <v>20050401</v>
      </c>
      <c r="D5811" s="17">
        <v>22991231</v>
      </c>
      <c r="E5811" s="21" t="s">
        <v>7128</v>
      </c>
    </row>
    <row r="5812" spans="1:5" ht="39" x14ac:dyDescent="0.3">
      <c r="A5812" s="17" t="str">
        <f>"D5820"</f>
        <v>D5820</v>
      </c>
      <c r="B5812" s="5" t="s">
        <v>5819</v>
      </c>
      <c r="C5812" s="17">
        <v>20050401</v>
      </c>
      <c r="D5812" s="17">
        <v>22991231</v>
      </c>
      <c r="E5812" s="21" t="s">
        <v>7128</v>
      </c>
    </row>
    <row r="5813" spans="1:5" ht="39" x14ac:dyDescent="0.3">
      <c r="A5813" s="17" t="str">
        <f>"D5821"</f>
        <v>D5821</v>
      </c>
      <c r="B5813" s="5" t="s">
        <v>5820</v>
      </c>
      <c r="C5813" s="17">
        <v>20050401</v>
      </c>
      <c r="D5813" s="17">
        <v>22991231</v>
      </c>
      <c r="E5813" s="21" t="s">
        <v>7128</v>
      </c>
    </row>
    <row r="5814" spans="1:5" x14ac:dyDescent="0.3">
      <c r="A5814" s="17" t="str">
        <f>"D5913"</f>
        <v>D5913</v>
      </c>
      <c r="B5814" s="5" t="s">
        <v>5821</v>
      </c>
      <c r="C5814" s="17">
        <v>20050401</v>
      </c>
      <c r="D5814" s="17">
        <v>22991231</v>
      </c>
      <c r="E5814" s="21" t="s">
        <v>7128</v>
      </c>
    </row>
    <row r="5815" spans="1:5" x14ac:dyDescent="0.3">
      <c r="A5815" s="17" t="str">
        <f>"D5914"</f>
        <v>D5914</v>
      </c>
      <c r="B5815" s="5" t="s">
        <v>5822</v>
      </c>
      <c r="C5815" s="17">
        <v>20050401</v>
      </c>
      <c r="D5815" s="17">
        <v>22991231</v>
      </c>
      <c r="E5815" s="21" t="s">
        <v>7128</v>
      </c>
    </row>
    <row r="5816" spans="1:5" x14ac:dyDescent="0.3">
      <c r="A5816" s="17" t="str">
        <f>"D5919"</f>
        <v>D5919</v>
      </c>
      <c r="B5816" s="5" t="s">
        <v>5823</v>
      </c>
      <c r="C5816" s="17">
        <v>20050401</v>
      </c>
      <c r="D5816" s="17">
        <v>22991231</v>
      </c>
      <c r="E5816" s="21" t="s">
        <v>7128</v>
      </c>
    </row>
    <row r="5817" spans="1:5" x14ac:dyDescent="0.3">
      <c r="A5817" s="17" t="str">
        <f>"D5931"</f>
        <v>D5931</v>
      </c>
      <c r="B5817" s="5" t="s">
        <v>5824</v>
      </c>
      <c r="C5817" s="17">
        <v>20050401</v>
      </c>
      <c r="D5817" s="17">
        <v>22991231</v>
      </c>
      <c r="E5817" s="21" t="s">
        <v>7128</v>
      </c>
    </row>
    <row r="5818" spans="1:5" x14ac:dyDescent="0.3">
      <c r="A5818" s="17" t="str">
        <f>"D5932"</f>
        <v>D5932</v>
      </c>
      <c r="B5818" s="5" t="s">
        <v>5825</v>
      </c>
      <c r="C5818" s="17">
        <v>20050401</v>
      </c>
      <c r="D5818" s="17">
        <v>22991231</v>
      </c>
      <c r="E5818" s="21" t="s">
        <v>7128</v>
      </c>
    </row>
    <row r="5819" spans="1:5" ht="26" x14ac:dyDescent="0.3">
      <c r="A5819" s="17" t="str">
        <f>"D5934"</f>
        <v>D5934</v>
      </c>
      <c r="B5819" s="5" t="s">
        <v>5826</v>
      </c>
      <c r="C5819" s="17">
        <v>20050401</v>
      </c>
      <c r="D5819" s="17">
        <v>22991231</v>
      </c>
      <c r="E5819" s="21" t="s">
        <v>7128</v>
      </c>
    </row>
    <row r="5820" spans="1:5" x14ac:dyDescent="0.3">
      <c r="A5820" s="17" t="str">
        <f>"D5952"</f>
        <v>D5952</v>
      </c>
      <c r="B5820" s="5" t="s">
        <v>5827</v>
      </c>
      <c r="C5820" s="17">
        <v>20050401</v>
      </c>
      <c r="D5820" s="17">
        <v>22991231</v>
      </c>
      <c r="E5820" s="21" t="s">
        <v>7128</v>
      </c>
    </row>
    <row r="5821" spans="1:5" x14ac:dyDescent="0.3">
      <c r="A5821" s="17" t="str">
        <f>"D5953"</f>
        <v>D5953</v>
      </c>
      <c r="B5821" s="5" t="s">
        <v>5828</v>
      </c>
      <c r="C5821" s="17">
        <v>20050401</v>
      </c>
      <c r="D5821" s="17">
        <v>22991231</v>
      </c>
      <c r="E5821" s="21" t="s">
        <v>7128</v>
      </c>
    </row>
    <row r="5822" spans="1:5" x14ac:dyDescent="0.3">
      <c r="A5822" s="17" t="str">
        <f>"D5954"</f>
        <v>D5954</v>
      </c>
      <c r="B5822" s="5" t="s">
        <v>5829</v>
      </c>
      <c r="C5822" s="17">
        <v>20050401</v>
      </c>
      <c r="D5822" s="17">
        <v>22991231</v>
      </c>
      <c r="E5822" s="21" t="s">
        <v>7128</v>
      </c>
    </row>
    <row r="5823" spans="1:5" x14ac:dyDescent="0.3">
      <c r="A5823" s="17" t="str">
        <f>"D5955"</f>
        <v>D5955</v>
      </c>
      <c r="B5823" s="5" t="s">
        <v>5830</v>
      </c>
      <c r="C5823" s="17">
        <v>20050401</v>
      </c>
      <c r="D5823" s="17">
        <v>22991231</v>
      </c>
      <c r="E5823" s="21" t="s">
        <v>7128</v>
      </c>
    </row>
    <row r="5824" spans="1:5" x14ac:dyDescent="0.3">
      <c r="A5824" s="17" t="str">
        <f>"D5988"</f>
        <v>D5988</v>
      </c>
      <c r="B5824" s="5" t="s">
        <v>5831</v>
      </c>
      <c r="C5824" s="17">
        <v>20050401</v>
      </c>
      <c r="D5824" s="17">
        <v>22991231</v>
      </c>
      <c r="E5824" s="21" t="s">
        <v>7128</v>
      </c>
    </row>
    <row r="5825" spans="1:5" x14ac:dyDescent="0.3">
      <c r="A5825" s="17" t="str">
        <f>"D5999"</f>
        <v>D5999</v>
      </c>
      <c r="B5825" s="5" t="s">
        <v>5832</v>
      </c>
      <c r="C5825" s="17">
        <v>20050401</v>
      </c>
      <c r="D5825" s="17">
        <v>22991231</v>
      </c>
      <c r="E5825" s="21" t="s">
        <v>7128</v>
      </c>
    </row>
    <row r="5826" spans="1:5" x14ac:dyDescent="0.3">
      <c r="A5826" s="17" t="str">
        <f>"D7111"</f>
        <v>D7111</v>
      </c>
      <c r="B5826" s="5" t="s">
        <v>5833</v>
      </c>
      <c r="C5826" s="17">
        <v>20031016</v>
      </c>
      <c r="D5826" s="17">
        <v>22991231</v>
      </c>
      <c r="E5826" s="25">
        <v>436.25</v>
      </c>
    </row>
    <row r="5827" spans="1:5" ht="26" x14ac:dyDescent="0.3">
      <c r="A5827" s="17" t="str">
        <f>"D7140"</f>
        <v>D7140</v>
      </c>
      <c r="B5827" s="5" t="s">
        <v>5834</v>
      </c>
      <c r="C5827" s="17">
        <v>20050401</v>
      </c>
      <c r="D5827" s="17">
        <v>22991231</v>
      </c>
      <c r="E5827" s="25">
        <v>436.25</v>
      </c>
    </row>
    <row r="5828" spans="1:5" ht="39" x14ac:dyDescent="0.3">
      <c r="A5828" s="17" t="str">
        <f>"D7210"</f>
        <v>D7210</v>
      </c>
      <c r="B5828" s="5" t="s">
        <v>5835</v>
      </c>
      <c r="C5828" s="17">
        <v>20050401</v>
      </c>
      <c r="D5828" s="17">
        <v>22991231</v>
      </c>
      <c r="E5828" s="25">
        <v>636.91999999999996</v>
      </c>
    </row>
    <row r="5829" spans="1:5" x14ac:dyDescent="0.3">
      <c r="A5829" s="17" t="str">
        <f>"D7220"</f>
        <v>D7220</v>
      </c>
      <c r="B5829" s="5" t="s">
        <v>5836</v>
      </c>
      <c r="C5829" s="17">
        <v>20050401</v>
      </c>
      <c r="D5829" s="17">
        <v>22991231</v>
      </c>
      <c r="E5829" s="25">
        <v>436.25</v>
      </c>
    </row>
    <row r="5830" spans="1:5" x14ac:dyDescent="0.3">
      <c r="A5830" s="17" t="str">
        <f>"D7230"</f>
        <v>D7230</v>
      </c>
      <c r="B5830" s="5" t="s">
        <v>5837</v>
      </c>
      <c r="C5830" s="17">
        <v>20050401</v>
      </c>
      <c r="D5830" s="17">
        <v>22991231</v>
      </c>
      <c r="E5830" s="25">
        <v>436.25</v>
      </c>
    </row>
    <row r="5831" spans="1:5" x14ac:dyDescent="0.3">
      <c r="A5831" s="17" t="str">
        <f>"D7240"</f>
        <v>D7240</v>
      </c>
      <c r="B5831" s="5" t="s">
        <v>5838</v>
      </c>
      <c r="C5831" s="17">
        <v>20050401</v>
      </c>
      <c r="D5831" s="17">
        <v>22991231</v>
      </c>
      <c r="E5831" s="25">
        <v>436.25</v>
      </c>
    </row>
    <row r="5832" spans="1:5" ht="26" x14ac:dyDescent="0.3">
      <c r="A5832" s="17" t="str">
        <f>"D7241"</f>
        <v>D7241</v>
      </c>
      <c r="B5832" s="5" t="s">
        <v>5839</v>
      </c>
      <c r="C5832" s="17">
        <v>20050401</v>
      </c>
      <c r="D5832" s="17">
        <v>22991231</v>
      </c>
      <c r="E5832" s="25">
        <v>436.25</v>
      </c>
    </row>
    <row r="5833" spans="1:5" ht="26" x14ac:dyDescent="0.3">
      <c r="A5833" s="17" t="str">
        <f>"D7250"</f>
        <v>D7250</v>
      </c>
      <c r="B5833" s="5" t="s">
        <v>5840</v>
      </c>
      <c r="C5833" s="17">
        <v>20050401</v>
      </c>
      <c r="D5833" s="17">
        <v>22991231</v>
      </c>
      <c r="E5833" s="25">
        <v>436.25</v>
      </c>
    </row>
    <row r="5834" spans="1:5" x14ac:dyDescent="0.3">
      <c r="A5834" s="17" t="str">
        <f>"D7260"</f>
        <v>D7260</v>
      </c>
      <c r="B5834" s="5" t="s">
        <v>5841</v>
      </c>
      <c r="C5834" s="17">
        <v>20050401</v>
      </c>
      <c r="D5834" s="17">
        <v>22991231</v>
      </c>
      <c r="E5834" s="21" t="s">
        <v>7128</v>
      </c>
    </row>
    <row r="5835" spans="1:5" ht="26" x14ac:dyDescent="0.3">
      <c r="A5835" s="17" t="str">
        <f>"D7270"</f>
        <v>D7270</v>
      </c>
      <c r="B5835" s="5" t="s">
        <v>5842</v>
      </c>
      <c r="C5835" s="17">
        <v>20240101</v>
      </c>
      <c r="D5835" s="17">
        <v>22991231</v>
      </c>
      <c r="E5835" s="25">
        <v>436.25</v>
      </c>
    </row>
    <row r="5836" spans="1:5" x14ac:dyDescent="0.3">
      <c r="A5836" s="17" t="str">
        <f>"D7280"</f>
        <v>D7280</v>
      </c>
      <c r="B5836" s="5" t="s">
        <v>5843</v>
      </c>
      <c r="C5836" s="17">
        <v>20050401</v>
      </c>
      <c r="D5836" s="17">
        <v>22991231</v>
      </c>
      <c r="E5836" s="21" t="s">
        <v>7128</v>
      </c>
    </row>
    <row r="5837" spans="1:5" ht="26" x14ac:dyDescent="0.3">
      <c r="A5837" s="30" t="s">
        <v>7133</v>
      </c>
      <c r="B5837" s="5" t="s">
        <v>7134</v>
      </c>
      <c r="C5837" s="17">
        <v>20050401</v>
      </c>
      <c r="D5837" s="17">
        <v>22991231</v>
      </c>
      <c r="E5837" s="21" t="s">
        <v>7128</v>
      </c>
    </row>
    <row r="5838" spans="1:5" ht="26" x14ac:dyDescent="0.3">
      <c r="A5838" s="17" t="str">
        <f>"D7310"</f>
        <v>D7310</v>
      </c>
      <c r="B5838" s="5" t="s">
        <v>5844</v>
      </c>
      <c r="C5838" s="17">
        <v>20050401</v>
      </c>
      <c r="D5838" s="17">
        <v>22991231</v>
      </c>
      <c r="E5838" s="25">
        <v>636.91999999999996</v>
      </c>
    </row>
    <row r="5839" spans="1:5" ht="26" x14ac:dyDescent="0.3">
      <c r="A5839" s="17" t="str">
        <f>"D7311"</f>
        <v>D7311</v>
      </c>
      <c r="B5839" s="5" t="s">
        <v>5845</v>
      </c>
      <c r="C5839" s="17">
        <v>20240101</v>
      </c>
      <c r="D5839" s="17">
        <v>22991231</v>
      </c>
      <c r="E5839" s="25">
        <v>636.91999999999996</v>
      </c>
    </row>
    <row r="5840" spans="1:5" ht="39" x14ac:dyDescent="0.3">
      <c r="A5840" s="17" t="str">
        <f>"D7320"</f>
        <v>D7320</v>
      </c>
      <c r="B5840" s="5" t="s">
        <v>5846</v>
      </c>
      <c r="C5840" s="17">
        <v>20050401</v>
      </c>
      <c r="D5840" s="17">
        <v>22991231</v>
      </c>
      <c r="E5840" s="21" t="s">
        <v>7128</v>
      </c>
    </row>
    <row r="5841" spans="1:5" x14ac:dyDescent="0.3">
      <c r="A5841" s="17" t="str">
        <f>"D7410"</f>
        <v>D7410</v>
      </c>
      <c r="B5841" s="5" t="s">
        <v>5847</v>
      </c>
      <c r="C5841" s="17">
        <v>20050401</v>
      </c>
      <c r="D5841" s="17">
        <v>22991231</v>
      </c>
      <c r="E5841" s="21" t="s">
        <v>7128</v>
      </c>
    </row>
    <row r="5842" spans="1:5" x14ac:dyDescent="0.3">
      <c r="A5842" s="17" t="str">
        <f>"D7411"</f>
        <v>D7411</v>
      </c>
      <c r="B5842" s="5" t="s">
        <v>5848</v>
      </c>
      <c r="C5842" s="17">
        <v>20160205</v>
      </c>
      <c r="D5842" s="17">
        <v>22991231</v>
      </c>
      <c r="E5842" s="21" t="s">
        <v>7128</v>
      </c>
    </row>
    <row r="5843" spans="1:5" x14ac:dyDescent="0.3">
      <c r="A5843" s="17" t="str">
        <f>"D7472"</f>
        <v>D7472</v>
      </c>
      <c r="B5843" s="5" t="s">
        <v>5849</v>
      </c>
      <c r="C5843" s="17">
        <v>20090101</v>
      </c>
      <c r="D5843" s="17">
        <v>22991231</v>
      </c>
      <c r="E5843" s="25">
        <v>436.25</v>
      </c>
    </row>
    <row r="5844" spans="1:5" x14ac:dyDescent="0.3">
      <c r="A5844" s="17" t="str">
        <f>"D7473"</f>
        <v>D7473</v>
      </c>
      <c r="B5844" s="5" t="s">
        <v>5850</v>
      </c>
      <c r="C5844" s="17">
        <v>20090101</v>
      </c>
      <c r="D5844" s="17">
        <v>22991231</v>
      </c>
      <c r="E5844" s="25">
        <v>436.25</v>
      </c>
    </row>
    <row r="5845" spans="1:5" ht="26" x14ac:dyDescent="0.3">
      <c r="A5845" s="17" t="str">
        <f>"D7510"</f>
        <v>D7510</v>
      </c>
      <c r="B5845" s="5" t="s">
        <v>5851</v>
      </c>
      <c r="C5845" s="17">
        <v>20050401</v>
      </c>
      <c r="D5845" s="17">
        <v>22991231</v>
      </c>
      <c r="E5845" s="25">
        <v>348.6</v>
      </c>
    </row>
    <row r="5846" spans="1:5" ht="39" x14ac:dyDescent="0.3">
      <c r="A5846" s="17" t="str">
        <f>"D7511"</f>
        <v>D7511</v>
      </c>
      <c r="B5846" s="5" t="s">
        <v>5852</v>
      </c>
      <c r="C5846" s="17">
        <v>20240101</v>
      </c>
      <c r="D5846" s="17">
        <v>22991231</v>
      </c>
      <c r="E5846" s="25">
        <v>348.6</v>
      </c>
    </row>
    <row r="5847" spans="1:5" ht="26" x14ac:dyDescent="0.3">
      <c r="A5847" s="17" t="str">
        <f>"D7520"</f>
        <v>D7520</v>
      </c>
      <c r="B5847" s="5" t="s">
        <v>5853</v>
      </c>
      <c r="C5847" s="17">
        <v>20050401</v>
      </c>
      <c r="D5847" s="17">
        <v>22991231</v>
      </c>
      <c r="E5847" s="25">
        <v>348.6</v>
      </c>
    </row>
    <row r="5848" spans="1:5" ht="26" x14ac:dyDescent="0.3">
      <c r="A5848" s="17" t="str">
        <f>"D7530"</f>
        <v>D7530</v>
      </c>
      <c r="B5848" s="5" t="s">
        <v>5854</v>
      </c>
      <c r="C5848" s="17">
        <v>20050401</v>
      </c>
      <c r="D5848" s="17">
        <v>22991231</v>
      </c>
      <c r="E5848" s="21" t="s">
        <v>7128</v>
      </c>
    </row>
    <row r="5849" spans="1:5" ht="26" x14ac:dyDescent="0.3">
      <c r="A5849" s="17" t="str">
        <f>"D7550"</f>
        <v>D7550</v>
      </c>
      <c r="B5849" s="5" t="s">
        <v>5855</v>
      </c>
      <c r="C5849" s="17">
        <v>20240101</v>
      </c>
      <c r="D5849" s="17">
        <v>22991231</v>
      </c>
      <c r="E5849" s="25">
        <v>436.25</v>
      </c>
    </row>
    <row r="5850" spans="1:5" x14ac:dyDescent="0.3">
      <c r="A5850" s="17" t="str">
        <f>"D7880"</f>
        <v>D7880</v>
      </c>
      <c r="B5850" s="5" t="s">
        <v>5856</v>
      </c>
      <c r="C5850" s="17">
        <v>20160205</v>
      </c>
      <c r="D5850" s="17">
        <v>22991231</v>
      </c>
      <c r="E5850" s="21" t="s">
        <v>7128</v>
      </c>
    </row>
    <row r="5851" spans="1:5" x14ac:dyDescent="0.3">
      <c r="A5851" s="17" t="str">
        <f>"D7910"</f>
        <v>D7910</v>
      </c>
      <c r="B5851" s="5" t="s">
        <v>5857</v>
      </c>
      <c r="C5851" s="17">
        <v>20050401</v>
      </c>
      <c r="D5851" s="17">
        <v>22991231</v>
      </c>
      <c r="E5851" s="21" t="s">
        <v>7128</v>
      </c>
    </row>
    <row r="5852" spans="1:5" ht="26" x14ac:dyDescent="0.3">
      <c r="A5852" s="17" t="str">
        <f>"D7922"</f>
        <v>D7922</v>
      </c>
      <c r="B5852" s="5" t="s">
        <v>5858</v>
      </c>
      <c r="C5852" s="17">
        <v>20240101</v>
      </c>
      <c r="D5852" s="17">
        <v>22991231</v>
      </c>
      <c r="E5852" s="25">
        <v>0</v>
      </c>
    </row>
    <row r="5853" spans="1:5" ht="39" x14ac:dyDescent="0.3">
      <c r="A5853" s="17" t="str">
        <f>"D7950"</f>
        <v>D7950</v>
      </c>
      <c r="B5853" s="5" t="s">
        <v>5859</v>
      </c>
      <c r="C5853" s="17">
        <v>20240101</v>
      </c>
      <c r="D5853" s="17">
        <v>22991231</v>
      </c>
      <c r="E5853" s="25">
        <v>2637</v>
      </c>
    </row>
    <row r="5854" spans="1:5" x14ac:dyDescent="0.3">
      <c r="A5854" s="17" t="str">
        <f>"D7961"</f>
        <v>D7961</v>
      </c>
      <c r="B5854" s="5" t="s">
        <v>5860</v>
      </c>
      <c r="C5854" s="17">
        <v>20210101</v>
      </c>
      <c r="D5854" s="17">
        <v>22991231</v>
      </c>
      <c r="E5854" s="21" t="s">
        <v>7128</v>
      </c>
    </row>
    <row r="5855" spans="1:5" x14ac:dyDescent="0.3">
      <c r="A5855" s="17" t="str">
        <f>"D7962"</f>
        <v>D7962</v>
      </c>
      <c r="B5855" s="5" t="s">
        <v>5861</v>
      </c>
      <c r="C5855" s="17">
        <v>20210101</v>
      </c>
      <c r="D5855" s="17">
        <v>22991231</v>
      </c>
      <c r="E5855" s="21" t="s">
        <v>7128</v>
      </c>
    </row>
    <row r="5856" spans="1:5" x14ac:dyDescent="0.3">
      <c r="A5856" s="17" t="str">
        <f>"D8210"</f>
        <v>D8210</v>
      </c>
      <c r="B5856" s="5" t="s">
        <v>5862</v>
      </c>
      <c r="C5856" s="17">
        <v>20050401</v>
      </c>
      <c r="D5856" s="17">
        <v>22991231</v>
      </c>
      <c r="E5856" s="21" t="s">
        <v>7128</v>
      </c>
    </row>
    <row r="5857" spans="1:5" x14ac:dyDescent="0.3">
      <c r="A5857" s="17" t="str">
        <f>"D8220"</f>
        <v>D8220</v>
      </c>
      <c r="B5857" s="5" t="s">
        <v>5863</v>
      </c>
      <c r="C5857" s="17">
        <v>20050401</v>
      </c>
      <c r="D5857" s="17">
        <v>22991231</v>
      </c>
      <c r="E5857" s="21" t="s">
        <v>7128</v>
      </c>
    </row>
    <row r="5858" spans="1:5" ht="26" x14ac:dyDescent="0.3">
      <c r="A5858" s="17" t="str">
        <f>"D8660"</f>
        <v>D8660</v>
      </c>
      <c r="B5858" s="5" t="s">
        <v>5864</v>
      </c>
      <c r="C5858" s="17">
        <v>20050401</v>
      </c>
      <c r="D5858" s="17">
        <v>22991231</v>
      </c>
      <c r="E5858" s="21" t="s">
        <v>7128</v>
      </c>
    </row>
    <row r="5859" spans="1:5" x14ac:dyDescent="0.3">
      <c r="A5859" s="17" t="str">
        <f>"D8670"</f>
        <v>D8670</v>
      </c>
      <c r="B5859" s="5" t="s">
        <v>5865</v>
      </c>
      <c r="C5859" s="17">
        <v>20050401</v>
      </c>
      <c r="D5859" s="17">
        <v>22991231</v>
      </c>
      <c r="E5859" s="21" t="s">
        <v>7128</v>
      </c>
    </row>
    <row r="5860" spans="1:5" x14ac:dyDescent="0.3">
      <c r="A5860" s="17" t="str">
        <f>"D8999"</f>
        <v>D8999</v>
      </c>
      <c r="B5860" s="5" t="s">
        <v>5866</v>
      </c>
      <c r="C5860" s="17">
        <v>20050401</v>
      </c>
      <c r="D5860" s="17">
        <v>22991231</v>
      </c>
      <c r="E5860" s="21" t="s">
        <v>7128</v>
      </c>
    </row>
    <row r="5861" spans="1:5" x14ac:dyDescent="0.3">
      <c r="A5861" s="17" t="str">
        <f>"D9110"</f>
        <v>D9110</v>
      </c>
      <c r="B5861" s="5" t="s">
        <v>5867</v>
      </c>
      <c r="C5861" s="17">
        <v>20050401</v>
      </c>
      <c r="D5861" s="17">
        <v>22991231</v>
      </c>
      <c r="E5861" s="21" t="s">
        <v>7128</v>
      </c>
    </row>
    <row r="5862" spans="1:5" ht="26" x14ac:dyDescent="0.3">
      <c r="A5862" s="17" t="str">
        <f>"D9223"</f>
        <v>D9223</v>
      </c>
      <c r="B5862" s="5" t="s">
        <v>5868</v>
      </c>
      <c r="C5862" s="17">
        <v>20160205</v>
      </c>
      <c r="D5862" s="17">
        <v>22991231</v>
      </c>
      <c r="E5862" s="21" t="s">
        <v>7128</v>
      </c>
    </row>
    <row r="5863" spans="1:5" ht="39" x14ac:dyDescent="0.3">
      <c r="A5863" s="17" t="str">
        <f>"D9243"</f>
        <v>D9243</v>
      </c>
      <c r="B5863" s="5" t="s">
        <v>5869</v>
      </c>
      <c r="C5863" s="17">
        <v>20160205</v>
      </c>
      <c r="D5863" s="17">
        <v>22991231</v>
      </c>
      <c r="E5863" s="21" t="s">
        <v>7128</v>
      </c>
    </row>
    <row r="5864" spans="1:5" x14ac:dyDescent="0.3">
      <c r="A5864" s="17" t="str">
        <f>"D9420"</f>
        <v>D9420</v>
      </c>
      <c r="B5864" s="5" t="s">
        <v>5870</v>
      </c>
      <c r="C5864" s="17">
        <v>20050401</v>
      </c>
      <c r="D5864" s="17">
        <v>22991231</v>
      </c>
      <c r="E5864" s="21" t="s">
        <v>7128</v>
      </c>
    </row>
    <row r="5865" spans="1:5" ht="26" x14ac:dyDescent="0.3">
      <c r="A5865" s="17" t="str">
        <f>"G0104"</f>
        <v>G0104</v>
      </c>
      <c r="B5865" s="5" t="s">
        <v>5871</v>
      </c>
      <c r="C5865" s="17">
        <v>20230101</v>
      </c>
      <c r="D5865" s="17">
        <v>22991231</v>
      </c>
      <c r="E5865" s="25">
        <v>144.81</v>
      </c>
    </row>
    <row r="5866" spans="1:5" ht="26" x14ac:dyDescent="0.3">
      <c r="A5866" s="17" t="str">
        <f>"G0105"</f>
        <v>G0105</v>
      </c>
      <c r="B5866" s="5" t="s">
        <v>5872</v>
      </c>
      <c r="C5866" s="17">
        <v>20040101</v>
      </c>
      <c r="D5866" s="17">
        <v>22991231</v>
      </c>
      <c r="E5866" s="25">
        <v>452.84</v>
      </c>
    </row>
    <row r="5867" spans="1:5" ht="26" x14ac:dyDescent="0.3">
      <c r="A5867" s="17" t="str">
        <f>"G0121"</f>
        <v>G0121</v>
      </c>
      <c r="B5867" s="5" t="s">
        <v>5873</v>
      </c>
      <c r="C5867" s="17">
        <v>20040101</v>
      </c>
      <c r="D5867" s="17">
        <v>22991231</v>
      </c>
      <c r="E5867" s="25">
        <v>452.84</v>
      </c>
    </row>
    <row r="5868" spans="1:5" ht="39" x14ac:dyDescent="0.3">
      <c r="A5868" s="17" t="str">
        <f>"G0130"</f>
        <v>G0130</v>
      </c>
      <c r="B5868" s="5" t="s">
        <v>5874</v>
      </c>
      <c r="C5868" s="17">
        <v>20230101</v>
      </c>
      <c r="D5868" s="17">
        <v>22991231</v>
      </c>
      <c r="E5868" s="25">
        <v>26.9</v>
      </c>
    </row>
    <row r="5869" spans="1:5" ht="52" x14ac:dyDescent="0.3">
      <c r="A5869" s="17" t="str">
        <f>"G0186"</f>
        <v>G0186</v>
      </c>
      <c r="B5869" s="5" t="s">
        <v>5875</v>
      </c>
      <c r="C5869" s="17">
        <v>20230101</v>
      </c>
      <c r="D5869" s="17">
        <v>22991231</v>
      </c>
      <c r="E5869" s="25">
        <v>288</v>
      </c>
    </row>
    <row r="5870" spans="1:5" x14ac:dyDescent="0.3">
      <c r="A5870" s="17" t="str">
        <f>"G0235"</f>
        <v>G0235</v>
      </c>
      <c r="B5870" s="5" t="s">
        <v>5876</v>
      </c>
      <c r="C5870" s="17">
        <v>20230101</v>
      </c>
      <c r="D5870" s="17">
        <v>22991231</v>
      </c>
      <c r="E5870" s="25">
        <v>204.35</v>
      </c>
    </row>
    <row r="5871" spans="1:5" ht="39" x14ac:dyDescent="0.3">
      <c r="A5871" s="17" t="str">
        <f>"G0260"</f>
        <v>G0260</v>
      </c>
      <c r="B5871" s="5" t="s">
        <v>5877</v>
      </c>
      <c r="C5871" s="17">
        <v>20050101</v>
      </c>
      <c r="D5871" s="17">
        <v>22991231</v>
      </c>
      <c r="E5871" s="25">
        <v>342.64</v>
      </c>
    </row>
    <row r="5872" spans="1:5" ht="65" x14ac:dyDescent="0.3">
      <c r="A5872" s="17" t="str">
        <f>"G0276"</f>
        <v>G0276</v>
      </c>
      <c r="B5872" s="5" t="s">
        <v>5878</v>
      </c>
      <c r="C5872" s="17">
        <v>20230101</v>
      </c>
      <c r="D5872" s="17">
        <v>22991231</v>
      </c>
      <c r="E5872" s="25">
        <v>3240.75</v>
      </c>
    </row>
    <row r="5873" spans="1:5" ht="130" x14ac:dyDescent="0.3">
      <c r="A5873" s="17" t="str">
        <f>"G0278"</f>
        <v>G0278</v>
      </c>
      <c r="B5873" s="5" t="s">
        <v>5879</v>
      </c>
      <c r="C5873" s="17">
        <v>20230101</v>
      </c>
      <c r="D5873" s="17">
        <v>22991231</v>
      </c>
      <c r="E5873" s="25">
        <v>0</v>
      </c>
    </row>
    <row r="5874" spans="1:5" ht="78" x14ac:dyDescent="0.3">
      <c r="A5874" s="17" t="str">
        <f>"G0329"</f>
        <v>G0329</v>
      </c>
      <c r="B5874" s="5" t="s">
        <v>5880</v>
      </c>
      <c r="C5874" s="17">
        <v>20050101</v>
      </c>
      <c r="D5874" s="17">
        <v>22991231</v>
      </c>
      <c r="E5874" s="24" t="s">
        <v>7128</v>
      </c>
    </row>
    <row r="5875" spans="1:5" ht="65" x14ac:dyDescent="0.3">
      <c r="A5875" s="17" t="str">
        <f>"G0330"</f>
        <v>G0330</v>
      </c>
      <c r="B5875" s="5" t="s">
        <v>5881</v>
      </c>
      <c r="C5875" s="17">
        <v>20240101</v>
      </c>
      <c r="D5875" s="17">
        <v>22991231</v>
      </c>
      <c r="E5875" s="25">
        <v>1259.74</v>
      </c>
    </row>
    <row r="5876" spans="1:5" x14ac:dyDescent="0.3">
      <c r="A5876" s="17" t="str">
        <f>"G0378"</f>
        <v>G0378</v>
      </c>
      <c r="B5876" s="5" t="s">
        <v>5882</v>
      </c>
      <c r="C5876" s="17">
        <v>20060101</v>
      </c>
      <c r="D5876" s="17">
        <v>22991231</v>
      </c>
      <c r="E5876" s="24" t="s">
        <v>7128</v>
      </c>
    </row>
    <row r="5877" spans="1:5" ht="39" x14ac:dyDescent="0.3">
      <c r="A5877" s="17" t="str">
        <f>"G0429"</f>
        <v>G0429</v>
      </c>
      <c r="B5877" s="5" t="s">
        <v>5883</v>
      </c>
      <c r="C5877" s="17">
        <v>20230101</v>
      </c>
      <c r="D5877" s="17">
        <v>22991231</v>
      </c>
      <c r="E5877" s="25">
        <v>51.92</v>
      </c>
    </row>
    <row r="5878" spans="1:5" ht="39" x14ac:dyDescent="0.3">
      <c r="A5878" s="17" t="str">
        <f>"G0516"</f>
        <v>G0516</v>
      </c>
      <c r="B5878" s="5" t="s">
        <v>5884</v>
      </c>
      <c r="C5878" s="17">
        <v>20230101</v>
      </c>
      <c r="D5878" s="17">
        <v>22991231</v>
      </c>
      <c r="E5878" s="25">
        <v>0</v>
      </c>
    </row>
    <row r="5879" spans="1:5" ht="39" x14ac:dyDescent="0.3">
      <c r="A5879" s="17" t="str">
        <f>"G0517"</f>
        <v>G0517</v>
      </c>
      <c r="B5879" s="5" t="s">
        <v>5885</v>
      </c>
      <c r="C5879" s="17">
        <v>20230101</v>
      </c>
      <c r="D5879" s="17">
        <v>22991231</v>
      </c>
      <c r="E5879" s="25">
        <v>0</v>
      </c>
    </row>
    <row r="5880" spans="1:5" ht="39" x14ac:dyDescent="0.3">
      <c r="A5880" s="17" t="str">
        <f>"G0518"</f>
        <v>G0518</v>
      </c>
      <c r="B5880" s="5" t="s">
        <v>5886</v>
      </c>
      <c r="C5880" s="17">
        <v>20230101</v>
      </c>
      <c r="D5880" s="17">
        <v>22991231</v>
      </c>
      <c r="E5880" s="25">
        <v>0</v>
      </c>
    </row>
    <row r="5881" spans="1:5" x14ac:dyDescent="0.3">
      <c r="A5881" s="17" t="str">
        <f>"J0120"</f>
        <v>J0120</v>
      </c>
      <c r="B5881" s="5" t="s">
        <v>5887</v>
      </c>
      <c r="C5881" s="17">
        <v>20230101</v>
      </c>
      <c r="D5881" s="17">
        <v>22991231</v>
      </c>
      <c r="E5881" s="25">
        <v>0</v>
      </c>
    </row>
    <row r="5882" spans="1:5" x14ac:dyDescent="0.3">
      <c r="A5882" s="17" t="str">
        <f>"J0121"</f>
        <v>J0121</v>
      </c>
      <c r="B5882" s="5" t="s">
        <v>5888</v>
      </c>
      <c r="C5882" s="17">
        <v>20230101</v>
      </c>
      <c r="D5882" s="17">
        <v>22991231</v>
      </c>
      <c r="E5882" s="25">
        <v>3.5</v>
      </c>
    </row>
    <row r="5883" spans="1:5" x14ac:dyDescent="0.3">
      <c r="A5883" s="17" t="str">
        <f>"J0122"</f>
        <v>J0122</v>
      </c>
      <c r="B5883" s="5" t="s">
        <v>5889</v>
      </c>
      <c r="C5883" s="17">
        <v>20230101</v>
      </c>
      <c r="D5883" s="17">
        <v>22991231</v>
      </c>
      <c r="E5883" s="25">
        <v>1.08</v>
      </c>
    </row>
    <row r="5884" spans="1:5" ht="52" x14ac:dyDescent="0.3">
      <c r="A5884" s="17" t="str">
        <f>"J0129"</f>
        <v>J0129</v>
      </c>
      <c r="B5884" s="5" t="s">
        <v>5890</v>
      </c>
      <c r="C5884" s="17">
        <v>20230101</v>
      </c>
      <c r="D5884" s="17">
        <v>22991231</v>
      </c>
      <c r="E5884" s="25">
        <v>41.22</v>
      </c>
    </row>
    <row r="5885" spans="1:5" x14ac:dyDescent="0.3">
      <c r="A5885" s="17" t="str">
        <f>"J0130"</f>
        <v>J0130</v>
      </c>
      <c r="B5885" s="5" t="s">
        <v>5891</v>
      </c>
      <c r="C5885" s="17">
        <v>20230101</v>
      </c>
      <c r="D5885" s="17">
        <v>22991231</v>
      </c>
      <c r="E5885" s="25">
        <v>0</v>
      </c>
    </row>
    <row r="5886" spans="1:5" ht="26" x14ac:dyDescent="0.3">
      <c r="A5886" s="17" t="str">
        <f>"J0131"</f>
        <v>J0131</v>
      </c>
      <c r="B5886" s="5" t="s">
        <v>5892</v>
      </c>
      <c r="C5886" s="17">
        <v>20230101</v>
      </c>
      <c r="D5886" s="17">
        <v>22991231</v>
      </c>
      <c r="E5886" s="25">
        <v>0</v>
      </c>
    </row>
    <row r="5887" spans="1:5" x14ac:dyDescent="0.3">
      <c r="A5887" s="17" t="str">
        <f>"J0132"</f>
        <v>J0132</v>
      </c>
      <c r="B5887" s="5" t="s">
        <v>5893</v>
      </c>
      <c r="C5887" s="17">
        <v>20060101</v>
      </c>
      <c r="D5887" s="17">
        <v>22991231</v>
      </c>
      <c r="E5887" s="25">
        <v>0</v>
      </c>
    </row>
    <row r="5888" spans="1:5" x14ac:dyDescent="0.3">
      <c r="A5888" s="17" t="str">
        <f>"J0133"</f>
        <v>J0133</v>
      </c>
      <c r="B5888" s="5" t="s">
        <v>5894</v>
      </c>
      <c r="C5888" s="17">
        <v>20060101</v>
      </c>
      <c r="D5888" s="17">
        <v>22991231</v>
      </c>
      <c r="E5888" s="25">
        <v>0</v>
      </c>
    </row>
    <row r="5889" spans="1:5" ht="26" x14ac:dyDescent="0.3">
      <c r="A5889" s="17" t="str">
        <f>"J0134"</f>
        <v>J0134</v>
      </c>
      <c r="B5889" s="5" t="s">
        <v>5895</v>
      </c>
      <c r="C5889" s="17">
        <v>20240101</v>
      </c>
      <c r="D5889" s="17">
        <v>22991231</v>
      </c>
      <c r="E5889" s="25">
        <v>0.05</v>
      </c>
    </row>
    <row r="5890" spans="1:5" x14ac:dyDescent="0.3">
      <c r="A5890" s="17" t="str">
        <f>"J0135"</f>
        <v>J0135</v>
      </c>
      <c r="B5890" s="5" t="s">
        <v>5896</v>
      </c>
      <c r="C5890" s="17">
        <v>20050101</v>
      </c>
      <c r="D5890" s="17">
        <v>22991231</v>
      </c>
      <c r="E5890" s="25">
        <v>1752.21</v>
      </c>
    </row>
    <row r="5891" spans="1:5" ht="26" x14ac:dyDescent="0.3">
      <c r="A5891" s="17" t="str">
        <f>"J0136"</f>
        <v>J0136</v>
      </c>
      <c r="B5891" s="5" t="s">
        <v>5897</v>
      </c>
      <c r="C5891" s="17">
        <v>20240101</v>
      </c>
      <c r="D5891" s="17">
        <v>22991231</v>
      </c>
      <c r="E5891" s="25">
        <v>0.06</v>
      </c>
    </row>
    <row r="5892" spans="1:5" ht="26" x14ac:dyDescent="0.3">
      <c r="A5892" s="17" t="str">
        <f>"J0137"</f>
        <v>J0137</v>
      </c>
      <c r="B5892" s="5" t="s">
        <v>5898</v>
      </c>
      <c r="C5892" s="17">
        <v>20240101</v>
      </c>
      <c r="D5892" s="17">
        <v>22991231</v>
      </c>
      <c r="E5892" s="25">
        <v>0.05</v>
      </c>
    </row>
    <row r="5893" spans="1:5" ht="26" x14ac:dyDescent="0.3">
      <c r="A5893" s="17" t="str">
        <f>"J0153"</f>
        <v>J0153</v>
      </c>
      <c r="B5893" s="5" t="s">
        <v>5899</v>
      </c>
      <c r="C5893" s="17">
        <v>20230101</v>
      </c>
      <c r="D5893" s="17">
        <v>22991231</v>
      </c>
      <c r="E5893" s="25">
        <v>0</v>
      </c>
    </row>
    <row r="5894" spans="1:5" x14ac:dyDescent="0.3">
      <c r="A5894" s="17" t="str">
        <f>"J0171"</f>
        <v>J0171</v>
      </c>
      <c r="B5894" s="5" t="s">
        <v>5900</v>
      </c>
      <c r="C5894" s="17">
        <v>20230101</v>
      </c>
      <c r="D5894" s="17">
        <v>22991231</v>
      </c>
      <c r="E5894" s="25">
        <v>0</v>
      </c>
    </row>
    <row r="5895" spans="1:5" x14ac:dyDescent="0.3">
      <c r="A5895" s="17" t="str">
        <f>"J0172"</f>
        <v>J0172</v>
      </c>
      <c r="B5895" s="5" t="s">
        <v>5901</v>
      </c>
      <c r="C5895" s="17">
        <v>20230101</v>
      </c>
      <c r="D5895" s="17">
        <v>22991231</v>
      </c>
      <c r="E5895" s="25">
        <v>5.71</v>
      </c>
    </row>
    <row r="5896" spans="1:5" ht="26" x14ac:dyDescent="0.3">
      <c r="A5896" s="17" t="str">
        <f>"J0173"</f>
        <v>J0173</v>
      </c>
      <c r="B5896" s="5" t="s">
        <v>5902</v>
      </c>
      <c r="C5896" s="17">
        <v>20240101</v>
      </c>
      <c r="D5896" s="17">
        <v>22991231</v>
      </c>
      <c r="E5896" s="25">
        <v>1.71</v>
      </c>
    </row>
    <row r="5897" spans="1:5" x14ac:dyDescent="0.3">
      <c r="A5897" s="17" t="str">
        <f>"J0174"</f>
        <v>J0174</v>
      </c>
      <c r="B5897" s="5" t="s">
        <v>5903</v>
      </c>
      <c r="C5897" s="17">
        <v>20240101</v>
      </c>
      <c r="D5897" s="17">
        <v>22991231</v>
      </c>
      <c r="E5897" s="25">
        <v>1.29</v>
      </c>
    </row>
    <row r="5898" spans="1:5" x14ac:dyDescent="0.3">
      <c r="A5898" s="17" t="str">
        <f>"J0178"</f>
        <v>J0178</v>
      </c>
      <c r="B5898" s="5" t="s">
        <v>5904</v>
      </c>
      <c r="C5898" s="17">
        <v>20230101</v>
      </c>
      <c r="D5898" s="17">
        <v>22991231</v>
      </c>
      <c r="E5898" s="25">
        <v>823.61</v>
      </c>
    </row>
    <row r="5899" spans="1:5" x14ac:dyDescent="0.3">
      <c r="A5899" s="17" t="str">
        <f>"J0179"</f>
        <v>J0179</v>
      </c>
      <c r="B5899" s="5" t="s">
        <v>5905</v>
      </c>
      <c r="C5899" s="17">
        <v>20230101</v>
      </c>
      <c r="D5899" s="17">
        <v>22991231</v>
      </c>
      <c r="E5899" s="25">
        <v>310.64999999999998</v>
      </c>
    </row>
    <row r="5900" spans="1:5" x14ac:dyDescent="0.3">
      <c r="A5900" s="17" t="str">
        <f>"J0180"</f>
        <v>J0180</v>
      </c>
      <c r="B5900" s="5" t="s">
        <v>5906</v>
      </c>
      <c r="C5900" s="17">
        <v>20050101</v>
      </c>
      <c r="D5900" s="17">
        <v>22991231</v>
      </c>
      <c r="E5900" s="25">
        <v>208.55</v>
      </c>
    </row>
    <row r="5901" spans="1:5" x14ac:dyDescent="0.3">
      <c r="A5901" s="17" t="str">
        <f>"J0184"</f>
        <v>J0184</v>
      </c>
      <c r="B5901" s="5" t="s">
        <v>5907</v>
      </c>
      <c r="C5901" s="17">
        <v>20240101</v>
      </c>
      <c r="D5901" s="17">
        <v>22991231</v>
      </c>
      <c r="E5901" s="25">
        <v>8.67</v>
      </c>
    </row>
    <row r="5902" spans="1:5" x14ac:dyDescent="0.3">
      <c r="A5902" s="17" t="str">
        <f>"J0185"</f>
        <v>J0185</v>
      </c>
      <c r="B5902" s="5" t="s">
        <v>5908</v>
      </c>
      <c r="C5902" s="17">
        <v>20230101</v>
      </c>
      <c r="D5902" s="17">
        <v>22991231</v>
      </c>
      <c r="E5902" s="25">
        <v>1.65</v>
      </c>
    </row>
    <row r="5903" spans="1:5" x14ac:dyDescent="0.3">
      <c r="A5903" s="17" t="str">
        <f>"J0190"</f>
        <v>J0190</v>
      </c>
      <c r="B5903" s="5" t="s">
        <v>5909</v>
      </c>
      <c r="C5903" s="17">
        <v>20230101</v>
      </c>
      <c r="D5903" s="17">
        <v>22991231</v>
      </c>
      <c r="E5903" s="25">
        <v>0</v>
      </c>
    </row>
    <row r="5904" spans="1:5" x14ac:dyDescent="0.3">
      <c r="A5904" s="17" t="str">
        <f>"J0200"</f>
        <v>J0200</v>
      </c>
      <c r="B5904" s="5" t="s">
        <v>5910</v>
      </c>
      <c r="C5904" s="17">
        <v>20230101</v>
      </c>
      <c r="D5904" s="17">
        <v>22991231</v>
      </c>
      <c r="E5904" s="25">
        <v>0</v>
      </c>
    </row>
    <row r="5905" spans="1:5" x14ac:dyDescent="0.3">
      <c r="A5905" s="17" t="str">
        <f>"J0202"</f>
        <v>J0202</v>
      </c>
      <c r="B5905" s="5" t="s">
        <v>5911</v>
      </c>
      <c r="C5905" s="17">
        <v>20230101</v>
      </c>
      <c r="D5905" s="17">
        <v>22991231</v>
      </c>
      <c r="E5905" s="25">
        <v>2220.09</v>
      </c>
    </row>
    <row r="5906" spans="1:5" x14ac:dyDescent="0.3">
      <c r="A5906" s="17" t="str">
        <f>"J0205"</f>
        <v>J0205</v>
      </c>
      <c r="B5906" s="5" t="s">
        <v>5912</v>
      </c>
      <c r="C5906" s="17">
        <v>20230101</v>
      </c>
      <c r="D5906" s="17">
        <v>22991231</v>
      </c>
      <c r="E5906" s="25">
        <v>0</v>
      </c>
    </row>
    <row r="5907" spans="1:5" x14ac:dyDescent="0.3">
      <c r="A5907" s="17" t="str">
        <f>"J0206"</f>
        <v>J0206</v>
      </c>
      <c r="B5907" s="5" t="s">
        <v>5913</v>
      </c>
      <c r="C5907" s="17">
        <v>20240101</v>
      </c>
      <c r="D5907" s="17">
        <v>22991231</v>
      </c>
      <c r="E5907" s="25">
        <v>5.3</v>
      </c>
    </row>
    <row r="5908" spans="1:5" x14ac:dyDescent="0.3">
      <c r="A5908" s="17" t="str">
        <f>"J0207"</f>
        <v>J0207</v>
      </c>
      <c r="B5908" s="5" t="s">
        <v>5914</v>
      </c>
      <c r="C5908" s="17">
        <v>20230101</v>
      </c>
      <c r="D5908" s="17">
        <v>22991231</v>
      </c>
      <c r="E5908" s="25">
        <v>0</v>
      </c>
    </row>
    <row r="5909" spans="1:5" x14ac:dyDescent="0.3">
      <c r="A5909" s="17" t="str">
        <f>"J0208"</f>
        <v>J0208</v>
      </c>
      <c r="B5909" s="5" t="s">
        <v>5915</v>
      </c>
      <c r="C5909" s="17">
        <v>20240101</v>
      </c>
      <c r="D5909" s="17">
        <v>22991231</v>
      </c>
      <c r="E5909" s="25">
        <v>91.88</v>
      </c>
    </row>
    <row r="5910" spans="1:5" x14ac:dyDescent="0.3">
      <c r="A5910" s="17" t="str">
        <f>"J0210"</f>
        <v>J0210</v>
      </c>
      <c r="B5910" s="5" t="s">
        <v>5916</v>
      </c>
      <c r="C5910" s="17">
        <v>20230101</v>
      </c>
      <c r="D5910" s="17">
        <v>22991231</v>
      </c>
      <c r="E5910" s="25">
        <v>0</v>
      </c>
    </row>
    <row r="5911" spans="1:5" x14ac:dyDescent="0.3">
      <c r="A5911" s="17" t="str">
        <f>"J0215"</f>
        <v>J0215</v>
      </c>
      <c r="B5911" s="5" t="s">
        <v>5917</v>
      </c>
      <c r="C5911" s="17">
        <v>20230101</v>
      </c>
      <c r="D5911" s="17">
        <v>22991231</v>
      </c>
      <c r="E5911" s="25">
        <v>0</v>
      </c>
    </row>
    <row r="5912" spans="1:5" ht="26" x14ac:dyDescent="0.3">
      <c r="A5912" s="17" t="str">
        <f>"J0216"</f>
        <v>J0216</v>
      </c>
      <c r="B5912" s="5" t="s">
        <v>5918</v>
      </c>
      <c r="C5912" s="17">
        <v>20240101</v>
      </c>
      <c r="D5912" s="17">
        <v>22991231</v>
      </c>
      <c r="E5912" s="25">
        <v>0</v>
      </c>
    </row>
    <row r="5913" spans="1:5" x14ac:dyDescent="0.3">
      <c r="A5913" s="17" t="str">
        <f>"J0217"</f>
        <v>J0217</v>
      </c>
      <c r="B5913" s="5" t="s">
        <v>5919</v>
      </c>
      <c r="C5913" s="17">
        <v>20240101</v>
      </c>
      <c r="D5913" s="17">
        <v>22991231</v>
      </c>
      <c r="E5913" s="25">
        <v>404.98</v>
      </c>
    </row>
    <row r="5914" spans="1:5" x14ac:dyDescent="0.3">
      <c r="A5914" s="17" t="str">
        <f>"J0218"</f>
        <v>J0218</v>
      </c>
      <c r="B5914" s="5" t="s">
        <v>5920</v>
      </c>
      <c r="C5914" s="17">
        <v>20240101</v>
      </c>
      <c r="D5914" s="17">
        <v>22991231</v>
      </c>
      <c r="E5914" s="25">
        <v>360.06</v>
      </c>
    </row>
    <row r="5915" spans="1:5" x14ac:dyDescent="0.3">
      <c r="A5915" s="17" t="str">
        <f>"J0219"</f>
        <v>J0219</v>
      </c>
      <c r="B5915" s="5" t="s">
        <v>5921</v>
      </c>
      <c r="C5915" s="17">
        <v>20230101</v>
      </c>
      <c r="D5915" s="17">
        <v>22991231</v>
      </c>
      <c r="E5915" s="25">
        <v>72.61</v>
      </c>
    </row>
    <row r="5916" spans="1:5" ht="26" x14ac:dyDescent="0.3">
      <c r="A5916" s="17" t="str">
        <f>"J0220"</f>
        <v>J0220</v>
      </c>
      <c r="B5916" s="5" t="s">
        <v>5922</v>
      </c>
      <c r="C5916" s="17">
        <v>20230101</v>
      </c>
      <c r="D5916" s="17">
        <v>22991231</v>
      </c>
      <c r="E5916" s="25">
        <v>142.18</v>
      </c>
    </row>
    <row r="5917" spans="1:5" x14ac:dyDescent="0.3">
      <c r="A5917" s="17" t="str">
        <f>"J0221"</f>
        <v>J0221</v>
      </c>
      <c r="B5917" s="5" t="s">
        <v>5923</v>
      </c>
      <c r="C5917" s="17">
        <v>20230101</v>
      </c>
      <c r="D5917" s="17">
        <v>22991231</v>
      </c>
      <c r="E5917" s="25">
        <v>188.43</v>
      </c>
    </row>
    <row r="5918" spans="1:5" x14ac:dyDescent="0.3">
      <c r="A5918" s="17" t="str">
        <f>"J0222"</f>
        <v>J0222</v>
      </c>
      <c r="B5918" s="5" t="s">
        <v>5924</v>
      </c>
      <c r="C5918" s="17">
        <v>20230101</v>
      </c>
      <c r="D5918" s="17">
        <v>22991231</v>
      </c>
      <c r="E5918" s="25">
        <v>95.5</v>
      </c>
    </row>
    <row r="5919" spans="1:5" x14ac:dyDescent="0.3">
      <c r="A5919" s="17" t="str">
        <f>"J0223"</f>
        <v>J0223</v>
      </c>
      <c r="B5919" s="5" t="s">
        <v>5925</v>
      </c>
      <c r="C5919" s="17">
        <v>20230101</v>
      </c>
      <c r="D5919" s="17">
        <v>22991231</v>
      </c>
      <c r="E5919" s="25">
        <v>107.05</v>
      </c>
    </row>
    <row r="5920" spans="1:5" x14ac:dyDescent="0.3">
      <c r="A5920" s="17" t="str">
        <f>"J0224"</f>
        <v>J0224</v>
      </c>
      <c r="B5920" s="5" t="s">
        <v>5926</v>
      </c>
      <c r="C5920" s="17">
        <v>20230101</v>
      </c>
      <c r="D5920" s="17">
        <v>22991231</v>
      </c>
      <c r="E5920" s="25">
        <v>305.23</v>
      </c>
    </row>
    <row r="5921" spans="1:5" x14ac:dyDescent="0.3">
      <c r="A5921" s="17" t="str">
        <f>"J0225"</f>
        <v>J0225</v>
      </c>
      <c r="B5921" s="5" t="s">
        <v>5927</v>
      </c>
      <c r="C5921" s="17">
        <v>20230101</v>
      </c>
      <c r="D5921" s="17">
        <v>22991231</v>
      </c>
      <c r="E5921" s="25">
        <v>4725.49</v>
      </c>
    </row>
    <row r="5922" spans="1:5" ht="26" x14ac:dyDescent="0.3">
      <c r="A5922" s="17" t="str">
        <f>"J0256"</f>
        <v>J0256</v>
      </c>
      <c r="B5922" s="5" t="s">
        <v>5928</v>
      </c>
      <c r="C5922" s="17">
        <v>20230101</v>
      </c>
      <c r="D5922" s="17">
        <v>22991231</v>
      </c>
      <c r="E5922" s="25">
        <v>4.66</v>
      </c>
    </row>
    <row r="5923" spans="1:5" ht="26" x14ac:dyDescent="0.3">
      <c r="A5923" s="17" t="str">
        <f>"J0257"</f>
        <v>J0257</v>
      </c>
      <c r="B5923" s="5" t="s">
        <v>5929</v>
      </c>
      <c r="C5923" s="17">
        <v>20230101</v>
      </c>
      <c r="D5923" s="17">
        <v>22991231</v>
      </c>
      <c r="E5923" s="25">
        <v>5.1100000000000003</v>
      </c>
    </row>
    <row r="5924" spans="1:5" x14ac:dyDescent="0.3">
      <c r="A5924" s="17" t="str">
        <f>"J0278"</f>
        <v>J0278</v>
      </c>
      <c r="B5924" s="5" t="s">
        <v>5930</v>
      </c>
      <c r="C5924" s="17">
        <v>20060101</v>
      </c>
      <c r="D5924" s="17">
        <v>22991231</v>
      </c>
      <c r="E5924" s="25">
        <v>0</v>
      </c>
    </row>
    <row r="5925" spans="1:5" x14ac:dyDescent="0.3">
      <c r="A5925" s="17" t="str">
        <f>"J0280"</f>
        <v>J0280</v>
      </c>
      <c r="B5925" s="5" t="s">
        <v>5931</v>
      </c>
      <c r="C5925" s="17">
        <v>20230101</v>
      </c>
      <c r="D5925" s="17">
        <v>22991231</v>
      </c>
      <c r="E5925" s="25">
        <v>0</v>
      </c>
    </row>
    <row r="5926" spans="1:5" x14ac:dyDescent="0.3">
      <c r="A5926" s="17" t="str">
        <f>"J0282"</f>
        <v>J0282</v>
      </c>
      <c r="B5926" s="5" t="s">
        <v>5932</v>
      </c>
      <c r="C5926" s="17">
        <v>20230101</v>
      </c>
      <c r="D5926" s="17">
        <v>22991231</v>
      </c>
      <c r="E5926" s="25">
        <v>0</v>
      </c>
    </row>
    <row r="5927" spans="1:5" ht="26" x14ac:dyDescent="0.3">
      <c r="A5927" s="17" t="str">
        <f>"J0283"</f>
        <v>J0283</v>
      </c>
      <c r="B5927" s="5" t="s">
        <v>5933</v>
      </c>
      <c r="C5927" s="17">
        <v>20240101</v>
      </c>
      <c r="D5927" s="17">
        <v>22991231</v>
      </c>
      <c r="E5927" s="25">
        <v>0</v>
      </c>
    </row>
    <row r="5928" spans="1:5" x14ac:dyDescent="0.3">
      <c r="A5928" s="17" t="str">
        <f>"J0285"</f>
        <v>J0285</v>
      </c>
      <c r="B5928" s="5" t="s">
        <v>5934</v>
      </c>
      <c r="C5928" s="17">
        <v>20230101</v>
      </c>
      <c r="D5928" s="17">
        <v>22991231</v>
      </c>
      <c r="E5928" s="25">
        <v>0</v>
      </c>
    </row>
    <row r="5929" spans="1:5" x14ac:dyDescent="0.3">
      <c r="A5929" s="17" t="str">
        <f>"J0287"</f>
        <v>J0287</v>
      </c>
      <c r="B5929" s="5" t="s">
        <v>5935</v>
      </c>
      <c r="C5929" s="17">
        <v>20230101</v>
      </c>
      <c r="D5929" s="17">
        <v>22991231</v>
      </c>
      <c r="E5929" s="25">
        <v>10.63</v>
      </c>
    </row>
    <row r="5930" spans="1:5" ht="26" x14ac:dyDescent="0.3">
      <c r="A5930" s="17" t="str">
        <f>"J0288"</f>
        <v>J0288</v>
      </c>
      <c r="B5930" s="5" t="s">
        <v>5936</v>
      </c>
      <c r="C5930" s="17">
        <v>20230101</v>
      </c>
      <c r="D5930" s="17">
        <v>22991231</v>
      </c>
      <c r="E5930" s="25">
        <v>0</v>
      </c>
    </row>
    <row r="5931" spans="1:5" x14ac:dyDescent="0.3">
      <c r="A5931" s="17" t="str">
        <f>"J0289"</f>
        <v>J0289</v>
      </c>
      <c r="B5931" s="5" t="s">
        <v>5937</v>
      </c>
      <c r="C5931" s="17">
        <v>20230101</v>
      </c>
      <c r="D5931" s="17">
        <v>22991231</v>
      </c>
      <c r="E5931" s="25">
        <v>25.46</v>
      </c>
    </row>
    <row r="5932" spans="1:5" x14ac:dyDescent="0.3">
      <c r="A5932" s="17" t="str">
        <f>"J0290"</f>
        <v>J0290</v>
      </c>
      <c r="B5932" s="5" t="s">
        <v>5938</v>
      </c>
      <c r="C5932" s="17">
        <v>20230101</v>
      </c>
      <c r="D5932" s="17">
        <v>22991231</v>
      </c>
      <c r="E5932" s="25">
        <v>0</v>
      </c>
    </row>
    <row r="5933" spans="1:5" x14ac:dyDescent="0.3">
      <c r="A5933" s="17" t="str">
        <f>"J0291"</f>
        <v>J0291</v>
      </c>
      <c r="B5933" s="5" t="s">
        <v>5939</v>
      </c>
      <c r="C5933" s="17">
        <v>20230101</v>
      </c>
      <c r="D5933" s="17">
        <v>22991231</v>
      </c>
      <c r="E5933" s="25">
        <v>3.44</v>
      </c>
    </row>
    <row r="5934" spans="1:5" ht="26" x14ac:dyDescent="0.3">
      <c r="A5934" s="17" t="str">
        <f>"J0295"</f>
        <v>J0295</v>
      </c>
      <c r="B5934" s="5" t="s">
        <v>5940</v>
      </c>
      <c r="C5934" s="17">
        <v>20230101</v>
      </c>
      <c r="D5934" s="17">
        <v>22991231</v>
      </c>
      <c r="E5934" s="25">
        <v>0</v>
      </c>
    </row>
    <row r="5935" spans="1:5" x14ac:dyDescent="0.3">
      <c r="A5935" s="17" t="str">
        <f>"J0300"</f>
        <v>J0300</v>
      </c>
      <c r="B5935" s="5" t="s">
        <v>5941</v>
      </c>
      <c r="C5935" s="17">
        <v>20230101</v>
      </c>
      <c r="D5935" s="17">
        <v>22991231</v>
      </c>
      <c r="E5935" s="25">
        <v>109.12</v>
      </c>
    </row>
    <row r="5936" spans="1:5" x14ac:dyDescent="0.3">
      <c r="A5936" s="17" t="str">
        <f>"J0330"</f>
        <v>J0330</v>
      </c>
      <c r="B5936" s="5" t="s">
        <v>5942</v>
      </c>
      <c r="C5936" s="17">
        <v>20230101</v>
      </c>
      <c r="D5936" s="17">
        <v>22991231</v>
      </c>
      <c r="E5936" s="25">
        <v>0</v>
      </c>
    </row>
    <row r="5937" spans="1:5" x14ac:dyDescent="0.3">
      <c r="A5937" s="17" t="str">
        <f>"J0348"</f>
        <v>J0348</v>
      </c>
      <c r="B5937" s="5" t="s">
        <v>5943</v>
      </c>
      <c r="C5937" s="17">
        <v>20230101</v>
      </c>
      <c r="D5937" s="17">
        <v>22991231</v>
      </c>
      <c r="E5937" s="25">
        <v>0</v>
      </c>
    </row>
    <row r="5938" spans="1:5" x14ac:dyDescent="0.3">
      <c r="A5938" s="17" t="str">
        <f>"J0349"</f>
        <v>J0349</v>
      </c>
      <c r="B5938" s="5" t="s">
        <v>5944</v>
      </c>
      <c r="C5938" s="17">
        <v>20240101</v>
      </c>
      <c r="D5938" s="17">
        <v>22991231</v>
      </c>
      <c r="E5938" s="25">
        <v>9.59</v>
      </c>
    </row>
    <row r="5939" spans="1:5" x14ac:dyDescent="0.3">
      <c r="A5939" s="17" t="str">
        <f>"J0350"</f>
        <v>J0350</v>
      </c>
      <c r="B5939" s="5" t="s">
        <v>5945</v>
      </c>
      <c r="C5939" s="17">
        <v>20230101</v>
      </c>
      <c r="D5939" s="17">
        <v>22991231</v>
      </c>
      <c r="E5939" s="25">
        <v>0</v>
      </c>
    </row>
    <row r="5940" spans="1:5" x14ac:dyDescent="0.3">
      <c r="A5940" s="17" t="str">
        <f>"J0360"</f>
        <v>J0360</v>
      </c>
      <c r="B5940" s="5" t="s">
        <v>5946</v>
      </c>
      <c r="C5940" s="17">
        <v>20230101</v>
      </c>
      <c r="D5940" s="17">
        <v>22991231</v>
      </c>
      <c r="E5940" s="25">
        <v>0</v>
      </c>
    </row>
    <row r="5941" spans="1:5" x14ac:dyDescent="0.3">
      <c r="A5941" s="17" t="str">
        <f>"J0364"</f>
        <v>J0364</v>
      </c>
      <c r="B5941" s="5" t="s">
        <v>5947</v>
      </c>
      <c r="C5941" s="17">
        <v>20230101</v>
      </c>
      <c r="D5941" s="17">
        <v>22991231</v>
      </c>
      <c r="E5941" s="25">
        <v>0</v>
      </c>
    </row>
    <row r="5942" spans="1:5" x14ac:dyDescent="0.3">
      <c r="A5942" s="17" t="str">
        <f>"J0365"</f>
        <v>J0365</v>
      </c>
      <c r="B5942" s="5" t="s">
        <v>5948</v>
      </c>
      <c r="C5942" s="17">
        <v>20230101</v>
      </c>
      <c r="D5942" s="17">
        <v>22991231</v>
      </c>
      <c r="E5942" s="25">
        <v>0</v>
      </c>
    </row>
    <row r="5943" spans="1:5" x14ac:dyDescent="0.3">
      <c r="A5943" s="17" t="str">
        <f>"J0380"</f>
        <v>J0380</v>
      </c>
      <c r="B5943" s="5" t="s">
        <v>5949</v>
      </c>
      <c r="C5943" s="17">
        <v>20230101</v>
      </c>
      <c r="D5943" s="17">
        <v>22991231</v>
      </c>
      <c r="E5943" s="25">
        <v>0</v>
      </c>
    </row>
    <row r="5944" spans="1:5" ht="26" x14ac:dyDescent="0.3">
      <c r="A5944" s="17" t="str">
        <f>"J0390"</f>
        <v>J0390</v>
      </c>
      <c r="B5944" s="5" t="s">
        <v>5950</v>
      </c>
      <c r="C5944" s="17">
        <v>20230101</v>
      </c>
      <c r="D5944" s="17">
        <v>22991231</v>
      </c>
      <c r="E5944" s="25">
        <v>0</v>
      </c>
    </row>
    <row r="5945" spans="1:5" x14ac:dyDescent="0.3">
      <c r="A5945" s="17" t="str">
        <f>"J0391"</f>
        <v>J0391</v>
      </c>
      <c r="B5945" s="5" t="s">
        <v>5951</v>
      </c>
      <c r="C5945" s="17">
        <v>20240101</v>
      </c>
      <c r="D5945" s="17">
        <v>22991231</v>
      </c>
      <c r="E5945" s="25">
        <v>45.48</v>
      </c>
    </row>
    <row r="5946" spans="1:5" x14ac:dyDescent="0.3">
      <c r="A5946" s="17" t="str">
        <f>"J0395"</f>
        <v>J0395</v>
      </c>
      <c r="B5946" s="5" t="s">
        <v>5952</v>
      </c>
      <c r="C5946" s="17">
        <v>20230101</v>
      </c>
      <c r="D5946" s="17">
        <v>22991231</v>
      </c>
      <c r="E5946" s="25">
        <v>0</v>
      </c>
    </row>
    <row r="5947" spans="1:5" x14ac:dyDescent="0.3">
      <c r="A5947" s="17" t="str">
        <f>"J0400"</f>
        <v>J0400</v>
      </c>
      <c r="B5947" s="5" t="s">
        <v>5953</v>
      </c>
      <c r="C5947" s="17">
        <v>20230101</v>
      </c>
      <c r="D5947" s="17">
        <v>22991231</v>
      </c>
      <c r="E5947" s="25">
        <v>0</v>
      </c>
    </row>
    <row r="5948" spans="1:5" x14ac:dyDescent="0.3">
      <c r="A5948" s="17" t="str">
        <f>"J0401"</f>
        <v>J0401</v>
      </c>
      <c r="B5948" s="5" t="s">
        <v>5954</v>
      </c>
      <c r="C5948" s="17">
        <v>20230101</v>
      </c>
      <c r="D5948" s="17">
        <v>22991231</v>
      </c>
      <c r="E5948" s="25">
        <v>6.5</v>
      </c>
    </row>
    <row r="5949" spans="1:5" x14ac:dyDescent="0.3">
      <c r="A5949" s="17" t="str">
        <f>"J0402"</f>
        <v>J0402</v>
      </c>
      <c r="B5949" s="5" t="s">
        <v>5955</v>
      </c>
      <c r="C5949" s="17">
        <v>20240101</v>
      </c>
      <c r="D5949" s="17">
        <v>22991231</v>
      </c>
      <c r="E5949" s="25">
        <v>5.62</v>
      </c>
    </row>
    <row r="5950" spans="1:5" x14ac:dyDescent="0.3">
      <c r="A5950" s="17" t="str">
        <f>"J0456"</f>
        <v>J0456</v>
      </c>
      <c r="B5950" s="5" t="s">
        <v>5956</v>
      </c>
      <c r="C5950" s="17">
        <v>20230101</v>
      </c>
      <c r="D5950" s="17">
        <v>22991231</v>
      </c>
      <c r="E5950" s="25">
        <v>0</v>
      </c>
    </row>
    <row r="5951" spans="1:5" x14ac:dyDescent="0.3">
      <c r="A5951" s="17" t="str">
        <f>"J0457"</f>
        <v>J0457</v>
      </c>
      <c r="B5951" s="5" t="s">
        <v>5957</v>
      </c>
      <c r="C5951" s="17">
        <v>20240101</v>
      </c>
      <c r="D5951" s="17">
        <v>22991231</v>
      </c>
      <c r="E5951" s="25">
        <v>2.4300000000000002</v>
      </c>
    </row>
    <row r="5952" spans="1:5" x14ac:dyDescent="0.3">
      <c r="A5952" s="17" t="str">
        <f>"J0461"</f>
        <v>J0461</v>
      </c>
      <c r="B5952" s="5" t="s">
        <v>5958</v>
      </c>
      <c r="C5952" s="17">
        <v>20100101</v>
      </c>
      <c r="D5952" s="17">
        <v>22991231</v>
      </c>
      <c r="E5952" s="25">
        <v>0</v>
      </c>
    </row>
    <row r="5953" spans="1:5" x14ac:dyDescent="0.3">
      <c r="A5953" s="17" t="str">
        <f>"J0470"</f>
        <v>J0470</v>
      </c>
      <c r="B5953" s="5" t="s">
        <v>5959</v>
      </c>
      <c r="C5953" s="17">
        <v>20230101</v>
      </c>
      <c r="D5953" s="17">
        <v>22991231</v>
      </c>
      <c r="E5953" s="25">
        <v>57.13</v>
      </c>
    </row>
    <row r="5954" spans="1:5" x14ac:dyDescent="0.3">
      <c r="A5954" s="17" t="str">
        <f>"J0475"</f>
        <v>J0475</v>
      </c>
      <c r="B5954" s="5" t="s">
        <v>5960</v>
      </c>
      <c r="C5954" s="17">
        <v>20230101</v>
      </c>
      <c r="D5954" s="17">
        <v>22991231</v>
      </c>
      <c r="E5954" s="25">
        <v>169.83</v>
      </c>
    </row>
    <row r="5955" spans="1:5" x14ac:dyDescent="0.3">
      <c r="A5955" s="17" t="str">
        <f>"J0476"</f>
        <v>J0476</v>
      </c>
      <c r="B5955" s="5" t="s">
        <v>5961</v>
      </c>
      <c r="C5955" s="17">
        <v>20230101</v>
      </c>
      <c r="D5955" s="17">
        <v>22991231</v>
      </c>
      <c r="E5955" s="25">
        <v>0</v>
      </c>
    </row>
    <row r="5956" spans="1:5" x14ac:dyDescent="0.3">
      <c r="A5956" s="17" t="str">
        <f>"J0480"</f>
        <v>J0480</v>
      </c>
      <c r="B5956" s="5" t="s">
        <v>5962</v>
      </c>
      <c r="C5956" s="17">
        <v>20230101</v>
      </c>
      <c r="D5956" s="17">
        <v>22991231</v>
      </c>
      <c r="E5956" s="25">
        <v>4275.51</v>
      </c>
    </row>
    <row r="5957" spans="1:5" x14ac:dyDescent="0.3">
      <c r="A5957" s="17" t="str">
        <f>"J0485"</f>
        <v>J0485</v>
      </c>
      <c r="B5957" s="5" t="s">
        <v>5963</v>
      </c>
      <c r="C5957" s="17">
        <v>20230101</v>
      </c>
      <c r="D5957" s="17">
        <v>22991231</v>
      </c>
      <c r="E5957" s="25">
        <v>3.7</v>
      </c>
    </row>
    <row r="5958" spans="1:5" x14ac:dyDescent="0.3">
      <c r="A5958" s="17" t="str">
        <f>"J0490"</f>
        <v>J0490</v>
      </c>
      <c r="B5958" s="5" t="s">
        <v>5964</v>
      </c>
      <c r="C5958" s="17">
        <v>20230101</v>
      </c>
      <c r="D5958" s="17">
        <v>22991231</v>
      </c>
      <c r="E5958" s="25">
        <v>49.67</v>
      </c>
    </row>
    <row r="5959" spans="1:5" x14ac:dyDescent="0.3">
      <c r="A5959" s="17" t="str">
        <f>"J0491"</f>
        <v>J0491</v>
      </c>
      <c r="B5959" s="5" t="s">
        <v>5965</v>
      </c>
      <c r="C5959" s="17">
        <v>20230101</v>
      </c>
      <c r="D5959" s="17">
        <v>22991231</v>
      </c>
      <c r="E5959" s="25">
        <v>16.41</v>
      </c>
    </row>
    <row r="5960" spans="1:5" x14ac:dyDescent="0.3">
      <c r="A5960" s="17" t="str">
        <f>"J0500"</f>
        <v>J0500</v>
      </c>
      <c r="B5960" s="5" t="s">
        <v>5966</v>
      </c>
      <c r="C5960" s="17">
        <v>20230101</v>
      </c>
      <c r="D5960" s="17">
        <v>22991231</v>
      </c>
      <c r="E5960" s="25">
        <v>0</v>
      </c>
    </row>
    <row r="5961" spans="1:5" x14ac:dyDescent="0.3">
      <c r="A5961" s="17" t="str">
        <f>"J0515"</f>
        <v>J0515</v>
      </c>
      <c r="B5961" s="5" t="s">
        <v>5967</v>
      </c>
      <c r="C5961" s="17">
        <v>20230101</v>
      </c>
      <c r="D5961" s="17">
        <v>22991231</v>
      </c>
      <c r="E5961" s="25">
        <v>0</v>
      </c>
    </row>
    <row r="5962" spans="1:5" x14ac:dyDescent="0.3">
      <c r="A5962" s="17" t="str">
        <f>"J0517"</f>
        <v>J0517</v>
      </c>
      <c r="B5962" s="5" t="s">
        <v>5968</v>
      </c>
      <c r="C5962" s="17">
        <v>20230101</v>
      </c>
      <c r="D5962" s="17">
        <v>22991231</v>
      </c>
      <c r="E5962" s="25">
        <v>161.9</v>
      </c>
    </row>
    <row r="5963" spans="1:5" ht="26" x14ac:dyDescent="0.3">
      <c r="A5963" s="17" t="str">
        <f>"J0520"</f>
        <v>J0520</v>
      </c>
      <c r="B5963" s="5" t="s">
        <v>5969</v>
      </c>
      <c r="C5963" s="17">
        <v>20230101</v>
      </c>
      <c r="D5963" s="17">
        <v>22991231</v>
      </c>
      <c r="E5963" s="25">
        <v>0</v>
      </c>
    </row>
    <row r="5964" spans="1:5" ht="26" x14ac:dyDescent="0.3">
      <c r="A5964" s="17" t="str">
        <f>"J0558"</f>
        <v>J0558</v>
      </c>
      <c r="B5964" s="5" t="s">
        <v>5970</v>
      </c>
      <c r="C5964" s="17">
        <v>20230101</v>
      </c>
      <c r="D5964" s="17">
        <v>22991231</v>
      </c>
      <c r="E5964" s="25">
        <v>16.79</v>
      </c>
    </row>
    <row r="5965" spans="1:5" x14ac:dyDescent="0.3">
      <c r="A5965" s="17" t="str">
        <f>"J0561"</f>
        <v>J0561</v>
      </c>
      <c r="B5965" s="5" t="s">
        <v>5971</v>
      </c>
      <c r="C5965" s="17">
        <v>20230101</v>
      </c>
      <c r="D5965" s="17">
        <v>22991231</v>
      </c>
      <c r="E5965" s="25">
        <v>20.76</v>
      </c>
    </row>
    <row r="5966" spans="1:5" x14ac:dyDescent="0.3">
      <c r="A5966" s="17" t="str">
        <f>"J0565"</f>
        <v>J0565</v>
      </c>
      <c r="B5966" s="5" t="s">
        <v>5972</v>
      </c>
      <c r="C5966" s="17">
        <v>20230101</v>
      </c>
      <c r="D5966" s="17">
        <v>22991231</v>
      </c>
      <c r="E5966" s="25">
        <v>38.07</v>
      </c>
    </row>
    <row r="5967" spans="1:5" x14ac:dyDescent="0.3">
      <c r="A5967" s="17" t="str">
        <f>"J0567"</f>
        <v>J0567</v>
      </c>
      <c r="B5967" s="5" t="s">
        <v>5973</v>
      </c>
      <c r="C5967" s="17">
        <v>20230101</v>
      </c>
      <c r="D5967" s="17">
        <v>22991231</v>
      </c>
      <c r="E5967" s="25">
        <v>0</v>
      </c>
    </row>
    <row r="5968" spans="1:5" x14ac:dyDescent="0.3">
      <c r="A5968" s="17" t="str">
        <f>"J0570"</f>
        <v>J0570</v>
      </c>
      <c r="B5968" s="5" t="s">
        <v>5974</v>
      </c>
      <c r="C5968" s="17">
        <v>20230101</v>
      </c>
      <c r="D5968" s="17">
        <v>22991231</v>
      </c>
      <c r="E5968" s="25">
        <v>1252.92</v>
      </c>
    </row>
    <row r="5969" spans="1:5" ht="26" x14ac:dyDescent="0.3">
      <c r="A5969" s="17" t="str">
        <f>"J0576"</f>
        <v>J0576</v>
      </c>
      <c r="B5969" s="5" t="s">
        <v>5975</v>
      </c>
      <c r="C5969" s="17">
        <v>20240101</v>
      </c>
      <c r="D5969" s="17">
        <v>20240331</v>
      </c>
      <c r="E5969" s="25">
        <v>12.26</v>
      </c>
    </row>
    <row r="5970" spans="1:5" x14ac:dyDescent="0.3">
      <c r="A5970" s="17" t="str">
        <f>"J0583"</f>
        <v>J0583</v>
      </c>
      <c r="B5970" s="5" t="s">
        <v>5976</v>
      </c>
      <c r="C5970" s="17">
        <v>20230101</v>
      </c>
      <c r="D5970" s="17">
        <v>22991231</v>
      </c>
      <c r="E5970" s="25">
        <v>0</v>
      </c>
    </row>
    <row r="5971" spans="1:5" x14ac:dyDescent="0.3">
      <c r="A5971" s="17" t="str">
        <f>"J0584"</f>
        <v>J0584</v>
      </c>
      <c r="B5971" s="5" t="s">
        <v>5977</v>
      </c>
      <c r="C5971" s="17">
        <v>20230101</v>
      </c>
      <c r="D5971" s="17">
        <v>22991231</v>
      </c>
      <c r="E5971" s="25">
        <v>423.61</v>
      </c>
    </row>
    <row r="5972" spans="1:5" x14ac:dyDescent="0.3">
      <c r="A5972" s="17" t="str">
        <f>"J0585"</f>
        <v>J0585</v>
      </c>
      <c r="B5972" s="5" t="s">
        <v>5978</v>
      </c>
      <c r="C5972" s="17">
        <v>20230101</v>
      </c>
      <c r="D5972" s="17">
        <v>22991231</v>
      </c>
      <c r="E5972" s="25">
        <v>6.05</v>
      </c>
    </row>
    <row r="5973" spans="1:5" x14ac:dyDescent="0.3">
      <c r="A5973" s="17" t="str">
        <f>"J0586"</f>
        <v>J0586</v>
      </c>
      <c r="B5973" s="5" t="s">
        <v>5979</v>
      </c>
      <c r="C5973" s="17">
        <v>20151001</v>
      </c>
      <c r="D5973" s="17">
        <v>22991231</v>
      </c>
      <c r="E5973" s="25">
        <v>8.41</v>
      </c>
    </row>
    <row r="5974" spans="1:5" x14ac:dyDescent="0.3">
      <c r="A5974" s="17" t="str">
        <f>"J0587"</f>
        <v>J0587</v>
      </c>
      <c r="B5974" s="5" t="s">
        <v>5980</v>
      </c>
      <c r="C5974" s="17">
        <v>20230101</v>
      </c>
      <c r="D5974" s="17">
        <v>22991231</v>
      </c>
      <c r="E5974" s="25">
        <v>12.45</v>
      </c>
    </row>
    <row r="5975" spans="1:5" x14ac:dyDescent="0.3">
      <c r="A5975" s="17" t="str">
        <f>"J0588"</f>
        <v>J0588</v>
      </c>
      <c r="B5975" s="5" t="s">
        <v>5981</v>
      </c>
      <c r="C5975" s="17">
        <v>20230101</v>
      </c>
      <c r="D5975" s="17">
        <v>22991231</v>
      </c>
      <c r="E5975" s="25">
        <v>4.96</v>
      </c>
    </row>
    <row r="5976" spans="1:5" x14ac:dyDescent="0.3">
      <c r="A5976" s="17" t="str">
        <f>"J0592"</f>
        <v>J0592</v>
      </c>
      <c r="B5976" s="5" t="s">
        <v>5982</v>
      </c>
      <c r="C5976" s="17">
        <v>20230101</v>
      </c>
      <c r="D5976" s="17">
        <v>22991231</v>
      </c>
      <c r="E5976" s="25">
        <v>0</v>
      </c>
    </row>
    <row r="5977" spans="1:5" ht="52" x14ac:dyDescent="0.3">
      <c r="A5977" s="17" t="str">
        <f>"J0593"</f>
        <v>J0593</v>
      </c>
      <c r="B5977" s="5" t="s">
        <v>5983</v>
      </c>
      <c r="C5977" s="17">
        <v>20230101</v>
      </c>
      <c r="D5977" s="17">
        <v>22991231</v>
      </c>
      <c r="E5977" s="25">
        <v>0</v>
      </c>
    </row>
    <row r="5978" spans="1:5" x14ac:dyDescent="0.3">
      <c r="A5978" s="17" t="str">
        <f>"J0594"</f>
        <v>J0594</v>
      </c>
      <c r="B5978" s="5" t="s">
        <v>5984</v>
      </c>
      <c r="C5978" s="17">
        <v>20230101</v>
      </c>
      <c r="D5978" s="17">
        <v>22991231</v>
      </c>
      <c r="E5978" s="25">
        <v>1.35</v>
      </c>
    </row>
    <row r="5979" spans="1:5" x14ac:dyDescent="0.3">
      <c r="A5979" s="17" t="str">
        <f>"J0595"</f>
        <v>J0595</v>
      </c>
      <c r="B5979" s="5" t="s">
        <v>5985</v>
      </c>
      <c r="C5979" s="17">
        <v>20230101</v>
      </c>
      <c r="D5979" s="17">
        <v>22991231</v>
      </c>
      <c r="E5979" s="25">
        <v>0</v>
      </c>
    </row>
    <row r="5980" spans="1:5" ht="26" x14ac:dyDescent="0.3">
      <c r="A5980" s="17" t="str">
        <f>"J0596"</f>
        <v>J0596</v>
      </c>
      <c r="B5980" s="5" t="s">
        <v>5986</v>
      </c>
      <c r="C5980" s="17">
        <v>20230101</v>
      </c>
      <c r="D5980" s="17">
        <v>22991231</v>
      </c>
      <c r="E5980" s="25">
        <v>32.01</v>
      </c>
    </row>
    <row r="5981" spans="1:5" ht="26" x14ac:dyDescent="0.3">
      <c r="A5981" s="17" t="str">
        <f>"J0597"</f>
        <v>J0597</v>
      </c>
      <c r="B5981" s="5" t="s">
        <v>5987</v>
      </c>
      <c r="C5981" s="17">
        <v>20230101</v>
      </c>
      <c r="D5981" s="17">
        <v>22991231</v>
      </c>
      <c r="E5981" s="25">
        <v>61.47</v>
      </c>
    </row>
    <row r="5982" spans="1:5" ht="26" x14ac:dyDescent="0.3">
      <c r="A5982" s="17" t="str">
        <f>"J0598"</f>
        <v>J0598</v>
      </c>
      <c r="B5982" s="5" t="s">
        <v>5988</v>
      </c>
      <c r="C5982" s="17">
        <v>20230101</v>
      </c>
      <c r="D5982" s="17">
        <v>22991231</v>
      </c>
      <c r="E5982" s="25">
        <v>59.75</v>
      </c>
    </row>
    <row r="5983" spans="1:5" ht="26" x14ac:dyDescent="0.3">
      <c r="A5983" s="17" t="str">
        <f>"J0599"</f>
        <v>J0599</v>
      </c>
      <c r="B5983" s="5" t="s">
        <v>5989</v>
      </c>
      <c r="C5983" s="17">
        <v>20230101</v>
      </c>
      <c r="D5983" s="17">
        <v>22991231</v>
      </c>
      <c r="E5983" s="25">
        <v>0</v>
      </c>
    </row>
    <row r="5984" spans="1:5" ht="26" x14ac:dyDescent="0.3">
      <c r="A5984" s="17" t="str">
        <f>"J0600"</f>
        <v>J0600</v>
      </c>
      <c r="B5984" s="5" t="s">
        <v>5990</v>
      </c>
      <c r="C5984" s="17">
        <v>20230101</v>
      </c>
      <c r="D5984" s="17">
        <v>22991231</v>
      </c>
      <c r="E5984" s="25">
        <v>6163.11</v>
      </c>
    </row>
    <row r="5985" spans="1:5" x14ac:dyDescent="0.3">
      <c r="A5985" s="17" t="str">
        <f>"J0606"</f>
        <v>J0606</v>
      </c>
      <c r="B5985" s="5" t="s">
        <v>5991</v>
      </c>
      <c r="C5985" s="17">
        <v>20230101</v>
      </c>
      <c r="D5985" s="17">
        <v>22991231</v>
      </c>
      <c r="E5985" s="25">
        <v>2.4900000000000002</v>
      </c>
    </row>
    <row r="5986" spans="1:5" ht="26" x14ac:dyDescent="0.3">
      <c r="A5986" s="17" t="str">
        <f>"J0612"</f>
        <v>J0612</v>
      </c>
      <c r="B5986" s="5" t="s">
        <v>5992</v>
      </c>
      <c r="C5986" s="17">
        <v>20240101</v>
      </c>
      <c r="D5986" s="17">
        <v>22991231</v>
      </c>
      <c r="E5986" s="25">
        <v>0.05</v>
      </c>
    </row>
    <row r="5987" spans="1:5" ht="26" x14ac:dyDescent="0.3">
      <c r="A5987" s="17" t="str">
        <f>"J0613"</f>
        <v>J0613</v>
      </c>
      <c r="B5987" s="5" t="s">
        <v>5993</v>
      </c>
      <c r="C5987" s="17">
        <v>20240101</v>
      </c>
      <c r="D5987" s="17">
        <v>22991231</v>
      </c>
      <c r="E5987" s="25">
        <v>0.09</v>
      </c>
    </row>
    <row r="5988" spans="1:5" ht="26" x14ac:dyDescent="0.3">
      <c r="A5988" s="17" t="str">
        <f>"J0620"</f>
        <v>J0620</v>
      </c>
      <c r="B5988" s="5" t="s">
        <v>5994</v>
      </c>
      <c r="C5988" s="17">
        <v>20230101</v>
      </c>
      <c r="D5988" s="17">
        <v>22991231</v>
      </c>
      <c r="E5988" s="25">
        <v>0</v>
      </c>
    </row>
    <row r="5989" spans="1:5" x14ac:dyDescent="0.3">
      <c r="A5989" s="17" t="str">
        <f>"J0630"</f>
        <v>J0630</v>
      </c>
      <c r="B5989" s="5" t="s">
        <v>5995</v>
      </c>
      <c r="C5989" s="17">
        <v>20230101</v>
      </c>
      <c r="D5989" s="17">
        <v>22991231</v>
      </c>
      <c r="E5989" s="25">
        <v>1021.53</v>
      </c>
    </row>
    <row r="5990" spans="1:5" x14ac:dyDescent="0.3">
      <c r="A5990" s="17" t="str">
        <f>"J0636"</f>
        <v>J0636</v>
      </c>
      <c r="B5990" s="5" t="s">
        <v>5996</v>
      </c>
      <c r="C5990" s="17">
        <v>20230101</v>
      </c>
      <c r="D5990" s="17">
        <v>22991231</v>
      </c>
      <c r="E5990" s="25">
        <v>0</v>
      </c>
    </row>
    <row r="5991" spans="1:5" x14ac:dyDescent="0.3">
      <c r="A5991" s="17" t="str">
        <f>"J0637"</f>
        <v>J0637</v>
      </c>
      <c r="B5991" s="5" t="s">
        <v>5997</v>
      </c>
      <c r="C5991" s="17">
        <v>20230101</v>
      </c>
      <c r="D5991" s="17">
        <v>22991231</v>
      </c>
      <c r="E5991" s="25">
        <v>0</v>
      </c>
    </row>
    <row r="5992" spans="1:5" x14ac:dyDescent="0.3">
      <c r="A5992" s="17" t="str">
        <f>"J0638"</f>
        <v>J0638</v>
      </c>
      <c r="B5992" s="5" t="s">
        <v>5998</v>
      </c>
      <c r="C5992" s="17">
        <v>20230101</v>
      </c>
      <c r="D5992" s="17">
        <v>22991231</v>
      </c>
      <c r="E5992" s="25">
        <v>118.75</v>
      </c>
    </row>
    <row r="5993" spans="1:5" x14ac:dyDescent="0.3">
      <c r="A5993" s="17" t="str">
        <f>"J0640"</f>
        <v>J0640</v>
      </c>
      <c r="B5993" s="5" t="s">
        <v>5999</v>
      </c>
      <c r="C5993" s="17">
        <v>20230101</v>
      </c>
      <c r="D5993" s="17">
        <v>22991231</v>
      </c>
      <c r="E5993" s="25">
        <v>0</v>
      </c>
    </row>
    <row r="5994" spans="1:5" ht="26" x14ac:dyDescent="0.3">
      <c r="A5994" s="17" t="str">
        <f>"J0641"</f>
        <v>J0641</v>
      </c>
      <c r="B5994" s="5" t="s">
        <v>6000</v>
      </c>
      <c r="C5994" s="17">
        <v>20090101</v>
      </c>
      <c r="D5994" s="17">
        <v>22991231</v>
      </c>
      <c r="E5994" s="25">
        <v>7.0000000000000007E-2</v>
      </c>
    </row>
    <row r="5995" spans="1:5" x14ac:dyDescent="0.3">
      <c r="A5995" s="17" t="str">
        <f>"J0642"</f>
        <v>J0642</v>
      </c>
      <c r="B5995" s="5" t="s">
        <v>6001</v>
      </c>
      <c r="C5995" s="17">
        <v>20230101</v>
      </c>
      <c r="D5995" s="17">
        <v>22991231</v>
      </c>
      <c r="E5995" s="25">
        <v>1.46</v>
      </c>
    </row>
    <row r="5996" spans="1:5" ht="26" x14ac:dyDescent="0.3">
      <c r="A5996" s="17" t="str">
        <f>"J0665"</f>
        <v>J0665</v>
      </c>
      <c r="B5996" s="5" t="s">
        <v>6002</v>
      </c>
      <c r="C5996" s="17">
        <v>20240101</v>
      </c>
      <c r="D5996" s="17">
        <v>22991231</v>
      </c>
      <c r="E5996" s="25">
        <v>0.01</v>
      </c>
    </row>
    <row r="5997" spans="1:5" x14ac:dyDescent="0.3">
      <c r="A5997" s="17" t="str">
        <f>"J0670"</f>
        <v>J0670</v>
      </c>
      <c r="B5997" s="5" t="s">
        <v>6003</v>
      </c>
      <c r="C5997" s="17">
        <v>20230101</v>
      </c>
      <c r="D5997" s="17">
        <v>22991231</v>
      </c>
      <c r="E5997" s="25">
        <v>0</v>
      </c>
    </row>
    <row r="5998" spans="1:5" ht="26" x14ac:dyDescent="0.3">
      <c r="A5998" s="17" t="str">
        <f>"J0688"</f>
        <v>J0688</v>
      </c>
      <c r="B5998" s="5" t="s">
        <v>6004</v>
      </c>
      <c r="C5998" s="17">
        <v>20240101</v>
      </c>
      <c r="D5998" s="17">
        <v>22991231</v>
      </c>
      <c r="E5998" s="25">
        <v>0</v>
      </c>
    </row>
    <row r="5999" spans="1:5" ht="26" x14ac:dyDescent="0.3">
      <c r="A5999" s="17" t="str">
        <f>"J0689"</f>
        <v>J0689</v>
      </c>
      <c r="B5999" s="5" t="s">
        <v>6005</v>
      </c>
      <c r="C5999" s="17">
        <v>20240101</v>
      </c>
      <c r="D5999" s="17">
        <v>22991231</v>
      </c>
      <c r="E5999" s="25">
        <v>1.17</v>
      </c>
    </row>
    <row r="6000" spans="1:5" x14ac:dyDescent="0.3">
      <c r="A6000" s="17" t="str">
        <f>"J0690"</f>
        <v>J0690</v>
      </c>
      <c r="B6000" s="5" t="s">
        <v>6006</v>
      </c>
      <c r="C6000" s="17">
        <v>20230101</v>
      </c>
      <c r="D6000" s="17">
        <v>22991231</v>
      </c>
      <c r="E6000" s="25">
        <v>0</v>
      </c>
    </row>
    <row r="6001" spans="1:5" x14ac:dyDescent="0.3">
      <c r="A6001" s="17" t="str">
        <f>"J0691"</f>
        <v>J0691</v>
      </c>
      <c r="B6001" s="5" t="s">
        <v>6007</v>
      </c>
      <c r="C6001" s="17">
        <v>20230101</v>
      </c>
      <c r="D6001" s="17">
        <v>22991231</v>
      </c>
      <c r="E6001" s="25">
        <v>0.69</v>
      </c>
    </row>
    <row r="6002" spans="1:5" x14ac:dyDescent="0.3">
      <c r="A6002" s="17" t="str">
        <f>"J0692"</f>
        <v>J0692</v>
      </c>
      <c r="B6002" s="5" t="s">
        <v>6008</v>
      </c>
      <c r="C6002" s="17">
        <v>20230101</v>
      </c>
      <c r="D6002" s="17">
        <v>22991231</v>
      </c>
      <c r="E6002" s="25">
        <v>0</v>
      </c>
    </row>
    <row r="6003" spans="1:5" x14ac:dyDescent="0.3">
      <c r="A6003" s="17" t="str">
        <f>"J0694"</f>
        <v>J0694</v>
      </c>
      <c r="B6003" s="5" t="s">
        <v>6009</v>
      </c>
      <c r="C6003" s="17">
        <v>20230101</v>
      </c>
      <c r="D6003" s="17">
        <v>22991231</v>
      </c>
      <c r="E6003" s="25">
        <v>0</v>
      </c>
    </row>
    <row r="6004" spans="1:5" ht="26" x14ac:dyDescent="0.3">
      <c r="A6004" s="17" t="str">
        <f>"J0695"</f>
        <v>J0695</v>
      </c>
      <c r="B6004" s="5" t="s">
        <v>6010</v>
      </c>
      <c r="C6004" s="17">
        <v>20230101</v>
      </c>
      <c r="D6004" s="17">
        <v>22991231</v>
      </c>
      <c r="E6004" s="25">
        <v>7.04</v>
      </c>
    </row>
    <row r="6005" spans="1:5" x14ac:dyDescent="0.3">
      <c r="A6005" s="17" t="str">
        <f>"J0696"</f>
        <v>J0696</v>
      </c>
      <c r="B6005" s="5" t="s">
        <v>6011</v>
      </c>
      <c r="C6005" s="17">
        <v>20230101</v>
      </c>
      <c r="D6005" s="17">
        <v>22991231</v>
      </c>
      <c r="E6005" s="25">
        <v>0</v>
      </c>
    </row>
    <row r="6006" spans="1:5" x14ac:dyDescent="0.3">
      <c r="A6006" s="17" t="str">
        <f>"J0697"</f>
        <v>J0697</v>
      </c>
      <c r="B6006" s="5" t="s">
        <v>6012</v>
      </c>
      <c r="C6006" s="17">
        <v>20230101</v>
      </c>
      <c r="D6006" s="17">
        <v>22991231</v>
      </c>
      <c r="E6006" s="25">
        <v>0</v>
      </c>
    </row>
    <row r="6007" spans="1:5" x14ac:dyDescent="0.3">
      <c r="A6007" s="17" t="str">
        <f>"J0698"</f>
        <v>J0698</v>
      </c>
      <c r="B6007" s="5" t="s">
        <v>6013</v>
      </c>
      <c r="C6007" s="17">
        <v>20230101</v>
      </c>
      <c r="D6007" s="17">
        <v>22991231</v>
      </c>
      <c r="E6007" s="25">
        <v>0</v>
      </c>
    </row>
    <row r="6008" spans="1:5" x14ac:dyDescent="0.3">
      <c r="A6008" s="17" t="str">
        <f>"J0699"</f>
        <v>J0699</v>
      </c>
      <c r="B6008" s="5" t="s">
        <v>6014</v>
      </c>
      <c r="C6008" s="17">
        <v>20230101</v>
      </c>
      <c r="D6008" s="17">
        <v>22991231</v>
      </c>
      <c r="E6008" s="25">
        <v>2.0699999999999998</v>
      </c>
    </row>
    <row r="6009" spans="1:5" ht="26" x14ac:dyDescent="0.3">
      <c r="A6009" s="17" t="str">
        <f>"J0701"</f>
        <v>J0701</v>
      </c>
      <c r="B6009" s="5" t="s">
        <v>6015</v>
      </c>
      <c r="C6009" s="17">
        <v>20240101</v>
      </c>
      <c r="D6009" s="17">
        <v>22991231</v>
      </c>
      <c r="E6009" s="25">
        <v>5.39</v>
      </c>
    </row>
    <row r="6010" spans="1:5" ht="26" x14ac:dyDescent="0.3">
      <c r="A6010" s="17" t="str">
        <f>"J0702"</f>
        <v>J0702</v>
      </c>
      <c r="B6010" s="5" t="s">
        <v>6016</v>
      </c>
      <c r="C6010" s="17">
        <v>20230101</v>
      </c>
      <c r="D6010" s="17">
        <v>22991231</v>
      </c>
      <c r="E6010" s="25">
        <v>0</v>
      </c>
    </row>
    <row r="6011" spans="1:5" ht="26" x14ac:dyDescent="0.3">
      <c r="A6011" s="17" t="str">
        <f>"J0703"</f>
        <v>J0703</v>
      </c>
      <c r="B6011" s="5" t="s">
        <v>6017</v>
      </c>
      <c r="C6011" s="17">
        <v>20240101</v>
      </c>
      <c r="D6011" s="17">
        <v>22991231</v>
      </c>
      <c r="E6011" s="25">
        <v>5.03</v>
      </c>
    </row>
    <row r="6012" spans="1:5" x14ac:dyDescent="0.3">
      <c r="A6012" s="17" t="str">
        <f>"J0706"</f>
        <v>J0706</v>
      </c>
      <c r="B6012" s="5" t="s">
        <v>6018</v>
      </c>
      <c r="C6012" s="17">
        <v>20230101</v>
      </c>
      <c r="D6012" s="17">
        <v>22991231</v>
      </c>
      <c r="E6012" s="25">
        <v>0</v>
      </c>
    </row>
    <row r="6013" spans="1:5" x14ac:dyDescent="0.3">
      <c r="A6013" s="17" t="str">
        <f>"J0710"</f>
        <v>J0710</v>
      </c>
      <c r="B6013" s="5" t="s">
        <v>6019</v>
      </c>
      <c r="C6013" s="17">
        <v>20230101</v>
      </c>
      <c r="D6013" s="17">
        <v>22991231</v>
      </c>
      <c r="E6013" s="25">
        <v>0</v>
      </c>
    </row>
    <row r="6014" spans="1:5" x14ac:dyDescent="0.3">
      <c r="A6014" s="17" t="str">
        <f>"J0712"</f>
        <v>J0712</v>
      </c>
      <c r="B6014" s="5" t="s">
        <v>6020</v>
      </c>
      <c r="C6014" s="17">
        <v>20230101</v>
      </c>
      <c r="D6014" s="17">
        <v>22991231</v>
      </c>
      <c r="E6014" s="25">
        <v>3.67</v>
      </c>
    </row>
    <row r="6015" spans="1:5" x14ac:dyDescent="0.3">
      <c r="A6015" s="17" t="str">
        <f>"J0713"</f>
        <v>J0713</v>
      </c>
      <c r="B6015" s="5" t="s">
        <v>6021</v>
      </c>
      <c r="C6015" s="17">
        <v>20230101</v>
      </c>
      <c r="D6015" s="17">
        <v>22991231</v>
      </c>
      <c r="E6015" s="25">
        <v>0</v>
      </c>
    </row>
    <row r="6016" spans="1:5" ht="26" x14ac:dyDescent="0.3">
      <c r="A6016" s="17" t="str">
        <f>"J0714"</f>
        <v>J0714</v>
      </c>
      <c r="B6016" s="5" t="s">
        <v>6022</v>
      </c>
      <c r="C6016" s="17">
        <v>20230101</v>
      </c>
      <c r="D6016" s="17">
        <v>22991231</v>
      </c>
      <c r="E6016" s="25">
        <v>91.17</v>
      </c>
    </row>
    <row r="6017" spans="1:5" x14ac:dyDescent="0.3">
      <c r="A6017" s="17" t="str">
        <f>"J0715"</f>
        <v>J0715</v>
      </c>
      <c r="B6017" s="5" t="s">
        <v>6023</v>
      </c>
      <c r="C6017" s="17">
        <v>20230101</v>
      </c>
      <c r="D6017" s="17">
        <v>22991231</v>
      </c>
      <c r="E6017" s="25">
        <v>0</v>
      </c>
    </row>
    <row r="6018" spans="1:5" ht="26" x14ac:dyDescent="0.3">
      <c r="A6018" s="17" t="str">
        <f>"J0716"</f>
        <v>J0716</v>
      </c>
      <c r="B6018" s="5" t="s">
        <v>6024</v>
      </c>
      <c r="C6018" s="17">
        <v>20230101</v>
      </c>
      <c r="D6018" s="17">
        <v>22991231</v>
      </c>
      <c r="E6018" s="25">
        <v>4649.6499999999996</v>
      </c>
    </row>
    <row r="6019" spans="1:5" ht="52" x14ac:dyDescent="0.3">
      <c r="A6019" s="17" t="str">
        <f>"J0717"</f>
        <v>J0717</v>
      </c>
      <c r="B6019" s="5" t="s">
        <v>6025</v>
      </c>
      <c r="C6019" s="17">
        <v>20230101</v>
      </c>
      <c r="D6019" s="17">
        <v>22991231</v>
      </c>
      <c r="E6019" s="25">
        <v>4.5999999999999996</v>
      </c>
    </row>
    <row r="6020" spans="1:5" ht="26" x14ac:dyDescent="0.3">
      <c r="A6020" s="17" t="str">
        <f>"J0720"</f>
        <v>J0720</v>
      </c>
      <c r="B6020" s="5" t="s">
        <v>6026</v>
      </c>
      <c r="C6020" s="17">
        <v>20230101</v>
      </c>
      <c r="D6020" s="17">
        <v>22991231</v>
      </c>
      <c r="E6020" s="25">
        <v>0</v>
      </c>
    </row>
    <row r="6021" spans="1:5" ht="26" x14ac:dyDescent="0.3">
      <c r="A6021" s="17" t="str">
        <f>"J0725"</f>
        <v>J0725</v>
      </c>
      <c r="B6021" s="5" t="s">
        <v>6027</v>
      </c>
      <c r="C6021" s="17">
        <v>20230101</v>
      </c>
      <c r="D6021" s="17">
        <v>22991231</v>
      </c>
      <c r="E6021" s="25">
        <v>0</v>
      </c>
    </row>
    <row r="6022" spans="1:5" x14ac:dyDescent="0.3">
      <c r="A6022" s="17" t="str">
        <f>"J0735"</f>
        <v>J0735</v>
      </c>
      <c r="B6022" s="5" t="s">
        <v>6028</v>
      </c>
      <c r="C6022" s="17">
        <v>20230101</v>
      </c>
      <c r="D6022" s="17">
        <v>22991231</v>
      </c>
      <c r="E6022" s="25">
        <v>0</v>
      </c>
    </row>
    <row r="6023" spans="1:5" x14ac:dyDescent="0.3">
      <c r="A6023" s="17" t="str">
        <f>"J0736"</f>
        <v>J0736</v>
      </c>
      <c r="B6023" s="5" t="s">
        <v>6029</v>
      </c>
      <c r="C6023" s="17">
        <v>20240101</v>
      </c>
      <c r="D6023" s="17">
        <v>22991231</v>
      </c>
      <c r="E6023" s="25">
        <v>1.81</v>
      </c>
    </row>
    <row r="6024" spans="1:5" ht="26" x14ac:dyDescent="0.3">
      <c r="A6024" s="17" t="str">
        <f>"J0737"</f>
        <v>J0737</v>
      </c>
      <c r="B6024" s="5" t="s">
        <v>6030</v>
      </c>
      <c r="C6024" s="17">
        <v>20240101</v>
      </c>
      <c r="D6024" s="17">
        <v>22991231</v>
      </c>
      <c r="E6024" s="25">
        <v>1.67</v>
      </c>
    </row>
    <row r="6025" spans="1:5" x14ac:dyDescent="0.3">
      <c r="A6025" s="17" t="str">
        <f>"J0740"</f>
        <v>J0740</v>
      </c>
      <c r="B6025" s="5" t="s">
        <v>6031</v>
      </c>
      <c r="C6025" s="17">
        <v>20230101</v>
      </c>
      <c r="D6025" s="17">
        <v>22991231</v>
      </c>
      <c r="E6025" s="25">
        <v>529.33000000000004</v>
      </c>
    </row>
    <row r="6026" spans="1:5" x14ac:dyDescent="0.3">
      <c r="A6026" s="17" t="str">
        <f>"J0741"</f>
        <v>J0741</v>
      </c>
      <c r="B6026" s="5" t="s">
        <v>6032</v>
      </c>
      <c r="C6026" s="17">
        <v>20230101</v>
      </c>
      <c r="D6026" s="17">
        <v>22991231</v>
      </c>
      <c r="E6026" s="25">
        <v>21.59</v>
      </c>
    </row>
    <row r="6027" spans="1:5" ht="26" x14ac:dyDescent="0.3">
      <c r="A6027" s="17" t="str">
        <f>"J0742"</f>
        <v>J0742</v>
      </c>
      <c r="B6027" s="5" t="s">
        <v>6033</v>
      </c>
      <c r="C6027" s="17">
        <v>20230101</v>
      </c>
      <c r="D6027" s="17">
        <v>22991231</v>
      </c>
      <c r="E6027" s="25">
        <v>2.35</v>
      </c>
    </row>
    <row r="6028" spans="1:5" ht="26" x14ac:dyDescent="0.3">
      <c r="A6028" s="17" t="str">
        <f>"J0743"</f>
        <v>J0743</v>
      </c>
      <c r="B6028" s="5" t="s">
        <v>6034</v>
      </c>
      <c r="C6028" s="17">
        <v>20230101</v>
      </c>
      <c r="D6028" s="17">
        <v>22991231</v>
      </c>
      <c r="E6028" s="25">
        <v>0</v>
      </c>
    </row>
    <row r="6029" spans="1:5" ht="26" x14ac:dyDescent="0.3">
      <c r="A6029" s="17" t="str">
        <f>"J0744"</f>
        <v>J0744</v>
      </c>
      <c r="B6029" s="5" t="s">
        <v>6035</v>
      </c>
      <c r="C6029" s="17">
        <v>20230101</v>
      </c>
      <c r="D6029" s="17">
        <v>22991231</v>
      </c>
      <c r="E6029" s="25">
        <v>0</v>
      </c>
    </row>
    <row r="6030" spans="1:5" x14ac:dyDescent="0.3">
      <c r="A6030" s="17" t="str">
        <f>"J0745"</f>
        <v>J0745</v>
      </c>
      <c r="B6030" s="5" t="s">
        <v>6036</v>
      </c>
      <c r="C6030" s="17">
        <v>20230101</v>
      </c>
      <c r="D6030" s="17">
        <v>22991231</v>
      </c>
      <c r="E6030" s="25">
        <v>0</v>
      </c>
    </row>
    <row r="6031" spans="1:5" x14ac:dyDescent="0.3">
      <c r="A6031" s="17" t="str">
        <f>"J0770"</f>
        <v>J0770</v>
      </c>
      <c r="B6031" s="5" t="s">
        <v>6037</v>
      </c>
      <c r="C6031" s="17">
        <v>20230101</v>
      </c>
      <c r="D6031" s="17">
        <v>22991231</v>
      </c>
      <c r="E6031" s="25">
        <v>0</v>
      </c>
    </row>
    <row r="6032" spans="1:5" ht="26" x14ac:dyDescent="0.3">
      <c r="A6032" s="17" t="str">
        <f>"J0775"</f>
        <v>J0775</v>
      </c>
      <c r="B6032" s="5" t="s">
        <v>6038</v>
      </c>
      <c r="C6032" s="17">
        <v>20230101</v>
      </c>
      <c r="D6032" s="17">
        <v>22991231</v>
      </c>
      <c r="E6032" s="25">
        <v>63.3</v>
      </c>
    </row>
    <row r="6033" spans="1:5" x14ac:dyDescent="0.3">
      <c r="A6033" s="17" t="str">
        <f>"J0780"</f>
        <v>J0780</v>
      </c>
      <c r="B6033" s="5" t="s">
        <v>6039</v>
      </c>
      <c r="C6033" s="17">
        <v>20230101</v>
      </c>
      <c r="D6033" s="17">
        <v>22991231</v>
      </c>
      <c r="E6033" s="25">
        <v>0</v>
      </c>
    </row>
    <row r="6034" spans="1:5" x14ac:dyDescent="0.3">
      <c r="A6034" s="17" t="str">
        <f>"J0791"</f>
        <v>J0791</v>
      </c>
      <c r="B6034" s="5" t="s">
        <v>6040</v>
      </c>
      <c r="C6034" s="17">
        <v>20230101</v>
      </c>
      <c r="D6034" s="17">
        <v>22991231</v>
      </c>
      <c r="E6034" s="25">
        <v>121.4</v>
      </c>
    </row>
    <row r="6035" spans="1:5" ht="26" x14ac:dyDescent="0.3">
      <c r="A6035" s="17" t="str">
        <f>"J0795"</f>
        <v>J0795</v>
      </c>
      <c r="B6035" s="5" t="s">
        <v>6041</v>
      </c>
      <c r="C6035" s="17">
        <v>20230101</v>
      </c>
      <c r="D6035" s="17">
        <v>22991231</v>
      </c>
      <c r="E6035" s="25">
        <v>0</v>
      </c>
    </row>
    <row r="6036" spans="1:5" ht="26" x14ac:dyDescent="0.3">
      <c r="A6036" s="17" t="str">
        <f>"J0801"</f>
        <v>J0801</v>
      </c>
      <c r="B6036" s="5" t="s">
        <v>6042</v>
      </c>
      <c r="C6036" s="17">
        <v>20240101</v>
      </c>
      <c r="D6036" s="17">
        <v>22991231</v>
      </c>
      <c r="E6036" s="25">
        <v>3911.64</v>
      </c>
    </row>
    <row r="6037" spans="1:5" x14ac:dyDescent="0.3">
      <c r="A6037" s="17" t="str">
        <f>"J0802"</f>
        <v>J0802</v>
      </c>
      <c r="B6037" s="5" t="s">
        <v>6043</v>
      </c>
      <c r="C6037" s="17">
        <v>20240101</v>
      </c>
      <c r="D6037" s="17">
        <v>22991231</v>
      </c>
      <c r="E6037" s="25">
        <v>3198.79</v>
      </c>
    </row>
    <row r="6038" spans="1:5" x14ac:dyDescent="0.3">
      <c r="A6038" s="17" t="str">
        <f>"J0834"</f>
        <v>J0834</v>
      </c>
      <c r="B6038" s="5" t="s">
        <v>6044</v>
      </c>
      <c r="C6038" s="17">
        <v>20230101</v>
      </c>
      <c r="D6038" s="17">
        <v>22991231</v>
      </c>
      <c r="E6038" s="25">
        <v>0</v>
      </c>
    </row>
    <row r="6039" spans="1:5" ht="26" x14ac:dyDescent="0.3">
      <c r="A6039" s="17" t="str">
        <f>"J0840"</f>
        <v>J0840</v>
      </c>
      <c r="B6039" s="5" t="s">
        <v>6045</v>
      </c>
      <c r="C6039" s="17">
        <v>20230101</v>
      </c>
      <c r="D6039" s="17">
        <v>22991231</v>
      </c>
      <c r="E6039" s="25">
        <v>1862.47</v>
      </c>
    </row>
    <row r="6040" spans="1:5" ht="26" x14ac:dyDescent="0.3">
      <c r="A6040" s="17" t="str">
        <f>"J0841"</f>
        <v>J0841</v>
      </c>
      <c r="B6040" s="5" t="s">
        <v>6046</v>
      </c>
      <c r="C6040" s="17">
        <v>20230101</v>
      </c>
      <c r="D6040" s="17">
        <v>22991231</v>
      </c>
      <c r="E6040" s="25">
        <v>871.17</v>
      </c>
    </row>
    <row r="6041" spans="1:5" ht="26" x14ac:dyDescent="0.3">
      <c r="A6041" s="17" t="str">
        <f>"J0850"</f>
        <v>J0850</v>
      </c>
      <c r="B6041" s="5" t="s">
        <v>6047</v>
      </c>
      <c r="C6041" s="17">
        <v>20230101</v>
      </c>
      <c r="D6041" s="17">
        <v>22991231</v>
      </c>
      <c r="E6041" s="25">
        <v>1726.79</v>
      </c>
    </row>
    <row r="6042" spans="1:5" ht="39" x14ac:dyDescent="0.3">
      <c r="A6042" s="17" t="str">
        <f>"J0873"</f>
        <v>J0873</v>
      </c>
      <c r="B6042" s="5" t="s">
        <v>6048</v>
      </c>
      <c r="C6042" s="17">
        <v>20240101</v>
      </c>
      <c r="D6042" s="17">
        <v>22991231</v>
      </c>
      <c r="E6042" s="25">
        <v>0</v>
      </c>
    </row>
    <row r="6043" spans="1:5" ht="26" x14ac:dyDescent="0.3">
      <c r="A6043" s="17" t="str">
        <f>"J0874"</f>
        <v>J0874</v>
      </c>
      <c r="B6043" s="5" t="s">
        <v>6049</v>
      </c>
      <c r="C6043" s="17">
        <v>20240101</v>
      </c>
      <c r="D6043" s="17">
        <v>22991231</v>
      </c>
      <c r="E6043" s="25">
        <v>0</v>
      </c>
    </row>
    <row r="6044" spans="1:5" x14ac:dyDescent="0.3">
      <c r="A6044" s="17" t="str">
        <f>"J0875"</f>
        <v>J0875</v>
      </c>
      <c r="B6044" s="5" t="s">
        <v>6050</v>
      </c>
      <c r="C6044" s="17">
        <v>20230101</v>
      </c>
      <c r="D6044" s="17">
        <v>22991231</v>
      </c>
      <c r="E6044" s="25">
        <v>14.6</v>
      </c>
    </row>
    <row r="6045" spans="1:5" ht="26" x14ac:dyDescent="0.3">
      <c r="A6045" s="17" t="str">
        <f>"J0877"</f>
        <v>J0877</v>
      </c>
      <c r="B6045" s="5" t="s">
        <v>6051</v>
      </c>
      <c r="C6045" s="17">
        <v>20240101</v>
      </c>
      <c r="D6045" s="17">
        <v>22991231</v>
      </c>
      <c r="E6045" s="25">
        <v>7.0000000000000007E-2</v>
      </c>
    </row>
    <row r="6046" spans="1:5" x14ac:dyDescent="0.3">
      <c r="A6046" s="17" t="str">
        <f>"J0878"</f>
        <v>J0878</v>
      </c>
      <c r="B6046" s="5" t="s">
        <v>6052</v>
      </c>
      <c r="C6046" s="17">
        <v>20050101</v>
      </c>
      <c r="D6046" s="17">
        <v>22991231</v>
      </c>
      <c r="E6046" s="25">
        <v>0</v>
      </c>
    </row>
    <row r="6047" spans="1:5" ht="26" x14ac:dyDescent="0.3">
      <c r="A6047" s="17" t="str">
        <f>"J0879"</f>
        <v>J0879</v>
      </c>
      <c r="B6047" s="5" t="s">
        <v>6053</v>
      </c>
      <c r="C6047" s="17">
        <v>20230101</v>
      </c>
      <c r="D6047" s="17">
        <v>22991231</v>
      </c>
      <c r="E6047" s="25">
        <v>0</v>
      </c>
    </row>
    <row r="6048" spans="1:5" ht="26" x14ac:dyDescent="0.3">
      <c r="A6048" s="17" t="str">
        <f>"J0881"</f>
        <v>J0881</v>
      </c>
      <c r="B6048" s="5" t="s">
        <v>6054</v>
      </c>
      <c r="C6048" s="17">
        <v>20060101</v>
      </c>
      <c r="D6048" s="17">
        <v>22991231</v>
      </c>
      <c r="E6048" s="25">
        <v>2.8</v>
      </c>
    </row>
    <row r="6049" spans="1:5" ht="26" x14ac:dyDescent="0.3">
      <c r="A6049" s="17" t="str">
        <f>"J0882"</f>
        <v>J0882</v>
      </c>
      <c r="B6049" s="5" t="s">
        <v>6055</v>
      </c>
      <c r="C6049" s="17">
        <v>20060101</v>
      </c>
      <c r="D6049" s="17">
        <v>22991231</v>
      </c>
      <c r="E6049" s="25">
        <v>2.8</v>
      </c>
    </row>
    <row r="6050" spans="1:5" x14ac:dyDescent="0.3">
      <c r="A6050" s="17" t="str">
        <f>"J0883"</f>
        <v>J0883</v>
      </c>
      <c r="B6050" s="5" t="s">
        <v>6056</v>
      </c>
      <c r="C6050" s="17">
        <v>20230101</v>
      </c>
      <c r="D6050" s="17">
        <v>22991231</v>
      </c>
      <c r="E6050" s="25">
        <v>1.17</v>
      </c>
    </row>
    <row r="6051" spans="1:5" x14ac:dyDescent="0.3">
      <c r="A6051" s="17" t="str">
        <f>"J0884"</f>
        <v>J0884</v>
      </c>
      <c r="B6051" s="5" t="s">
        <v>6057</v>
      </c>
      <c r="C6051" s="17">
        <v>20230101</v>
      </c>
      <c r="D6051" s="17">
        <v>22991231</v>
      </c>
      <c r="E6051" s="25">
        <v>1.17</v>
      </c>
    </row>
    <row r="6052" spans="1:5" ht="26" x14ac:dyDescent="0.3">
      <c r="A6052" s="17" t="str">
        <f>"J0885"</f>
        <v>J0885</v>
      </c>
      <c r="B6052" s="5" t="s">
        <v>6058</v>
      </c>
      <c r="C6052" s="17">
        <v>20060101</v>
      </c>
      <c r="D6052" s="17">
        <v>22991231</v>
      </c>
      <c r="E6052" s="25">
        <v>8.49</v>
      </c>
    </row>
    <row r="6053" spans="1:5" ht="26" x14ac:dyDescent="0.3">
      <c r="A6053" s="17" t="str">
        <f>"J0887"</f>
        <v>J0887</v>
      </c>
      <c r="B6053" s="5" t="s">
        <v>6059</v>
      </c>
      <c r="C6053" s="17">
        <v>20230101</v>
      </c>
      <c r="D6053" s="17">
        <v>22991231</v>
      </c>
      <c r="E6053" s="25">
        <v>1.55</v>
      </c>
    </row>
    <row r="6054" spans="1:5" ht="26" x14ac:dyDescent="0.3">
      <c r="A6054" s="17" t="str">
        <f>"J0888"</f>
        <v>J0888</v>
      </c>
      <c r="B6054" s="5" t="s">
        <v>6060</v>
      </c>
      <c r="C6054" s="17">
        <v>20230101</v>
      </c>
      <c r="D6054" s="17">
        <v>22991231</v>
      </c>
      <c r="E6054" s="25">
        <v>1.55</v>
      </c>
    </row>
    <row r="6055" spans="1:5" x14ac:dyDescent="0.3">
      <c r="A6055" s="17" t="str">
        <f>"J0889"</f>
        <v>J0889</v>
      </c>
      <c r="B6055" s="5" t="s">
        <v>6061</v>
      </c>
      <c r="C6055" s="17">
        <v>20240101</v>
      </c>
      <c r="D6055" s="17">
        <v>22991231</v>
      </c>
      <c r="E6055" s="25">
        <v>0</v>
      </c>
    </row>
    <row r="6056" spans="1:5" ht="39" x14ac:dyDescent="0.3">
      <c r="A6056" s="17" t="str">
        <f>"J0891"</f>
        <v>J0891</v>
      </c>
      <c r="B6056" s="5" t="s">
        <v>6062</v>
      </c>
      <c r="C6056" s="17">
        <v>20230101</v>
      </c>
      <c r="D6056" s="17">
        <v>22991231</v>
      </c>
      <c r="E6056" s="25">
        <v>1.74</v>
      </c>
    </row>
    <row r="6057" spans="1:5" ht="39" x14ac:dyDescent="0.3">
      <c r="A6057" s="17" t="str">
        <f>"J0892"</f>
        <v>J0892</v>
      </c>
      <c r="B6057" s="5" t="s">
        <v>6063</v>
      </c>
      <c r="C6057" s="17">
        <v>20230101</v>
      </c>
      <c r="D6057" s="17">
        <v>22991231</v>
      </c>
      <c r="E6057" s="25">
        <v>1.74</v>
      </c>
    </row>
    <row r="6058" spans="1:5" ht="26" x14ac:dyDescent="0.3">
      <c r="A6058" s="17" t="str">
        <f>"J0893"</f>
        <v>J0893</v>
      </c>
      <c r="B6058" s="5" t="s">
        <v>6064</v>
      </c>
      <c r="C6058" s="17">
        <v>20240101</v>
      </c>
      <c r="D6058" s="17">
        <v>22991231</v>
      </c>
      <c r="E6058" s="25">
        <v>0.75</v>
      </c>
    </row>
    <row r="6059" spans="1:5" x14ac:dyDescent="0.3">
      <c r="A6059" s="17" t="str">
        <f>"J0894"</f>
        <v>J0894</v>
      </c>
      <c r="B6059" s="5" t="s">
        <v>6065</v>
      </c>
      <c r="C6059" s="17">
        <v>20230101</v>
      </c>
      <c r="D6059" s="17">
        <v>22991231</v>
      </c>
      <c r="E6059" s="25">
        <v>0</v>
      </c>
    </row>
    <row r="6060" spans="1:5" x14ac:dyDescent="0.3">
      <c r="A6060" s="17" t="str">
        <f>"J0895"</f>
        <v>J0895</v>
      </c>
      <c r="B6060" s="5" t="s">
        <v>6066</v>
      </c>
      <c r="C6060" s="17">
        <v>20230101</v>
      </c>
      <c r="D6060" s="17">
        <v>22991231</v>
      </c>
      <c r="E6060" s="25">
        <v>0</v>
      </c>
    </row>
    <row r="6061" spans="1:5" x14ac:dyDescent="0.3">
      <c r="A6061" s="17" t="str">
        <f>"J0896"</f>
        <v>J0896</v>
      </c>
      <c r="B6061" s="5" t="s">
        <v>6067</v>
      </c>
      <c r="C6061" s="17">
        <v>20230101</v>
      </c>
      <c r="D6061" s="17">
        <v>22991231</v>
      </c>
      <c r="E6061" s="25">
        <v>38.18</v>
      </c>
    </row>
    <row r="6062" spans="1:5" x14ac:dyDescent="0.3">
      <c r="A6062" s="17" t="str">
        <f>"J0897"</f>
        <v>J0897</v>
      </c>
      <c r="B6062" s="5" t="s">
        <v>6068</v>
      </c>
      <c r="C6062" s="17">
        <v>20230101</v>
      </c>
      <c r="D6062" s="17">
        <v>22991231</v>
      </c>
      <c r="E6062" s="25">
        <v>24.07</v>
      </c>
    </row>
    <row r="6063" spans="1:5" ht="39" x14ac:dyDescent="0.3">
      <c r="A6063" s="17" t="str">
        <f>"J0898"</f>
        <v>J0898</v>
      </c>
      <c r="B6063" s="5" t="s">
        <v>6069</v>
      </c>
      <c r="C6063" s="17">
        <v>20230101</v>
      </c>
      <c r="D6063" s="17">
        <v>22991231</v>
      </c>
      <c r="E6063" s="25">
        <v>3.94</v>
      </c>
    </row>
    <row r="6064" spans="1:5" ht="39" x14ac:dyDescent="0.3">
      <c r="A6064" s="17" t="str">
        <f>"J0899"</f>
        <v>J0899</v>
      </c>
      <c r="B6064" s="5" t="s">
        <v>6070</v>
      </c>
      <c r="C6064" s="17">
        <v>20230101</v>
      </c>
      <c r="D6064" s="17">
        <v>22991231</v>
      </c>
      <c r="E6064" s="25">
        <v>3.94</v>
      </c>
    </row>
    <row r="6065" spans="1:5" x14ac:dyDescent="0.3">
      <c r="A6065" s="17" t="str">
        <f>"J0945"</f>
        <v>J0945</v>
      </c>
      <c r="B6065" s="5" t="s">
        <v>6071</v>
      </c>
      <c r="C6065" s="17">
        <v>20230101</v>
      </c>
      <c r="D6065" s="17">
        <v>22991231</v>
      </c>
      <c r="E6065" s="25">
        <v>0</v>
      </c>
    </row>
    <row r="6066" spans="1:5" x14ac:dyDescent="0.3">
      <c r="A6066" s="17" t="str">
        <f>"J1000"</f>
        <v>J1000</v>
      </c>
      <c r="B6066" s="5" t="s">
        <v>6072</v>
      </c>
      <c r="C6066" s="17">
        <v>20230101</v>
      </c>
      <c r="D6066" s="17">
        <v>22991231</v>
      </c>
      <c r="E6066" s="25">
        <v>0</v>
      </c>
    </row>
    <row r="6067" spans="1:5" ht="26" x14ac:dyDescent="0.3">
      <c r="A6067" s="17" t="str">
        <f>"J1020"</f>
        <v>J1020</v>
      </c>
      <c r="B6067" s="5" t="s">
        <v>6073</v>
      </c>
      <c r="C6067" s="17">
        <v>20230101</v>
      </c>
      <c r="D6067" s="17">
        <v>20240331</v>
      </c>
      <c r="E6067" s="25">
        <v>0</v>
      </c>
    </row>
    <row r="6068" spans="1:5" ht="26" x14ac:dyDescent="0.3">
      <c r="A6068" s="17" t="str">
        <f>"J1030"</f>
        <v>J1030</v>
      </c>
      <c r="B6068" s="5" t="s">
        <v>6074</v>
      </c>
      <c r="C6068" s="17">
        <v>20230101</v>
      </c>
      <c r="D6068" s="17">
        <v>20240331</v>
      </c>
      <c r="E6068" s="25">
        <v>0</v>
      </c>
    </row>
    <row r="6069" spans="1:5" ht="26" x14ac:dyDescent="0.3">
      <c r="A6069" s="17" t="str">
        <f>"J1040"</f>
        <v>J1040</v>
      </c>
      <c r="B6069" s="5" t="s">
        <v>6075</v>
      </c>
      <c r="C6069" s="17">
        <v>20230101</v>
      </c>
      <c r="D6069" s="17">
        <v>20240331</v>
      </c>
      <c r="E6069" s="25">
        <v>0</v>
      </c>
    </row>
    <row r="6070" spans="1:5" x14ac:dyDescent="0.3">
      <c r="A6070" s="17" t="str">
        <f>"J1050"</f>
        <v>J1050</v>
      </c>
      <c r="B6070" s="5" t="s">
        <v>6076</v>
      </c>
      <c r="C6070" s="17">
        <v>20230101</v>
      </c>
      <c r="D6070" s="17">
        <v>22991231</v>
      </c>
      <c r="E6070" s="25">
        <v>0</v>
      </c>
    </row>
    <row r="6071" spans="1:5" x14ac:dyDescent="0.3">
      <c r="A6071" s="17" t="str">
        <f>"J1071"</f>
        <v>J1071</v>
      </c>
      <c r="B6071" s="5" t="s">
        <v>6077</v>
      </c>
      <c r="C6071" s="17">
        <v>20230101</v>
      </c>
      <c r="D6071" s="17">
        <v>22991231</v>
      </c>
      <c r="E6071" s="25">
        <v>0</v>
      </c>
    </row>
    <row r="6072" spans="1:5" x14ac:dyDescent="0.3">
      <c r="A6072" s="17" t="str">
        <f>"J1094"</f>
        <v>J1094</v>
      </c>
      <c r="B6072" s="5" t="s">
        <v>6078</v>
      </c>
      <c r="C6072" s="17">
        <v>20230101</v>
      </c>
      <c r="D6072" s="17">
        <v>22991231</v>
      </c>
      <c r="E6072" s="25">
        <v>0</v>
      </c>
    </row>
    <row r="6073" spans="1:5" ht="26" x14ac:dyDescent="0.3">
      <c r="A6073" s="17" t="str">
        <f>"J1095"</f>
        <v>J1095</v>
      </c>
      <c r="B6073" s="5" t="s">
        <v>6079</v>
      </c>
      <c r="C6073" s="17">
        <v>20230101</v>
      </c>
      <c r="D6073" s="17">
        <v>22991231</v>
      </c>
      <c r="E6073" s="25">
        <v>0</v>
      </c>
    </row>
    <row r="6074" spans="1:5" ht="26" x14ac:dyDescent="0.3">
      <c r="A6074" s="17" t="str">
        <f>"J1096"</f>
        <v>J1096</v>
      </c>
      <c r="B6074" s="5" t="s">
        <v>6080</v>
      </c>
      <c r="C6074" s="17">
        <v>20230101</v>
      </c>
      <c r="D6074" s="17">
        <v>22991231</v>
      </c>
      <c r="E6074" s="25">
        <v>116.05</v>
      </c>
    </row>
    <row r="6075" spans="1:5" ht="26" x14ac:dyDescent="0.3">
      <c r="A6075" s="17" t="str">
        <f>"J1097"</f>
        <v>J1097</v>
      </c>
      <c r="B6075" s="5" t="s">
        <v>6081</v>
      </c>
      <c r="C6075" s="17">
        <v>20230101</v>
      </c>
      <c r="D6075" s="17">
        <v>22991231</v>
      </c>
      <c r="E6075" s="25">
        <v>93.23</v>
      </c>
    </row>
    <row r="6076" spans="1:5" ht="26" x14ac:dyDescent="0.3">
      <c r="A6076" s="17" t="str">
        <f>"J1100"</f>
        <v>J1100</v>
      </c>
      <c r="B6076" s="5" t="s">
        <v>6082</v>
      </c>
      <c r="C6076" s="17">
        <v>20230101</v>
      </c>
      <c r="D6076" s="17">
        <v>22991231</v>
      </c>
      <c r="E6076" s="25">
        <v>0</v>
      </c>
    </row>
    <row r="6077" spans="1:5" x14ac:dyDescent="0.3">
      <c r="A6077" s="17" t="str">
        <f>"J1105"</f>
        <v>J1105</v>
      </c>
      <c r="B6077" s="5" t="s">
        <v>6083</v>
      </c>
      <c r="C6077" s="17">
        <v>20240101</v>
      </c>
      <c r="D6077" s="17">
        <v>22991231</v>
      </c>
      <c r="E6077" s="25">
        <v>0.69</v>
      </c>
    </row>
    <row r="6078" spans="1:5" x14ac:dyDescent="0.3">
      <c r="A6078" s="17" t="str">
        <f>"J1110"</f>
        <v>J1110</v>
      </c>
      <c r="B6078" s="5" t="s">
        <v>6084</v>
      </c>
      <c r="C6078" s="17">
        <v>20230101</v>
      </c>
      <c r="D6078" s="17">
        <v>22991231</v>
      </c>
      <c r="E6078" s="25">
        <v>0</v>
      </c>
    </row>
    <row r="6079" spans="1:5" x14ac:dyDescent="0.3">
      <c r="A6079" s="17" t="str">
        <f>"J1120"</f>
        <v>J1120</v>
      </c>
      <c r="B6079" s="5" t="s">
        <v>6085</v>
      </c>
      <c r="C6079" s="17">
        <v>20230101</v>
      </c>
      <c r="D6079" s="17">
        <v>22991231</v>
      </c>
      <c r="E6079" s="25">
        <v>0</v>
      </c>
    </row>
    <row r="6080" spans="1:5" x14ac:dyDescent="0.3">
      <c r="A6080" s="17" t="str">
        <f>"J1130"</f>
        <v>J1130</v>
      </c>
      <c r="B6080" s="5" t="s">
        <v>6086</v>
      </c>
      <c r="C6080" s="17">
        <v>20230101</v>
      </c>
      <c r="D6080" s="17">
        <v>22991231</v>
      </c>
      <c r="E6080" s="25">
        <v>0</v>
      </c>
    </row>
    <row r="6081" spans="1:5" x14ac:dyDescent="0.3">
      <c r="A6081" s="17" t="str">
        <f>"J1160"</f>
        <v>J1160</v>
      </c>
      <c r="B6081" s="5" t="s">
        <v>6087</v>
      </c>
      <c r="C6081" s="17">
        <v>20230101</v>
      </c>
      <c r="D6081" s="17">
        <v>22991231</v>
      </c>
      <c r="E6081" s="25">
        <v>0</v>
      </c>
    </row>
    <row r="6082" spans="1:5" x14ac:dyDescent="0.3">
      <c r="A6082" s="17" t="str">
        <f>"J1162"</f>
        <v>J1162</v>
      </c>
      <c r="B6082" s="5" t="s">
        <v>6088</v>
      </c>
      <c r="C6082" s="17">
        <v>20060101</v>
      </c>
      <c r="D6082" s="17">
        <v>22991231</v>
      </c>
      <c r="E6082" s="25">
        <v>4563.17</v>
      </c>
    </row>
    <row r="6083" spans="1:5" x14ac:dyDescent="0.3">
      <c r="A6083" s="17" t="str">
        <f>"J1165"</f>
        <v>J1165</v>
      </c>
      <c r="B6083" s="5" t="s">
        <v>6089</v>
      </c>
      <c r="C6083" s="17">
        <v>20230101</v>
      </c>
      <c r="D6083" s="17">
        <v>22991231</v>
      </c>
      <c r="E6083" s="25">
        <v>0</v>
      </c>
    </row>
    <row r="6084" spans="1:5" x14ac:dyDescent="0.3">
      <c r="A6084" s="17" t="str">
        <f>"J1170"</f>
        <v>J1170</v>
      </c>
      <c r="B6084" s="5" t="s">
        <v>6090</v>
      </c>
      <c r="C6084" s="17">
        <v>20230101</v>
      </c>
      <c r="D6084" s="17">
        <v>22991231</v>
      </c>
      <c r="E6084" s="25">
        <v>0</v>
      </c>
    </row>
    <row r="6085" spans="1:5" x14ac:dyDescent="0.3">
      <c r="A6085" s="17" t="str">
        <f>"J1180"</f>
        <v>J1180</v>
      </c>
      <c r="B6085" s="5" t="s">
        <v>6091</v>
      </c>
      <c r="C6085" s="17">
        <v>20230101</v>
      </c>
      <c r="D6085" s="17">
        <v>22991231</v>
      </c>
      <c r="E6085" s="25">
        <v>0</v>
      </c>
    </row>
    <row r="6086" spans="1:5" ht="26" x14ac:dyDescent="0.3">
      <c r="A6086" s="17" t="str">
        <f>"J1190"</f>
        <v>J1190</v>
      </c>
      <c r="B6086" s="5" t="s">
        <v>6092</v>
      </c>
      <c r="C6086" s="17">
        <v>20230101</v>
      </c>
      <c r="D6086" s="17">
        <v>22991231</v>
      </c>
      <c r="E6086" s="25">
        <v>103.17</v>
      </c>
    </row>
    <row r="6087" spans="1:5" x14ac:dyDescent="0.3">
      <c r="A6087" s="17" t="str">
        <f>"J1200"</f>
        <v>J1200</v>
      </c>
      <c r="B6087" s="5" t="s">
        <v>6093</v>
      </c>
      <c r="C6087" s="17">
        <v>20230101</v>
      </c>
      <c r="D6087" s="17">
        <v>22991231</v>
      </c>
      <c r="E6087" s="25">
        <v>0</v>
      </c>
    </row>
    <row r="6088" spans="1:5" x14ac:dyDescent="0.3">
      <c r="A6088" s="17" t="str">
        <f>"J1201"</f>
        <v>J1201</v>
      </c>
      <c r="B6088" s="5" t="s">
        <v>6094</v>
      </c>
      <c r="C6088" s="17">
        <v>20230101</v>
      </c>
      <c r="D6088" s="17">
        <v>22991231</v>
      </c>
      <c r="E6088" s="25">
        <v>14.39</v>
      </c>
    </row>
    <row r="6089" spans="1:5" x14ac:dyDescent="0.3">
      <c r="A6089" s="17" t="str">
        <f>"J1205"</f>
        <v>J1205</v>
      </c>
      <c r="B6089" s="5" t="s">
        <v>6095</v>
      </c>
      <c r="C6089" s="17">
        <v>20230101</v>
      </c>
      <c r="D6089" s="17">
        <v>22991231</v>
      </c>
      <c r="E6089" s="25">
        <v>0</v>
      </c>
    </row>
    <row r="6090" spans="1:5" x14ac:dyDescent="0.3">
      <c r="A6090" s="17" t="str">
        <f>"J1212"</f>
        <v>J1212</v>
      </c>
      <c r="B6090" s="5" t="s">
        <v>6096</v>
      </c>
      <c r="C6090" s="17">
        <v>20230101</v>
      </c>
      <c r="D6090" s="17">
        <v>22991231</v>
      </c>
      <c r="E6090" s="25">
        <v>650.29</v>
      </c>
    </row>
    <row r="6091" spans="1:5" x14ac:dyDescent="0.3">
      <c r="A6091" s="17" t="str">
        <f>"J1230"</f>
        <v>J1230</v>
      </c>
      <c r="B6091" s="5" t="s">
        <v>6097</v>
      </c>
      <c r="C6091" s="17">
        <v>20230101</v>
      </c>
      <c r="D6091" s="17">
        <v>22991231</v>
      </c>
      <c r="E6091" s="25">
        <v>0</v>
      </c>
    </row>
    <row r="6092" spans="1:5" x14ac:dyDescent="0.3">
      <c r="A6092" s="17" t="str">
        <f>"J1240"</f>
        <v>J1240</v>
      </c>
      <c r="B6092" s="5" t="s">
        <v>6098</v>
      </c>
      <c r="C6092" s="17">
        <v>20230101</v>
      </c>
      <c r="D6092" s="17">
        <v>22991231</v>
      </c>
      <c r="E6092" s="25">
        <v>0</v>
      </c>
    </row>
    <row r="6093" spans="1:5" x14ac:dyDescent="0.3">
      <c r="A6093" s="17" t="str">
        <f>"J1245"</f>
        <v>J1245</v>
      </c>
      <c r="B6093" s="5" t="s">
        <v>6099</v>
      </c>
      <c r="C6093" s="17">
        <v>20230101</v>
      </c>
      <c r="D6093" s="17">
        <v>22991231</v>
      </c>
      <c r="E6093" s="25">
        <v>0</v>
      </c>
    </row>
    <row r="6094" spans="1:5" x14ac:dyDescent="0.3">
      <c r="A6094" s="17" t="str">
        <f>"J1250"</f>
        <v>J1250</v>
      </c>
      <c r="B6094" s="5" t="s">
        <v>6100</v>
      </c>
      <c r="C6094" s="17">
        <v>20230101</v>
      </c>
      <c r="D6094" s="17">
        <v>22991231</v>
      </c>
      <c r="E6094" s="25">
        <v>0</v>
      </c>
    </row>
    <row r="6095" spans="1:5" x14ac:dyDescent="0.3">
      <c r="A6095" s="17" t="str">
        <f>"J1260"</f>
        <v>J1260</v>
      </c>
      <c r="B6095" s="5" t="s">
        <v>6101</v>
      </c>
      <c r="C6095" s="17">
        <v>20230101</v>
      </c>
      <c r="D6095" s="17">
        <v>22991231</v>
      </c>
      <c r="E6095" s="25">
        <v>0</v>
      </c>
    </row>
    <row r="6096" spans="1:5" x14ac:dyDescent="0.3">
      <c r="A6096" s="17" t="str">
        <f>"J1265"</f>
        <v>J1265</v>
      </c>
      <c r="B6096" s="5" t="s">
        <v>6102</v>
      </c>
      <c r="C6096" s="17">
        <v>20060101</v>
      </c>
      <c r="D6096" s="17">
        <v>22991231</v>
      </c>
      <c r="E6096" s="25">
        <v>0</v>
      </c>
    </row>
    <row r="6097" spans="1:5" x14ac:dyDescent="0.3">
      <c r="A6097" s="17" t="str">
        <f>"J1267"</f>
        <v>J1267</v>
      </c>
      <c r="B6097" s="5" t="s">
        <v>6103</v>
      </c>
      <c r="C6097" s="17">
        <v>20090101</v>
      </c>
      <c r="D6097" s="17">
        <v>22991231</v>
      </c>
      <c r="E6097" s="25">
        <v>0</v>
      </c>
    </row>
    <row r="6098" spans="1:5" x14ac:dyDescent="0.3">
      <c r="A6098" s="17" t="str">
        <f>"J1270"</f>
        <v>J1270</v>
      </c>
      <c r="B6098" s="5" t="s">
        <v>6104</v>
      </c>
      <c r="C6098" s="17">
        <v>20230101</v>
      </c>
      <c r="D6098" s="17">
        <v>22991231</v>
      </c>
      <c r="E6098" s="25">
        <v>0</v>
      </c>
    </row>
    <row r="6099" spans="1:5" x14ac:dyDescent="0.3">
      <c r="A6099" s="17" t="str">
        <f>"J1290"</f>
        <v>J1290</v>
      </c>
      <c r="B6099" s="5" t="s">
        <v>6105</v>
      </c>
      <c r="C6099" s="17">
        <v>20230101</v>
      </c>
      <c r="D6099" s="17">
        <v>22991231</v>
      </c>
      <c r="E6099" s="25">
        <v>515.14</v>
      </c>
    </row>
    <row r="6100" spans="1:5" x14ac:dyDescent="0.3">
      <c r="A6100" s="17" t="str">
        <f>"J1300"</f>
        <v>J1300</v>
      </c>
      <c r="B6100" s="5" t="s">
        <v>6106</v>
      </c>
      <c r="C6100" s="17">
        <v>20230101</v>
      </c>
      <c r="D6100" s="17">
        <v>22991231</v>
      </c>
      <c r="E6100" s="25">
        <v>215.57</v>
      </c>
    </row>
    <row r="6101" spans="1:5" x14ac:dyDescent="0.3">
      <c r="A6101" s="17" t="str">
        <f>"J1301"</f>
        <v>J1301</v>
      </c>
      <c r="B6101" s="5" t="s">
        <v>6107</v>
      </c>
      <c r="C6101" s="17">
        <v>20230101</v>
      </c>
      <c r="D6101" s="17">
        <v>22991231</v>
      </c>
      <c r="E6101" s="25">
        <v>20.84</v>
      </c>
    </row>
    <row r="6102" spans="1:5" x14ac:dyDescent="0.3">
      <c r="A6102" s="17" t="str">
        <f>"J1302"</f>
        <v>J1302</v>
      </c>
      <c r="B6102" s="5" t="s">
        <v>6108</v>
      </c>
      <c r="C6102" s="17">
        <v>20230101</v>
      </c>
      <c r="D6102" s="17">
        <v>22991231</v>
      </c>
      <c r="E6102" s="25">
        <v>16.97</v>
      </c>
    </row>
    <row r="6103" spans="1:5" x14ac:dyDescent="0.3">
      <c r="A6103" s="17" t="str">
        <f>"J1303"</f>
        <v>J1303</v>
      </c>
      <c r="B6103" s="5" t="s">
        <v>6109</v>
      </c>
      <c r="C6103" s="17">
        <v>20230101</v>
      </c>
      <c r="D6103" s="17">
        <v>22991231</v>
      </c>
      <c r="E6103" s="25">
        <v>211.82</v>
      </c>
    </row>
    <row r="6104" spans="1:5" x14ac:dyDescent="0.3">
      <c r="A6104" s="17" t="str">
        <f>"J1304"</f>
        <v>J1304</v>
      </c>
      <c r="B6104" s="5" t="s">
        <v>6110</v>
      </c>
      <c r="C6104" s="17">
        <v>20240101</v>
      </c>
      <c r="D6104" s="17">
        <v>22991231</v>
      </c>
      <c r="E6104" s="25">
        <v>144.07</v>
      </c>
    </row>
    <row r="6105" spans="1:5" x14ac:dyDescent="0.3">
      <c r="A6105" s="17" t="str">
        <f>"J1305"</f>
        <v>J1305</v>
      </c>
      <c r="B6105" s="5" t="s">
        <v>6111</v>
      </c>
      <c r="C6105" s="17">
        <v>20230101</v>
      </c>
      <c r="D6105" s="17">
        <v>22991231</v>
      </c>
      <c r="E6105" s="25">
        <v>171.11</v>
      </c>
    </row>
    <row r="6106" spans="1:5" x14ac:dyDescent="0.3">
      <c r="A6106" s="17" t="str">
        <f>"J1306"</f>
        <v>J1306</v>
      </c>
      <c r="B6106" s="5" t="s">
        <v>6112</v>
      </c>
      <c r="C6106" s="17">
        <v>20230101</v>
      </c>
      <c r="D6106" s="17">
        <v>22991231</v>
      </c>
      <c r="E6106" s="25">
        <v>11.59</v>
      </c>
    </row>
    <row r="6107" spans="1:5" x14ac:dyDescent="0.3">
      <c r="A6107" s="17" t="str">
        <f>"J1320"</f>
        <v>J1320</v>
      </c>
      <c r="B6107" s="5" t="s">
        <v>6113</v>
      </c>
      <c r="C6107" s="17">
        <v>20230101</v>
      </c>
      <c r="D6107" s="17">
        <v>22991231</v>
      </c>
      <c r="E6107" s="25">
        <v>0</v>
      </c>
    </row>
    <row r="6108" spans="1:5" x14ac:dyDescent="0.3">
      <c r="A6108" s="17" t="str">
        <f>"J1322"</f>
        <v>J1322</v>
      </c>
      <c r="B6108" s="5" t="s">
        <v>6114</v>
      </c>
      <c r="C6108" s="17">
        <v>20230101</v>
      </c>
      <c r="D6108" s="17">
        <v>22991231</v>
      </c>
      <c r="E6108" s="25">
        <v>268.31</v>
      </c>
    </row>
    <row r="6109" spans="1:5" x14ac:dyDescent="0.3">
      <c r="A6109" s="17" t="str">
        <f>"J1324"</f>
        <v>J1324</v>
      </c>
      <c r="B6109" s="5" t="s">
        <v>6115</v>
      </c>
      <c r="C6109" s="17">
        <v>20230101</v>
      </c>
      <c r="D6109" s="17">
        <v>22991231</v>
      </c>
      <c r="E6109" s="25">
        <v>0</v>
      </c>
    </row>
    <row r="6110" spans="1:5" x14ac:dyDescent="0.3">
      <c r="A6110" s="17" t="str">
        <f>"J1325"</f>
        <v>J1325</v>
      </c>
      <c r="B6110" s="5" t="s">
        <v>6116</v>
      </c>
      <c r="C6110" s="17">
        <v>20230101</v>
      </c>
      <c r="D6110" s="17">
        <v>22991231</v>
      </c>
      <c r="E6110" s="25">
        <v>0</v>
      </c>
    </row>
    <row r="6111" spans="1:5" x14ac:dyDescent="0.3">
      <c r="A6111" s="17" t="str">
        <f>"J1327"</f>
        <v>J1327</v>
      </c>
      <c r="B6111" s="5" t="s">
        <v>6117</v>
      </c>
      <c r="C6111" s="17">
        <v>20230101</v>
      </c>
      <c r="D6111" s="17">
        <v>22991231</v>
      </c>
      <c r="E6111" s="25">
        <v>3.2</v>
      </c>
    </row>
    <row r="6112" spans="1:5" x14ac:dyDescent="0.3">
      <c r="A6112" s="17" t="str">
        <f>"J1330"</f>
        <v>J1330</v>
      </c>
      <c r="B6112" s="5" t="s">
        <v>6118</v>
      </c>
      <c r="C6112" s="17">
        <v>20230101</v>
      </c>
      <c r="D6112" s="17">
        <v>22991231</v>
      </c>
      <c r="E6112" s="25">
        <v>0</v>
      </c>
    </row>
    <row r="6113" spans="1:5" x14ac:dyDescent="0.3">
      <c r="A6113" s="17" t="str">
        <f>"J1335"</f>
        <v>J1335</v>
      </c>
      <c r="B6113" s="5" t="s">
        <v>6119</v>
      </c>
      <c r="C6113" s="17">
        <v>20230101</v>
      </c>
      <c r="D6113" s="17">
        <v>22991231</v>
      </c>
      <c r="E6113" s="25">
        <v>0</v>
      </c>
    </row>
    <row r="6114" spans="1:5" x14ac:dyDescent="0.3">
      <c r="A6114" s="17" t="str">
        <f>"J1364"</f>
        <v>J1364</v>
      </c>
      <c r="B6114" s="5" t="s">
        <v>6120</v>
      </c>
      <c r="C6114" s="17">
        <v>20230101</v>
      </c>
      <c r="D6114" s="17">
        <v>22991231</v>
      </c>
      <c r="E6114" s="25">
        <v>77.16</v>
      </c>
    </row>
    <row r="6115" spans="1:5" x14ac:dyDescent="0.3">
      <c r="A6115" s="17" t="str">
        <f>"J1380"</f>
        <v>J1380</v>
      </c>
      <c r="B6115" s="5" t="s">
        <v>6121</v>
      </c>
      <c r="C6115" s="17">
        <v>20230101</v>
      </c>
      <c r="D6115" s="17">
        <v>22991231</v>
      </c>
      <c r="E6115" s="25">
        <v>0</v>
      </c>
    </row>
    <row r="6116" spans="1:5" x14ac:dyDescent="0.3">
      <c r="A6116" s="17" t="str">
        <f>"J1410"</f>
        <v>J1410</v>
      </c>
      <c r="B6116" s="5" t="s">
        <v>6122</v>
      </c>
      <c r="C6116" s="17">
        <v>20230101</v>
      </c>
      <c r="D6116" s="17">
        <v>22991231</v>
      </c>
      <c r="E6116" s="25">
        <v>355.46</v>
      </c>
    </row>
    <row r="6117" spans="1:5" x14ac:dyDescent="0.3">
      <c r="A6117" s="17" t="str">
        <f>"J1426"</f>
        <v>J1426</v>
      </c>
      <c r="B6117" s="5" t="s">
        <v>6123</v>
      </c>
      <c r="C6117" s="17">
        <v>20230101</v>
      </c>
      <c r="D6117" s="17">
        <v>22991231</v>
      </c>
      <c r="E6117" s="25">
        <v>158.77000000000001</v>
      </c>
    </row>
    <row r="6118" spans="1:5" x14ac:dyDescent="0.3">
      <c r="A6118" s="17" t="str">
        <f>"J1427"</f>
        <v>J1427</v>
      </c>
      <c r="B6118" s="5" t="s">
        <v>6124</v>
      </c>
      <c r="C6118" s="17">
        <v>20230101</v>
      </c>
      <c r="D6118" s="17">
        <v>22991231</v>
      </c>
      <c r="E6118" s="25">
        <v>56.19</v>
      </c>
    </row>
    <row r="6119" spans="1:5" x14ac:dyDescent="0.3">
      <c r="A6119" s="17" t="str">
        <f>"J1428"</f>
        <v>J1428</v>
      </c>
      <c r="B6119" s="5" t="s">
        <v>6125</v>
      </c>
      <c r="C6119" s="17">
        <v>20230101</v>
      </c>
      <c r="D6119" s="17">
        <v>22991231</v>
      </c>
      <c r="E6119" s="25">
        <v>0</v>
      </c>
    </row>
    <row r="6120" spans="1:5" x14ac:dyDescent="0.3">
      <c r="A6120" s="17" t="str">
        <f>"J1429"</f>
        <v>J1429</v>
      </c>
      <c r="B6120" s="5" t="s">
        <v>6126</v>
      </c>
      <c r="C6120" s="17">
        <v>20230101</v>
      </c>
      <c r="D6120" s="17">
        <v>22991231</v>
      </c>
      <c r="E6120" s="25">
        <v>158.75</v>
      </c>
    </row>
    <row r="6121" spans="1:5" x14ac:dyDescent="0.3">
      <c r="A6121" s="17" t="str">
        <f>"J1430"</f>
        <v>J1430</v>
      </c>
      <c r="B6121" s="5" t="s">
        <v>6127</v>
      </c>
      <c r="C6121" s="17">
        <v>20060101</v>
      </c>
      <c r="D6121" s="17">
        <v>22991231</v>
      </c>
      <c r="E6121" s="25">
        <v>452.67</v>
      </c>
    </row>
    <row r="6122" spans="1:5" x14ac:dyDescent="0.3">
      <c r="A6122" s="17" t="str">
        <f>"J1435"</f>
        <v>J1435</v>
      </c>
      <c r="B6122" s="5" t="s">
        <v>6128</v>
      </c>
      <c r="C6122" s="17">
        <v>20230101</v>
      </c>
      <c r="D6122" s="17">
        <v>22991231</v>
      </c>
      <c r="E6122" s="25">
        <v>0</v>
      </c>
    </row>
    <row r="6123" spans="1:5" x14ac:dyDescent="0.3">
      <c r="A6123" s="17" t="str">
        <f>"J1437"</f>
        <v>J1437</v>
      </c>
      <c r="B6123" s="5" t="s">
        <v>6129</v>
      </c>
      <c r="C6123" s="17">
        <v>20230101</v>
      </c>
      <c r="D6123" s="17">
        <v>22991231</v>
      </c>
      <c r="E6123" s="25">
        <v>18.010000000000002</v>
      </c>
    </row>
    <row r="6124" spans="1:5" ht="52" x14ac:dyDescent="0.3">
      <c r="A6124" s="17" t="str">
        <f>"J1438"</f>
        <v>J1438</v>
      </c>
      <c r="B6124" s="5" t="s">
        <v>6130</v>
      </c>
      <c r="C6124" s="17">
        <v>20230101</v>
      </c>
      <c r="D6124" s="17">
        <v>22991231</v>
      </c>
      <c r="E6124" s="25">
        <v>755.31</v>
      </c>
    </row>
    <row r="6125" spans="1:5" x14ac:dyDescent="0.3">
      <c r="A6125" s="17" t="str">
        <f>"J1439"</f>
        <v>J1439</v>
      </c>
      <c r="B6125" s="5" t="s">
        <v>6131</v>
      </c>
      <c r="C6125" s="17">
        <v>20230101</v>
      </c>
      <c r="D6125" s="17">
        <v>22991231</v>
      </c>
      <c r="E6125" s="25">
        <v>1.1000000000000001</v>
      </c>
    </row>
    <row r="6126" spans="1:5" x14ac:dyDescent="0.3">
      <c r="A6126" s="17" t="str">
        <f>"J1440"</f>
        <v>J1440</v>
      </c>
      <c r="B6126" s="5" t="s">
        <v>6132</v>
      </c>
      <c r="C6126" s="17">
        <v>20240101</v>
      </c>
      <c r="D6126" s="17">
        <v>22991231</v>
      </c>
      <c r="E6126" s="25">
        <v>60.16</v>
      </c>
    </row>
    <row r="6127" spans="1:5" ht="26" x14ac:dyDescent="0.3">
      <c r="A6127" s="17" t="str">
        <f>"J1442"</f>
        <v>J1442</v>
      </c>
      <c r="B6127" s="5" t="s">
        <v>6133</v>
      </c>
      <c r="C6127" s="17">
        <v>20230101</v>
      </c>
      <c r="D6127" s="17">
        <v>22991231</v>
      </c>
      <c r="E6127" s="25">
        <v>0.95</v>
      </c>
    </row>
    <row r="6128" spans="1:5" ht="26" x14ac:dyDescent="0.3">
      <c r="A6128" s="17" t="str">
        <f>"J1443"</f>
        <v>J1443</v>
      </c>
      <c r="B6128" s="5" t="s">
        <v>6134</v>
      </c>
      <c r="C6128" s="17">
        <v>20230101</v>
      </c>
      <c r="D6128" s="17">
        <v>22991231</v>
      </c>
      <c r="E6128" s="25">
        <v>0</v>
      </c>
    </row>
    <row r="6129" spans="1:5" ht="26" x14ac:dyDescent="0.3">
      <c r="A6129" s="17" t="str">
        <f>"J1444"</f>
        <v>J1444</v>
      </c>
      <c r="B6129" s="5" t="s">
        <v>6135</v>
      </c>
      <c r="C6129" s="17">
        <v>20230101</v>
      </c>
      <c r="D6129" s="17">
        <v>22991231</v>
      </c>
      <c r="E6129" s="25">
        <v>0</v>
      </c>
    </row>
    <row r="6130" spans="1:5" ht="26" x14ac:dyDescent="0.3">
      <c r="A6130" s="17" t="str">
        <f>"J1445"</f>
        <v>J1445</v>
      </c>
      <c r="B6130" s="5" t="s">
        <v>6136</v>
      </c>
      <c r="C6130" s="17">
        <v>20230101</v>
      </c>
      <c r="D6130" s="17">
        <v>22991231</v>
      </c>
      <c r="E6130" s="25">
        <v>0</v>
      </c>
    </row>
    <row r="6131" spans="1:5" x14ac:dyDescent="0.3">
      <c r="A6131" s="17" t="str">
        <f>"J1447"</f>
        <v>J1447</v>
      </c>
      <c r="B6131" s="5" t="s">
        <v>6137</v>
      </c>
      <c r="C6131" s="17">
        <v>20230101</v>
      </c>
      <c r="D6131" s="17">
        <v>22991231</v>
      </c>
      <c r="E6131" s="25">
        <v>0.42</v>
      </c>
    </row>
    <row r="6132" spans="1:5" x14ac:dyDescent="0.3">
      <c r="A6132" s="17" t="str">
        <f>"J1448"</f>
        <v>J1448</v>
      </c>
      <c r="B6132" s="5" t="s">
        <v>6138</v>
      </c>
      <c r="C6132" s="17">
        <v>20230101</v>
      </c>
      <c r="D6132" s="17">
        <v>22991231</v>
      </c>
      <c r="E6132" s="25">
        <v>4.97</v>
      </c>
    </row>
    <row r="6133" spans="1:5" x14ac:dyDescent="0.3">
      <c r="A6133" s="17" t="str">
        <f>"J1449"</f>
        <v>J1449</v>
      </c>
      <c r="B6133" s="5" t="s">
        <v>6139</v>
      </c>
      <c r="C6133" s="17">
        <v>20240101</v>
      </c>
      <c r="D6133" s="17">
        <v>22991231</v>
      </c>
      <c r="E6133" s="25">
        <v>28.35</v>
      </c>
    </row>
    <row r="6134" spans="1:5" x14ac:dyDescent="0.3">
      <c r="A6134" s="17" t="str">
        <f>"J1450"</f>
        <v>J1450</v>
      </c>
      <c r="B6134" s="5" t="s">
        <v>6140</v>
      </c>
      <c r="C6134" s="17">
        <v>20230101</v>
      </c>
      <c r="D6134" s="17">
        <v>22991231</v>
      </c>
      <c r="E6134" s="25">
        <v>0</v>
      </c>
    </row>
    <row r="6135" spans="1:5" x14ac:dyDescent="0.3">
      <c r="A6135" s="17" t="str">
        <f>"J1451"</f>
        <v>J1451</v>
      </c>
      <c r="B6135" s="5" t="s">
        <v>6141</v>
      </c>
      <c r="C6135" s="17">
        <v>20230101</v>
      </c>
      <c r="D6135" s="17">
        <v>22991231</v>
      </c>
      <c r="E6135" s="25">
        <v>5.79</v>
      </c>
    </row>
    <row r="6136" spans="1:5" ht="26" x14ac:dyDescent="0.3">
      <c r="A6136" s="17" t="str">
        <f>"J1452"</f>
        <v>J1452</v>
      </c>
      <c r="B6136" s="5" t="s">
        <v>6142</v>
      </c>
      <c r="C6136" s="17">
        <v>20230101</v>
      </c>
      <c r="D6136" s="17">
        <v>22991231</v>
      </c>
      <c r="E6136" s="25">
        <v>0</v>
      </c>
    </row>
    <row r="6137" spans="1:5" x14ac:dyDescent="0.3">
      <c r="A6137" s="17" t="str">
        <f>"J1453"</f>
        <v>J1453</v>
      </c>
      <c r="B6137" s="5" t="s">
        <v>6143</v>
      </c>
      <c r="C6137" s="17">
        <v>20090101</v>
      </c>
      <c r="D6137" s="17">
        <v>22991231</v>
      </c>
      <c r="E6137" s="25">
        <v>0</v>
      </c>
    </row>
    <row r="6138" spans="1:5" ht="26" x14ac:dyDescent="0.3">
      <c r="A6138" s="17" t="str">
        <f>"J1454"</f>
        <v>J1454</v>
      </c>
      <c r="B6138" s="5" t="s">
        <v>6144</v>
      </c>
      <c r="C6138" s="17">
        <v>20230101</v>
      </c>
      <c r="D6138" s="17">
        <v>22991231</v>
      </c>
      <c r="E6138" s="25">
        <v>663.05</v>
      </c>
    </row>
    <row r="6139" spans="1:5" x14ac:dyDescent="0.3">
      <c r="A6139" s="17" t="str">
        <f>"J1455"</f>
        <v>J1455</v>
      </c>
      <c r="B6139" s="5" t="s">
        <v>6145</v>
      </c>
      <c r="C6139" s="17">
        <v>20230101</v>
      </c>
      <c r="D6139" s="17">
        <v>22991231</v>
      </c>
      <c r="E6139" s="25">
        <v>56.71</v>
      </c>
    </row>
    <row r="6140" spans="1:5" ht="26" x14ac:dyDescent="0.3">
      <c r="A6140" s="17" t="str">
        <f>"J1456"</f>
        <v>J1456</v>
      </c>
      <c r="B6140" s="5" t="s">
        <v>6146</v>
      </c>
      <c r="C6140" s="17">
        <v>20240101</v>
      </c>
      <c r="D6140" s="17">
        <v>22991231</v>
      </c>
      <c r="E6140" s="25">
        <v>0.42</v>
      </c>
    </row>
    <row r="6141" spans="1:5" x14ac:dyDescent="0.3">
      <c r="A6141" s="17" t="str">
        <f>"J1457"</f>
        <v>J1457</v>
      </c>
      <c r="B6141" s="5" t="s">
        <v>6147</v>
      </c>
      <c r="C6141" s="17">
        <v>20050101</v>
      </c>
      <c r="D6141" s="17">
        <v>22991231</v>
      </c>
      <c r="E6141" s="25">
        <v>0</v>
      </c>
    </row>
    <row r="6142" spans="1:5" x14ac:dyDescent="0.3">
      <c r="A6142" s="17" t="str">
        <f>"J1458"</f>
        <v>J1458</v>
      </c>
      <c r="B6142" s="5" t="s">
        <v>6148</v>
      </c>
      <c r="C6142" s="17">
        <v>20230101</v>
      </c>
      <c r="D6142" s="17">
        <v>22991231</v>
      </c>
      <c r="E6142" s="25">
        <v>442.22</v>
      </c>
    </row>
    <row r="6143" spans="1:5" ht="39" x14ac:dyDescent="0.3">
      <c r="A6143" s="17" t="str">
        <f>"J1459"</f>
        <v>J1459</v>
      </c>
      <c r="B6143" s="5" t="s">
        <v>6149</v>
      </c>
      <c r="C6143" s="17">
        <v>20090101</v>
      </c>
      <c r="D6143" s="17">
        <v>22991231</v>
      </c>
      <c r="E6143" s="25">
        <v>46.12</v>
      </c>
    </row>
    <row r="6144" spans="1:5" x14ac:dyDescent="0.3">
      <c r="A6144" s="17" t="str">
        <f>"J1460"</f>
        <v>J1460</v>
      </c>
      <c r="B6144" s="5" t="s">
        <v>6150</v>
      </c>
      <c r="C6144" s="17">
        <v>20230101</v>
      </c>
      <c r="D6144" s="17">
        <v>22991231</v>
      </c>
      <c r="E6144" s="25">
        <v>48.45</v>
      </c>
    </row>
    <row r="6145" spans="1:5" x14ac:dyDescent="0.3">
      <c r="A6145" s="17" t="str">
        <f>"J1551"</f>
        <v>J1551</v>
      </c>
      <c r="B6145" s="5" t="s">
        <v>6151</v>
      </c>
      <c r="C6145" s="17">
        <v>20230101</v>
      </c>
      <c r="D6145" s="17">
        <v>22991231</v>
      </c>
      <c r="E6145" s="25">
        <v>13.27</v>
      </c>
    </row>
    <row r="6146" spans="1:5" x14ac:dyDescent="0.3">
      <c r="A6146" s="17" t="str">
        <f>"J1554"</f>
        <v>J1554</v>
      </c>
      <c r="B6146" s="5" t="s">
        <v>6152</v>
      </c>
      <c r="C6146" s="17">
        <v>20230101</v>
      </c>
      <c r="D6146" s="17">
        <v>22991231</v>
      </c>
      <c r="E6146" s="25">
        <v>469.37</v>
      </c>
    </row>
    <row r="6147" spans="1:5" x14ac:dyDescent="0.3">
      <c r="A6147" s="17" t="str">
        <f>"J1555"</f>
        <v>J1555</v>
      </c>
      <c r="B6147" s="5" t="s">
        <v>6153</v>
      </c>
      <c r="C6147" s="17">
        <v>20230101</v>
      </c>
      <c r="D6147" s="17">
        <v>22991231</v>
      </c>
      <c r="E6147" s="25">
        <v>15.21</v>
      </c>
    </row>
    <row r="6148" spans="1:5" x14ac:dyDescent="0.3">
      <c r="A6148" s="17" t="str">
        <f>"J1556"</f>
        <v>J1556</v>
      </c>
      <c r="B6148" s="5" t="s">
        <v>6154</v>
      </c>
      <c r="C6148" s="17">
        <v>20230101</v>
      </c>
      <c r="D6148" s="17">
        <v>22991231</v>
      </c>
      <c r="E6148" s="25">
        <v>69.69</v>
      </c>
    </row>
    <row r="6149" spans="1:5" ht="39" x14ac:dyDescent="0.3">
      <c r="A6149" s="17" t="str">
        <f>"J1557"</f>
        <v>J1557</v>
      </c>
      <c r="B6149" s="5" t="s">
        <v>6155</v>
      </c>
      <c r="C6149" s="17">
        <v>20230101</v>
      </c>
      <c r="D6149" s="17">
        <v>22991231</v>
      </c>
      <c r="E6149" s="25">
        <v>52.68</v>
      </c>
    </row>
    <row r="6150" spans="1:5" x14ac:dyDescent="0.3">
      <c r="A6150" s="17" t="str">
        <f>"J1558"</f>
        <v>J1558</v>
      </c>
      <c r="B6150" s="5" t="s">
        <v>6156</v>
      </c>
      <c r="C6150" s="17">
        <v>20230101</v>
      </c>
      <c r="D6150" s="17">
        <v>22991231</v>
      </c>
      <c r="E6150" s="25">
        <v>13.54</v>
      </c>
    </row>
    <row r="6151" spans="1:5" x14ac:dyDescent="0.3">
      <c r="A6151" s="17" t="str">
        <f>"J1559"</f>
        <v>J1559</v>
      </c>
      <c r="B6151" s="5" t="s">
        <v>6157</v>
      </c>
      <c r="C6151" s="17">
        <v>20230101</v>
      </c>
      <c r="D6151" s="17">
        <v>22991231</v>
      </c>
      <c r="E6151" s="25">
        <v>12.37</v>
      </c>
    </row>
    <row r="6152" spans="1:5" ht="26" x14ac:dyDescent="0.3">
      <c r="A6152" s="17" t="str">
        <f>"J1560"</f>
        <v>J1560</v>
      </c>
      <c r="B6152" s="5" t="s">
        <v>6158</v>
      </c>
      <c r="C6152" s="17">
        <v>20230101</v>
      </c>
      <c r="D6152" s="17">
        <v>22991231</v>
      </c>
      <c r="E6152" s="25">
        <v>484.51</v>
      </c>
    </row>
    <row r="6153" spans="1:5" ht="39" x14ac:dyDescent="0.3">
      <c r="A6153" s="17" t="str">
        <f>"J1561"</f>
        <v>J1561</v>
      </c>
      <c r="B6153" s="5" t="s">
        <v>6159</v>
      </c>
      <c r="C6153" s="17">
        <v>20230101</v>
      </c>
      <c r="D6153" s="17">
        <v>22991231</v>
      </c>
      <c r="E6153" s="25">
        <v>47.56</v>
      </c>
    </row>
    <row r="6154" spans="1:5" x14ac:dyDescent="0.3">
      <c r="A6154" s="17" t="str">
        <f>"J1562"</f>
        <v>J1562</v>
      </c>
      <c r="B6154" s="5" t="s">
        <v>6160</v>
      </c>
      <c r="C6154" s="17">
        <v>20230101</v>
      </c>
      <c r="D6154" s="17">
        <v>22991231</v>
      </c>
      <c r="E6154" s="25">
        <v>0</v>
      </c>
    </row>
    <row r="6155" spans="1:5" ht="39" x14ac:dyDescent="0.3">
      <c r="A6155" s="17" t="str">
        <f>"J1566"</f>
        <v>J1566</v>
      </c>
      <c r="B6155" s="5" t="s">
        <v>6161</v>
      </c>
      <c r="C6155" s="17">
        <v>20060101</v>
      </c>
      <c r="D6155" s="17">
        <v>22991231</v>
      </c>
      <c r="E6155" s="25">
        <v>74.98</v>
      </c>
    </row>
    <row r="6156" spans="1:5" ht="39" x14ac:dyDescent="0.3">
      <c r="A6156" s="17" t="str">
        <f>"J1568"</f>
        <v>J1568</v>
      </c>
      <c r="B6156" s="5" t="s">
        <v>6162</v>
      </c>
      <c r="C6156" s="17">
        <v>20230101</v>
      </c>
      <c r="D6156" s="17">
        <v>22991231</v>
      </c>
      <c r="E6156" s="25">
        <v>42.96</v>
      </c>
    </row>
    <row r="6157" spans="1:5" ht="26" x14ac:dyDescent="0.3">
      <c r="A6157" s="17" t="str">
        <f>"J1569"</f>
        <v>J1569</v>
      </c>
      <c r="B6157" s="5" t="s">
        <v>6163</v>
      </c>
      <c r="C6157" s="17">
        <v>20230101</v>
      </c>
      <c r="D6157" s="17">
        <v>22991231</v>
      </c>
      <c r="E6157" s="25">
        <v>42.17</v>
      </c>
    </row>
    <row r="6158" spans="1:5" x14ac:dyDescent="0.3">
      <c r="A6158" s="17" t="str">
        <f>"J1570"</f>
        <v>J1570</v>
      </c>
      <c r="B6158" s="5" t="s">
        <v>6164</v>
      </c>
      <c r="C6158" s="17">
        <v>20230101</v>
      </c>
      <c r="D6158" s="17">
        <v>22991231</v>
      </c>
      <c r="E6158" s="25">
        <v>0</v>
      </c>
    </row>
    <row r="6159" spans="1:5" ht="26" x14ac:dyDescent="0.3">
      <c r="A6159" s="17" t="str">
        <f>"J1571"</f>
        <v>J1571</v>
      </c>
      <c r="B6159" s="5" t="s">
        <v>6165</v>
      </c>
      <c r="C6159" s="17">
        <v>20230101</v>
      </c>
      <c r="D6159" s="17">
        <v>22991231</v>
      </c>
      <c r="E6159" s="25">
        <v>56.95</v>
      </c>
    </row>
    <row r="6160" spans="1:5" ht="39" x14ac:dyDescent="0.3">
      <c r="A6160" s="17" t="str">
        <f>"J1572"</f>
        <v>J1572</v>
      </c>
      <c r="B6160" s="5" t="s">
        <v>6166</v>
      </c>
      <c r="C6160" s="17">
        <v>20230101</v>
      </c>
      <c r="D6160" s="17">
        <v>22991231</v>
      </c>
      <c r="E6160" s="25">
        <v>53.6</v>
      </c>
    </row>
    <row r="6161" spans="1:5" ht="26" x14ac:dyDescent="0.3">
      <c r="A6161" s="17" t="str">
        <f>"J1573"</f>
        <v>J1573</v>
      </c>
      <c r="B6161" s="5" t="s">
        <v>6167</v>
      </c>
      <c r="C6161" s="17">
        <v>20230101</v>
      </c>
      <c r="D6161" s="17">
        <v>22991231</v>
      </c>
      <c r="E6161" s="25">
        <v>56.95</v>
      </c>
    </row>
    <row r="6162" spans="1:5" ht="26" x14ac:dyDescent="0.3">
      <c r="A6162" s="17" t="str">
        <f>"J1574"</f>
        <v>J1574</v>
      </c>
      <c r="B6162" s="5" t="s">
        <v>6168</v>
      </c>
      <c r="C6162" s="17">
        <v>20240101</v>
      </c>
      <c r="D6162" s="17">
        <v>22991231</v>
      </c>
      <c r="E6162" s="25">
        <v>0</v>
      </c>
    </row>
    <row r="6163" spans="1:5" ht="26" x14ac:dyDescent="0.3">
      <c r="A6163" s="17" t="str">
        <f>"J1575"</f>
        <v>J1575</v>
      </c>
      <c r="B6163" s="5" t="s">
        <v>6169</v>
      </c>
      <c r="C6163" s="17">
        <v>20230101</v>
      </c>
      <c r="D6163" s="17">
        <v>22991231</v>
      </c>
      <c r="E6163" s="25">
        <v>16.32</v>
      </c>
    </row>
    <row r="6164" spans="1:5" ht="39" x14ac:dyDescent="0.3">
      <c r="A6164" s="17" t="str">
        <f>"J1576"</f>
        <v>J1576</v>
      </c>
      <c r="B6164" s="5" t="s">
        <v>6170</v>
      </c>
      <c r="C6164" s="17">
        <v>20240101</v>
      </c>
      <c r="D6164" s="17">
        <v>22991231</v>
      </c>
      <c r="E6164" s="25">
        <v>63.46</v>
      </c>
    </row>
    <row r="6165" spans="1:5" x14ac:dyDescent="0.3">
      <c r="A6165" s="17" t="str">
        <f>"J1580"</f>
        <v>J1580</v>
      </c>
      <c r="B6165" s="5" t="s">
        <v>6171</v>
      </c>
      <c r="C6165" s="17">
        <v>20230101</v>
      </c>
      <c r="D6165" s="17">
        <v>22991231</v>
      </c>
      <c r="E6165" s="25">
        <v>0</v>
      </c>
    </row>
    <row r="6166" spans="1:5" x14ac:dyDescent="0.3">
      <c r="A6166" s="17" t="str">
        <f>"J1595"</f>
        <v>J1595</v>
      </c>
      <c r="B6166" s="5" t="s">
        <v>6172</v>
      </c>
      <c r="C6166" s="17">
        <v>20230101</v>
      </c>
      <c r="D6166" s="17">
        <v>22991231</v>
      </c>
      <c r="E6166" s="25">
        <v>148.97999999999999</v>
      </c>
    </row>
    <row r="6167" spans="1:5" x14ac:dyDescent="0.3">
      <c r="A6167" s="17" t="str">
        <f>"J1596"</f>
        <v>J1596</v>
      </c>
      <c r="B6167" s="5" t="s">
        <v>6173</v>
      </c>
      <c r="C6167" s="17">
        <v>20240101</v>
      </c>
      <c r="D6167" s="17">
        <v>22991231</v>
      </c>
      <c r="E6167" s="25">
        <v>0</v>
      </c>
    </row>
    <row r="6168" spans="1:5" ht="39" x14ac:dyDescent="0.3">
      <c r="A6168" s="17" t="str">
        <f>"J1599"</f>
        <v>J1599</v>
      </c>
      <c r="B6168" s="5" t="s">
        <v>6174</v>
      </c>
      <c r="C6168" s="17">
        <v>20230101</v>
      </c>
      <c r="D6168" s="17">
        <v>22991231</v>
      </c>
      <c r="E6168" s="25">
        <v>0</v>
      </c>
    </row>
    <row r="6169" spans="1:5" x14ac:dyDescent="0.3">
      <c r="A6169" s="17" t="str">
        <f>"J1600"</f>
        <v>J1600</v>
      </c>
      <c r="B6169" s="5" t="s">
        <v>6175</v>
      </c>
      <c r="C6169" s="17">
        <v>20230101</v>
      </c>
      <c r="D6169" s="17">
        <v>22991231</v>
      </c>
      <c r="E6169" s="25">
        <v>0</v>
      </c>
    </row>
    <row r="6170" spans="1:5" x14ac:dyDescent="0.3">
      <c r="A6170" s="17" t="str">
        <f>"J1602"</f>
        <v>J1602</v>
      </c>
      <c r="B6170" s="5" t="s">
        <v>6176</v>
      </c>
      <c r="C6170" s="17">
        <v>20230101</v>
      </c>
      <c r="D6170" s="17">
        <v>22991231</v>
      </c>
      <c r="E6170" s="25">
        <v>11.79</v>
      </c>
    </row>
    <row r="6171" spans="1:5" x14ac:dyDescent="0.3">
      <c r="A6171" s="17" t="str">
        <f>"J1610"</f>
        <v>J1610</v>
      </c>
      <c r="B6171" s="5" t="s">
        <v>6177</v>
      </c>
      <c r="C6171" s="17">
        <v>20230101</v>
      </c>
      <c r="D6171" s="17">
        <v>22991231</v>
      </c>
      <c r="E6171" s="25">
        <v>179.92</v>
      </c>
    </row>
    <row r="6172" spans="1:5" ht="39" x14ac:dyDescent="0.3">
      <c r="A6172" s="17" t="str">
        <f>"J1611"</f>
        <v>J1611</v>
      </c>
      <c r="B6172" s="5" t="s">
        <v>6178</v>
      </c>
      <c r="C6172" s="17">
        <v>20230101</v>
      </c>
      <c r="D6172" s="17">
        <v>22991231</v>
      </c>
      <c r="E6172" s="25">
        <v>118.28</v>
      </c>
    </row>
    <row r="6173" spans="1:5" ht="26" x14ac:dyDescent="0.3">
      <c r="A6173" s="17" t="str">
        <f>"J1620"</f>
        <v>J1620</v>
      </c>
      <c r="B6173" s="5" t="s">
        <v>6179</v>
      </c>
      <c r="C6173" s="17">
        <v>20230101</v>
      </c>
      <c r="D6173" s="17">
        <v>22991231</v>
      </c>
      <c r="E6173" s="25">
        <v>0</v>
      </c>
    </row>
    <row r="6174" spans="1:5" x14ac:dyDescent="0.3">
      <c r="A6174" s="17" t="str">
        <f>"J1626"</f>
        <v>J1626</v>
      </c>
      <c r="B6174" s="5" t="s">
        <v>6180</v>
      </c>
      <c r="C6174" s="17">
        <v>20230101</v>
      </c>
      <c r="D6174" s="17">
        <v>22991231</v>
      </c>
      <c r="E6174" s="25">
        <v>0</v>
      </c>
    </row>
    <row r="6175" spans="1:5" x14ac:dyDescent="0.3">
      <c r="A6175" s="17" t="str">
        <f>"J1627"</f>
        <v>J1627</v>
      </c>
      <c r="B6175" s="5" t="s">
        <v>6181</v>
      </c>
      <c r="C6175" s="17">
        <v>20230101</v>
      </c>
      <c r="D6175" s="17">
        <v>22991231</v>
      </c>
      <c r="E6175" s="25">
        <v>5.42</v>
      </c>
    </row>
    <row r="6176" spans="1:5" x14ac:dyDescent="0.3">
      <c r="A6176" s="17" t="str">
        <f>"J1628"</f>
        <v>J1628</v>
      </c>
      <c r="B6176" s="5" t="s">
        <v>6182</v>
      </c>
      <c r="C6176" s="17">
        <v>20230101</v>
      </c>
      <c r="D6176" s="17">
        <v>22991231</v>
      </c>
      <c r="E6176" s="25">
        <v>69.25</v>
      </c>
    </row>
    <row r="6177" spans="1:5" x14ac:dyDescent="0.3">
      <c r="A6177" s="17" t="str">
        <f>"J1630"</f>
        <v>J1630</v>
      </c>
      <c r="B6177" s="5" t="s">
        <v>6183</v>
      </c>
      <c r="C6177" s="17">
        <v>20230101</v>
      </c>
      <c r="D6177" s="17">
        <v>22991231</v>
      </c>
      <c r="E6177" s="25">
        <v>0</v>
      </c>
    </row>
    <row r="6178" spans="1:5" x14ac:dyDescent="0.3">
      <c r="A6178" s="17" t="str">
        <f>"J1631"</f>
        <v>J1631</v>
      </c>
      <c r="B6178" s="5" t="s">
        <v>6184</v>
      </c>
      <c r="C6178" s="17">
        <v>20230101</v>
      </c>
      <c r="D6178" s="17">
        <v>22991231</v>
      </c>
      <c r="E6178" s="25">
        <v>0</v>
      </c>
    </row>
    <row r="6179" spans="1:5" x14ac:dyDescent="0.3">
      <c r="A6179" s="17" t="str">
        <f>"J1632"</f>
        <v>J1632</v>
      </c>
      <c r="B6179" s="5" t="s">
        <v>6185</v>
      </c>
      <c r="C6179" s="17">
        <v>20230101</v>
      </c>
      <c r="D6179" s="17">
        <v>22991231</v>
      </c>
      <c r="E6179" s="25">
        <v>68.87</v>
      </c>
    </row>
    <row r="6180" spans="1:5" x14ac:dyDescent="0.3">
      <c r="A6180" s="17" t="str">
        <f>"J1640"</f>
        <v>J1640</v>
      </c>
      <c r="B6180" s="5" t="s">
        <v>6186</v>
      </c>
      <c r="C6180" s="17">
        <v>20230101</v>
      </c>
      <c r="D6180" s="17">
        <v>22991231</v>
      </c>
      <c r="E6180" s="25">
        <v>29.94</v>
      </c>
    </row>
    <row r="6181" spans="1:5" ht="26" x14ac:dyDescent="0.3">
      <c r="A6181" s="17" t="str">
        <f>"J1642"</f>
        <v>J1642</v>
      </c>
      <c r="B6181" s="5" t="s">
        <v>6187</v>
      </c>
      <c r="C6181" s="17">
        <v>20230101</v>
      </c>
      <c r="D6181" s="17">
        <v>22991231</v>
      </c>
      <c r="E6181" s="25">
        <v>0</v>
      </c>
    </row>
    <row r="6182" spans="1:5" ht="39" x14ac:dyDescent="0.3">
      <c r="A6182" s="17" t="str">
        <f>"J1643"</f>
        <v>J1643</v>
      </c>
      <c r="B6182" s="5" t="s">
        <v>6188</v>
      </c>
      <c r="C6182" s="17">
        <v>20240101</v>
      </c>
      <c r="D6182" s="17">
        <v>22991231</v>
      </c>
      <c r="E6182" s="25">
        <v>4.37</v>
      </c>
    </row>
    <row r="6183" spans="1:5" x14ac:dyDescent="0.3">
      <c r="A6183" s="17" t="str">
        <f>"J1644"</f>
        <v>J1644</v>
      </c>
      <c r="B6183" s="5" t="s">
        <v>6189</v>
      </c>
      <c r="C6183" s="17">
        <v>20230101</v>
      </c>
      <c r="D6183" s="17">
        <v>22991231</v>
      </c>
      <c r="E6183" s="25">
        <v>0</v>
      </c>
    </row>
    <row r="6184" spans="1:5" x14ac:dyDescent="0.3">
      <c r="A6184" s="17" t="str">
        <f>"J1645"</f>
        <v>J1645</v>
      </c>
      <c r="B6184" s="5" t="s">
        <v>6190</v>
      </c>
      <c r="C6184" s="17">
        <v>20230101</v>
      </c>
      <c r="D6184" s="17">
        <v>22991231</v>
      </c>
      <c r="E6184" s="25">
        <v>0</v>
      </c>
    </row>
    <row r="6185" spans="1:5" x14ac:dyDescent="0.3">
      <c r="A6185" s="17" t="str">
        <f>"J1650"</f>
        <v>J1650</v>
      </c>
      <c r="B6185" s="5" t="s">
        <v>6191</v>
      </c>
      <c r="C6185" s="17">
        <v>20230101</v>
      </c>
      <c r="D6185" s="17">
        <v>22991231</v>
      </c>
      <c r="E6185" s="25">
        <v>0</v>
      </c>
    </row>
    <row r="6186" spans="1:5" x14ac:dyDescent="0.3">
      <c r="A6186" s="17" t="str">
        <f>"J1652"</f>
        <v>J1652</v>
      </c>
      <c r="B6186" s="5" t="s">
        <v>6192</v>
      </c>
      <c r="C6186" s="17">
        <v>20230101</v>
      </c>
      <c r="D6186" s="17">
        <v>22991231</v>
      </c>
      <c r="E6186" s="25">
        <v>0</v>
      </c>
    </row>
    <row r="6187" spans="1:5" x14ac:dyDescent="0.3">
      <c r="A6187" s="17" t="str">
        <f>"J1655"</f>
        <v>J1655</v>
      </c>
      <c r="B6187" s="5" t="s">
        <v>6193</v>
      </c>
      <c r="C6187" s="17">
        <v>20230101</v>
      </c>
      <c r="D6187" s="17">
        <v>22991231</v>
      </c>
      <c r="E6187" s="25">
        <v>0</v>
      </c>
    </row>
    <row r="6188" spans="1:5" ht="26" x14ac:dyDescent="0.3">
      <c r="A6188" s="17" t="str">
        <f>"J1670"</f>
        <v>J1670</v>
      </c>
      <c r="B6188" s="5" t="s">
        <v>6194</v>
      </c>
      <c r="C6188" s="17">
        <v>20230101</v>
      </c>
      <c r="D6188" s="17">
        <v>22991231</v>
      </c>
      <c r="E6188" s="25">
        <v>552.66</v>
      </c>
    </row>
    <row r="6189" spans="1:5" x14ac:dyDescent="0.3">
      <c r="A6189" s="17" t="str">
        <f>"J1700"</f>
        <v>J1700</v>
      </c>
      <c r="B6189" s="5" t="s">
        <v>6195</v>
      </c>
      <c r="C6189" s="17">
        <v>20230101</v>
      </c>
      <c r="D6189" s="17">
        <v>22991231</v>
      </c>
      <c r="E6189" s="25">
        <v>0</v>
      </c>
    </row>
    <row r="6190" spans="1:5" ht="26" x14ac:dyDescent="0.3">
      <c r="A6190" s="17" t="str">
        <f>"J1710"</f>
        <v>J1710</v>
      </c>
      <c r="B6190" s="5" t="s">
        <v>6196</v>
      </c>
      <c r="C6190" s="17">
        <v>20230101</v>
      </c>
      <c r="D6190" s="17">
        <v>22991231</v>
      </c>
      <c r="E6190" s="25">
        <v>0</v>
      </c>
    </row>
    <row r="6191" spans="1:5" ht="26" x14ac:dyDescent="0.3">
      <c r="A6191" s="17" t="str">
        <f>"J1720"</f>
        <v>J1720</v>
      </c>
      <c r="B6191" s="5" t="s">
        <v>6197</v>
      </c>
      <c r="C6191" s="17">
        <v>20230101</v>
      </c>
      <c r="D6191" s="17">
        <v>22991231</v>
      </c>
      <c r="E6191" s="25">
        <v>0</v>
      </c>
    </row>
    <row r="6192" spans="1:5" ht="26" x14ac:dyDescent="0.3">
      <c r="A6192" s="17" t="str">
        <f>"J1726"</f>
        <v>J1726</v>
      </c>
      <c r="B6192" s="5" t="s">
        <v>6198</v>
      </c>
      <c r="C6192" s="17">
        <v>20230101</v>
      </c>
      <c r="D6192" s="17">
        <v>22991231</v>
      </c>
      <c r="E6192" s="25">
        <v>11.54</v>
      </c>
    </row>
    <row r="6193" spans="1:5" ht="26" x14ac:dyDescent="0.3">
      <c r="A6193" s="17" t="str">
        <f>"J1729"</f>
        <v>J1729</v>
      </c>
      <c r="B6193" s="5" t="s">
        <v>6199</v>
      </c>
      <c r="C6193" s="17">
        <v>20230101</v>
      </c>
      <c r="D6193" s="17">
        <v>22991231</v>
      </c>
      <c r="E6193" s="25">
        <v>17.36</v>
      </c>
    </row>
    <row r="6194" spans="1:5" x14ac:dyDescent="0.3">
      <c r="A6194" s="17" t="str">
        <f>"J1730"</f>
        <v>J1730</v>
      </c>
      <c r="B6194" s="5" t="s">
        <v>6200</v>
      </c>
      <c r="C6194" s="17">
        <v>20230101</v>
      </c>
      <c r="D6194" s="17">
        <v>22991231</v>
      </c>
      <c r="E6194" s="25">
        <v>0</v>
      </c>
    </row>
    <row r="6195" spans="1:5" x14ac:dyDescent="0.3">
      <c r="A6195" s="17" t="str">
        <f>"J1738"</f>
        <v>J1738</v>
      </c>
      <c r="B6195" s="5" t="s">
        <v>6201</v>
      </c>
      <c r="C6195" s="17">
        <v>20230101</v>
      </c>
      <c r="D6195" s="17">
        <v>22991231</v>
      </c>
      <c r="E6195" s="25">
        <v>0</v>
      </c>
    </row>
    <row r="6196" spans="1:5" x14ac:dyDescent="0.3">
      <c r="A6196" s="17" t="str">
        <f>"J1740"</f>
        <v>J1740</v>
      </c>
      <c r="B6196" s="5" t="s">
        <v>6202</v>
      </c>
      <c r="C6196" s="17">
        <v>20230101</v>
      </c>
      <c r="D6196" s="17">
        <v>22991231</v>
      </c>
      <c r="E6196" s="25">
        <v>0</v>
      </c>
    </row>
    <row r="6197" spans="1:5" x14ac:dyDescent="0.3">
      <c r="A6197" s="17" t="str">
        <f>"J1741"</f>
        <v>J1741</v>
      </c>
      <c r="B6197" s="5" t="s">
        <v>6203</v>
      </c>
      <c r="C6197" s="17">
        <v>20230101</v>
      </c>
      <c r="D6197" s="17">
        <v>22991231</v>
      </c>
      <c r="E6197" s="25">
        <v>0</v>
      </c>
    </row>
    <row r="6198" spans="1:5" x14ac:dyDescent="0.3">
      <c r="A6198" s="17" t="str">
        <f>"J1742"</f>
        <v>J1742</v>
      </c>
      <c r="B6198" s="5" t="s">
        <v>6204</v>
      </c>
      <c r="C6198" s="17">
        <v>20230101</v>
      </c>
      <c r="D6198" s="17">
        <v>22991231</v>
      </c>
      <c r="E6198" s="25">
        <v>181.72</v>
      </c>
    </row>
    <row r="6199" spans="1:5" x14ac:dyDescent="0.3">
      <c r="A6199" s="17" t="str">
        <f>"J1743"</f>
        <v>J1743</v>
      </c>
      <c r="B6199" s="5" t="s">
        <v>6205</v>
      </c>
      <c r="C6199" s="17">
        <v>20230101</v>
      </c>
      <c r="D6199" s="17">
        <v>22991231</v>
      </c>
      <c r="E6199" s="25">
        <v>518.57000000000005</v>
      </c>
    </row>
    <row r="6200" spans="1:5" x14ac:dyDescent="0.3">
      <c r="A6200" s="17" t="str">
        <f>"J1744"</f>
        <v>J1744</v>
      </c>
      <c r="B6200" s="5" t="s">
        <v>6206</v>
      </c>
      <c r="C6200" s="17">
        <v>20230101</v>
      </c>
      <c r="D6200" s="17">
        <v>22991231</v>
      </c>
      <c r="E6200" s="25">
        <v>163.19</v>
      </c>
    </row>
    <row r="6201" spans="1:5" x14ac:dyDescent="0.3">
      <c r="A6201" s="17" t="str">
        <f>"J1745"</f>
        <v>J1745</v>
      </c>
      <c r="B6201" s="5" t="s">
        <v>6207</v>
      </c>
      <c r="C6201" s="17">
        <v>20230101</v>
      </c>
      <c r="D6201" s="17">
        <v>22991231</v>
      </c>
      <c r="E6201" s="25">
        <v>30.72</v>
      </c>
    </row>
    <row r="6202" spans="1:5" x14ac:dyDescent="0.3">
      <c r="A6202" s="17" t="str">
        <f>"J1746"</f>
        <v>J1746</v>
      </c>
      <c r="B6202" s="5" t="s">
        <v>6208</v>
      </c>
      <c r="C6202" s="17">
        <v>20230101</v>
      </c>
      <c r="D6202" s="17">
        <v>22991231</v>
      </c>
      <c r="E6202" s="25">
        <v>71.27</v>
      </c>
    </row>
    <row r="6203" spans="1:5" x14ac:dyDescent="0.3">
      <c r="A6203" s="17" t="str">
        <f>"J1747"</f>
        <v>J1747</v>
      </c>
      <c r="B6203" s="5" t="s">
        <v>6209</v>
      </c>
      <c r="C6203" s="17">
        <v>20240101</v>
      </c>
      <c r="D6203" s="17">
        <v>22991231</v>
      </c>
      <c r="E6203" s="25">
        <v>57.52</v>
      </c>
    </row>
    <row r="6204" spans="1:5" x14ac:dyDescent="0.3">
      <c r="A6204" s="17" t="str">
        <f>"J1750"</f>
        <v>J1750</v>
      </c>
      <c r="B6204" s="5" t="s">
        <v>6210</v>
      </c>
      <c r="C6204" s="17">
        <v>20230101</v>
      </c>
      <c r="D6204" s="17">
        <v>22991231</v>
      </c>
      <c r="E6204" s="25">
        <v>16.54</v>
      </c>
    </row>
    <row r="6205" spans="1:5" x14ac:dyDescent="0.3">
      <c r="A6205" s="17" t="str">
        <f>"J1756"</f>
        <v>J1756</v>
      </c>
      <c r="B6205" s="5" t="s">
        <v>6211</v>
      </c>
      <c r="C6205" s="17">
        <v>20230101</v>
      </c>
      <c r="D6205" s="17">
        <v>22991231</v>
      </c>
      <c r="E6205" s="25">
        <v>0</v>
      </c>
    </row>
    <row r="6206" spans="1:5" x14ac:dyDescent="0.3">
      <c r="A6206" s="17" t="str">
        <f>"J1786"</f>
        <v>J1786</v>
      </c>
      <c r="B6206" s="5" t="s">
        <v>6212</v>
      </c>
      <c r="C6206" s="17">
        <v>20230101</v>
      </c>
      <c r="D6206" s="17">
        <v>22991231</v>
      </c>
      <c r="E6206" s="25">
        <v>42.05</v>
      </c>
    </row>
    <row r="6207" spans="1:5" x14ac:dyDescent="0.3">
      <c r="A6207" s="17" t="str">
        <f>"J1790"</f>
        <v>J1790</v>
      </c>
      <c r="B6207" s="5" t="s">
        <v>6213</v>
      </c>
      <c r="C6207" s="17">
        <v>20230101</v>
      </c>
      <c r="D6207" s="17">
        <v>22991231</v>
      </c>
      <c r="E6207" s="25">
        <v>0</v>
      </c>
    </row>
    <row r="6208" spans="1:5" x14ac:dyDescent="0.3">
      <c r="A6208" s="17" t="str">
        <f>"J1800"</f>
        <v>J1800</v>
      </c>
      <c r="B6208" s="5" t="s">
        <v>6214</v>
      </c>
      <c r="C6208" s="17">
        <v>20230101</v>
      </c>
      <c r="D6208" s="17">
        <v>22991231</v>
      </c>
      <c r="E6208" s="25">
        <v>0</v>
      </c>
    </row>
    <row r="6209" spans="1:5" x14ac:dyDescent="0.3">
      <c r="A6209" s="17" t="str">
        <f>"J1805"</f>
        <v>J1805</v>
      </c>
      <c r="B6209" s="5" t="s">
        <v>6215</v>
      </c>
      <c r="C6209" s="17">
        <v>20240101</v>
      </c>
      <c r="D6209" s="17">
        <v>22991231</v>
      </c>
      <c r="E6209" s="25">
        <v>0.25</v>
      </c>
    </row>
    <row r="6210" spans="1:5" ht="39" x14ac:dyDescent="0.3">
      <c r="A6210" s="17" t="str">
        <f>"J1806"</f>
        <v>J1806</v>
      </c>
      <c r="B6210" s="5" t="s">
        <v>6216</v>
      </c>
      <c r="C6210" s="17">
        <v>20240101</v>
      </c>
      <c r="D6210" s="17">
        <v>22991231</v>
      </c>
      <c r="E6210" s="25">
        <v>0.43</v>
      </c>
    </row>
    <row r="6211" spans="1:5" ht="26" x14ac:dyDescent="0.3">
      <c r="A6211" s="17" t="str">
        <f>"J1811"</f>
        <v>J1811</v>
      </c>
      <c r="B6211" s="5" t="s">
        <v>6217</v>
      </c>
      <c r="C6211" s="17">
        <v>20240101</v>
      </c>
      <c r="D6211" s="17">
        <v>22991231</v>
      </c>
      <c r="E6211" s="25">
        <v>6.5</v>
      </c>
    </row>
    <row r="6212" spans="1:5" x14ac:dyDescent="0.3">
      <c r="A6212" s="17" t="str">
        <f>"J1812"</f>
        <v>J1812</v>
      </c>
      <c r="B6212" s="5" t="s">
        <v>6218</v>
      </c>
      <c r="C6212" s="17">
        <v>20240101</v>
      </c>
      <c r="D6212" s="17">
        <v>22991231</v>
      </c>
      <c r="E6212" s="25">
        <v>0</v>
      </c>
    </row>
    <row r="6213" spans="1:5" ht="26" x14ac:dyDescent="0.3">
      <c r="A6213" s="17" t="str">
        <f>"J1813"</f>
        <v>J1813</v>
      </c>
      <c r="B6213" s="5" t="s">
        <v>6219</v>
      </c>
      <c r="C6213" s="17">
        <v>20240101</v>
      </c>
      <c r="D6213" s="17">
        <v>22991231</v>
      </c>
      <c r="E6213" s="25">
        <v>14.87</v>
      </c>
    </row>
    <row r="6214" spans="1:5" x14ac:dyDescent="0.3">
      <c r="A6214" s="17" t="str">
        <f>"J1814"</f>
        <v>J1814</v>
      </c>
      <c r="B6214" s="5" t="s">
        <v>6220</v>
      </c>
      <c r="C6214" s="17">
        <v>20240101</v>
      </c>
      <c r="D6214" s="17">
        <v>22991231</v>
      </c>
      <c r="E6214" s="25">
        <v>0</v>
      </c>
    </row>
    <row r="6215" spans="1:5" x14ac:dyDescent="0.3">
      <c r="A6215" s="17" t="str">
        <f>"J1815"</f>
        <v>J1815</v>
      </c>
      <c r="B6215" s="5" t="s">
        <v>6221</v>
      </c>
      <c r="C6215" s="17">
        <v>20230101</v>
      </c>
      <c r="D6215" s="17">
        <v>22991231</v>
      </c>
      <c r="E6215" s="25">
        <v>0</v>
      </c>
    </row>
    <row r="6216" spans="1:5" ht="26" x14ac:dyDescent="0.3">
      <c r="A6216" s="17" t="str">
        <f>"J1817"</f>
        <v>J1817</v>
      </c>
      <c r="B6216" s="5" t="s">
        <v>6222</v>
      </c>
      <c r="C6216" s="17">
        <v>20230101</v>
      </c>
      <c r="D6216" s="17">
        <v>22991231</v>
      </c>
      <c r="E6216" s="25">
        <v>0</v>
      </c>
    </row>
    <row r="6217" spans="1:5" x14ac:dyDescent="0.3">
      <c r="A6217" s="17" t="str">
        <f>"J1823"</f>
        <v>J1823</v>
      </c>
      <c r="B6217" s="5" t="s">
        <v>6223</v>
      </c>
      <c r="C6217" s="17">
        <v>20230101</v>
      </c>
      <c r="D6217" s="17">
        <v>22991231</v>
      </c>
      <c r="E6217" s="25">
        <v>452.27</v>
      </c>
    </row>
    <row r="6218" spans="1:5" x14ac:dyDescent="0.3">
      <c r="A6218" s="17" t="str">
        <f>"J1826"</f>
        <v>J1826</v>
      </c>
      <c r="B6218" s="5" t="s">
        <v>6224</v>
      </c>
      <c r="C6218" s="17">
        <v>20230101</v>
      </c>
      <c r="D6218" s="17">
        <v>22991231</v>
      </c>
      <c r="E6218" s="25">
        <v>1825</v>
      </c>
    </row>
    <row r="6219" spans="1:5" ht="52" x14ac:dyDescent="0.3">
      <c r="A6219" s="17" t="str">
        <f>"J1830"</f>
        <v>J1830</v>
      </c>
      <c r="B6219" s="5" t="s">
        <v>6225</v>
      </c>
      <c r="C6219" s="17">
        <v>20230101</v>
      </c>
      <c r="D6219" s="17">
        <v>22991231</v>
      </c>
      <c r="E6219" s="25">
        <v>0</v>
      </c>
    </row>
    <row r="6220" spans="1:5" x14ac:dyDescent="0.3">
      <c r="A6220" s="17" t="str">
        <f>"J1833"</f>
        <v>J1833</v>
      </c>
      <c r="B6220" s="5" t="s">
        <v>6226</v>
      </c>
      <c r="C6220" s="17">
        <v>20230101</v>
      </c>
      <c r="D6220" s="17">
        <v>22991231</v>
      </c>
      <c r="E6220" s="25">
        <v>0.9</v>
      </c>
    </row>
    <row r="6221" spans="1:5" x14ac:dyDescent="0.3">
      <c r="A6221" s="17" t="str">
        <f>"J1835"</f>
        <v>J1835</v>
      </c>
      <c r="B6221" s="5" t="s">
        <v>6227</v>
      </c>
      <c r="C6221" s="17">
        <v>20230101</v>
      </c>
      <c r="D6221" s="17">
        <v>22991231</v>
      </c>
      <c r="E6221" s="25">
        <v>0</v>
      </c>
    </row>
    <row r="6222" spans="1:5" x14ac:dyDescent="0.3">
      <c r="A6222" s="17" t="str">
        <f>"J1836"</f>
        <v>J1836</v>
      </c>
      <c r="B6222" s="5" t="s">
        <v>6228</v>
      </c>
      <c r="C6222" s="17">
        <v>20240101</v>
      </c>
      <c r="D6222" s="17">
        <v>22991231</v>
      </c>
      <c r="E6222" s="25">
        <v>0.02</v>
      </c>
    </row>
    <row r="6223" spans="1:5" ht="26" x14ac:dyDescent="0.3">
      <c r="A6223" s="17" t="str">
        <f>"J1840"</f>
        <v>J1840</v>
      </c>
      <c r="B6223" s="5" t="s">
        <v>6229</v>
      </c>
      <c r="C6223" s="17">
        <v>20230101</v>
      </c>
      <c r="D6223" s="17">
        <v>20240331</v>
      </c>
      <c r="E6223" s="25">
        <v>0</v>
      </c>
    </row>
    <row r="6224" spans="1:5" ht="26" x14ac:dyDescent="0.3">
      <c r="A6224" s="17" t="str">
        <f>"J1850"</f>
        <v>J1850</v>
      </c>
      <c r="B6224" s="5" t="s">
        <v>6230</v>
      </c>
      <c r="C6224" s="17">
        <v>20230101</v>
      </c>
      <c r="D6224" s="17">
        <v>20240331</v>
      </c>
      <c r="E6224" s="25">
        <v>0</v>
      </c>
    </row>
    <row r="6225" spans="1:5" x14ac:dyDescent="0.3">
      <c r="A6225" s="17" t="str">
        <f>"J1885"</f>
        <v>J1885</v>
      </c>
      <c r="B6225" s="5" t="s">
        <v>6231</v>
      </c>
      <c r="C6225" s="17">
        <v>20230101</v>
      </c>
      <c r="D6225" s="17">
        <v>22991231</v>
      </c>
      <c r="E6225" s="25">
        <v>0</v>
      </c>
    </row>
    <row r="6226" spans="1:5" x14ac:dyDescent="0.3">
      <c r="A6226" s="17" t="str">
        <f>"J1890"</f>
        <v>J1890</v>
      </c>
      <c r="B6226" s="5" t="s">
        <v>6232</v>
      </c>
      <c r="C6226" s="17">
        <v>20230101</v>
      </c>
      <c r="D6226" s="17">
        <v>22991231</v>
      </c>
      <c r="E6226" s="25">
        <v>0</v>
      </c>
    </row>
    <row r="6227" spans="1:5" x14ac:dyDescent="0.3">
      <c r="A6227" s="17" t="str">
        <f>"J1920"</f>
        <v>J1920</v>
      </c>
      <c r="B6227" s="5" t="s">
        <v>6233</v>
      </c>
      <c r="C6227" s="17">
        <v>20240101</v>
      </c>
      <c r="D6227" s="17">
        <v>22991231</v>
      </c>
      <c r="E6227" s="25">
        <v>0.18</v>
      </c>
    </row>
    <row r="6228" spans="1:5" ht="26" x14ac:dyDescent="0.3">
      <c r="A6228" s="17" t="str">
        <f>"J1921"</f>
        <v>J1921</v>
      </c>
      <c r="B6228" s="5" t="s">
        <v>6234</v>
      </c>
      <c r="C6228" s="17">
        <v>20240101</v>
      </c>
      <c r="D6228" s="17">
        <v>22991231</v>
      </c>
      <c r="E6228" s="25">
        <v>2.4500000000000002</v>
      </c>
    </row>
    <row r="6229" spans="1:5" x14ac:dyDescent="0.3">
      <c r="A6229" s="17" t="str">
        <f>"J1930"</f>
        <v>J1930</v>
      </c>
      <c r="B6229" s="5" t="s">
        <v>6235</v>
      </c>
      <c r="C6229" s="17">
        <v>20090101</v>
      </c>
      <c r="D6229" s="17">
        <v>22991231</v>
      </c>
      <c r="E6229" s="25">
        <v>46.27</v>
      </c>
    </row>
    <row r="6230" spans="1:5" x14ac:dyDescent="0.3">
      <c r="A6230" s="17" t="str">
        <f>"J1931"</f>
        <v>J1931</v>
      </c>
      <c r="B6230" s="5" t="s">
        <v>6236</v>
      </c>
      <c r="C6230" s="17">
        <v>20050101</v>
      </c>
      <c r="D6230" s="17">
        <v>22991231</v>
      </c>
      <c r="E6230" s="25">
        <v>35.76</v>
      </c>
    </row>
    <row r="6231" spans="1:5" x14ac:dyDescent="0.3">
      <c r="A6231" s="17" t="str">
        <f>"J1932"</f>
        <v>J1932</v>
      </c>
      <c r="B6231" s="5" t="s">
        <v>6237</v>
      </c>
      <c r="C6231" s="17">
        <v>20230101</v>
      </c>
      <c r="D6231" s="17">
        <v>22991231</v>
      </c>
      <c r="E6231" s="25">
        <v>46.59</v>
      </c>
    </row>
    <row r="6232" spans="1:5" x14ac:dyDescent="0.3">
      <c r="A6232" s="17" t="str">
        <f>"J1939"</f>
        <v>J1939</v>
      </c>
      <c r="B6232" s="5" t="s">
        <v>6238</v>
      </c>
      <c r="C6232" s="17">
        <v>20240101</v>
      </c>
      <c r="D6232" s="17">
        <v>22991231</v>
      </c>
      <c r="E6232" s="25">
        <v>0</v>
      </c>
    </row>
    <row r="6233" spans="1:5" x14ac:dyDescent="0.3">
      <c r="A6233" s="17" t="str">
        <f>"J1940"</f>
        <v>J1940</v>
      </c>
      <c r="B6233" s="5" t="s">
        <v>6239</v>
      </c>
      <c r="C6233" s="17">
        <v>20230101</v>
      </c>
      <c r="D6233" s="17">
        <v>22991231</v>
      </c>
      <c r="E6233" s="25">
        <v>0</v>
      </c>
    </row>
    <row r="6234" spans="1:5" ht="26" x14ac:dyDescent="0.3">
      <c r="A6234" s="17" t="str">
        <f>"J1943"</f>
        <v>J1943</v>
      </c>
      <c r="B6234" s="5" t="s">
        <v>6240</v>
      </c>
      <c r="C6234" s="17">
        <v>20230101</v>
      </c>
      <c r="D6234" s="17">
        <v>22991231</v>
      </c>
      <c r="E6234" s="25">
        <v>2.95</v>
      </c>
    </row>
    <row r="6235" spans="1:5" x14ac:dyDescent="0.3">
      <c r="A6235" s="17" t="str">
        <f>"J1944"</f>
        <v>J1944</v>
      </c>
      <c r="B6235" s="5" t="s">
        <v>6241</v>
      </c>
      <c r="C6235" s="17">
        <v>20230101</v>
      </c>
      <c r="D6235" s="17">
        <v>22991231</v>
      </c>
      <c r="E6235" s="25">
        <v>2.97</v>
      </c>
    </row>
    <row r="6236" spans="1:5" x14ac:dyDescent="0.3">
      <c r="A6236" s="17" t="str">
        <f>"J1945"</f>
        <v>J1945</v>
      </c>
      <c r="B6236" s="5" t="s">
        <v>6242</v>
      </c>
      <c r="C6236" s="17">
        <v>20060101</v>
      </c>
      <c r="D6236" s="17">
        <v>22991231</v>
      </c>
      <c r="E6236" s="25">
        <v>0</v>
      </c>
    </row>
    <row r="6237" spans="1:5" ht="26" x14ac:dyDescent="0.3">
      <c r="A6237" s="17" t="str">
        <f>"J1950"</f>
        <v>J1950</v>
      </c>
      <c r="B6237" s="5" t="s">
        <v>6243</v>
      </c>
      <c r="C6237" s="17">
        <v>20230101</v>
      </c>
      <c r="D6237" s="17">
        <v>22991231</v>
      </c>
      <c r="E6237" s="25">
        <v>1494.43</v>
      </c>
    </row>
    <row r="6238" spans="1:5" ht="26" x14ac:dyDescent="0.3">
      <c r="A6238" s="17" t="str">
        <f>"J1951"</f>
        <v>J1951</v>
      </c>
      <c r="B6238" s="5" t="s">
        <v>6244</v>
      </c>
      <c r="C6238" s="17">
        <v>20230101</v>
      </c>
      <c r="D6238" s="17">
        <v>22991231</v>
      </c>
      <c r="E6238" s="25">
        <v>125.91</v>
      </c>
    </row>
    <row r="6239" spans="1:5" x14ac:dyDescent="0.3">
      <c r="A6239" s="17" t="str">
        <f>"J1952"</f>
        <v>J1952</v>
      </c>
      <c r="B6239" s="5" t="s">
        <v>6245</v>
      </c>
      <c r="C6239" s="17">
        <v>20230101</v>
      </c>
      <c r="D6239" s="17">
        <v>22991231</v>
      </c>
      <c r="E6239" s="25">
        <v>57.12</v>
      </c>
    </row>
    <row r="6240" spans="1:5" x14ac:dyDescent="0.3">
      <c r="A6240" s="17" t="str">
        <f>"J1953"</f>
        <v>J1953</v>
      </c>
      <c r="B6240" s="5" t="s">
        <v>6246</v>
      </c>
      <c r="C6240" s="17">
        <v>20090101</v>
      </c>
      <c r="D6240" s="17">
        <v>22991231</v>
      </c>
      <c r="E6240" s="25">
        <v>0</v>
      </c>
    </row>
    <row r="6241" spans="1:5" ht="26" x14ac:dyDescent="0.3">
      <c r="A6241" s="17" t="str">
        <f>"J1954"</f>
        <v>J1954</v>
      </c>
      <c r="B6241" s="5" t="s">
        <v>6247</v>
      </c>
      <c r="C6241" s="17">
        <v>20240101</v>
      </c>
      <c r="D6241" s="17">
        <v>22991231</v>
      </c>
      <c r="E6241" s="25">
        <v>339.35</v>
      </c>
    </row>
    <row r="6242" spans="1:5" x14ac:dyDescent="0.3">
      <c r="A6242" s="17" t="str">
        <f>"J1956"</f>
        <v>J1956</v>
      </c>
      <c r="B6242" s="5" t="s">
        <v>6248</v>
      </c>
      <c r="C6242" s="17">
        <v>20230101</v>
      </c>
      <c r="D6242" s="17">
        <v>22991231</v>
      </c>
      <c r="E6242" s="25">
        <v>0</v>
      </c>
    </row>
    <row r="6243" spans="1:5" x14ac:dyDescent="0.3">
      <c r="A6243" s="17" t="str">
        <f>"J1960"</f>
        <v>J1960</v>
      </c>
      <c r="B6243" s="5" t="s">
        <v>6249</v>
      </c>
      <c r="C6243" s="17">
        <v>20230101</v>
      </c>
      <c r="D6243" s="17">
        <v>22991231</v>
      </c>
      <c r="E6243" s="25">
        <v>0</v>
      </c>
    </row>
    <row r="6244" spans="1:5" x14ac:dyDescent="0.3">
      <c r="A6244" s="17" t="str">
        <f>"J1961"</f>
        <v>J1961</v>
      </c>
      <c r="B6244" s="5" t="s">
        <v>6250</v>
      </c>
      <c r="C6244" s="17">
        <v>20240101</v>
      </c>
      <c r="D6244" s="17">
        <v>22991231</v>
      </c>
      <c r="E6244" s="25">
        <v>20.95</v>
      </c>
    </row>
    <row r="6245" spans="1:5" x14ac:dyDescent="0.3">
      <c r="A6245" s="17" t="str">
        <f>"J1980"</f>
        <v>J1980</v>
      </c>
      <c r="B6245" s="5" t="s">
        <v>6251</v>
      </c>
      <c r="C6245" s="17">
        <v>20230101</v>
      </c>
      <c r="D6245" s="17">
        <v>22991231</v>
      </c>
      <c r="E6245" s="25">
        <v>0</v>
      </c>
    </row>
    <row r="6246" spans="1:5" x14ac:dyDescent="0.3">
      <c r="A6246" s="17" t="str">
        <f>"J1990"</f>
        <v>J1990</v>
      </c>
      <c r="B6246" s="5" t="s">
        <v>6252</v>
      </c>
      <c r="C6246" s="17">
        <v>20230101</v>
      </c>
      <c r="D6246" s="17">
        <v>22991231</v>
      </c>
      <c r="E6246" s="25">
        <v>0</v>
      </c>
    </row>
    <row r="6247" spans="1:5" ht="26" x14ac:dyDescent="0.3">
      <c r="A6247" s="17" t="str">
        <f>"J2001"</f>
        <v>J2001</v>
      </c>
      <c r="B6247" s="5" t="s">
        <v>6253</v>
      </c>
      <c r="C6247" s="17">
        <v>20230101</v>
      </c>
      <c r="D6247" s="17">
        <v>22991231</v>
      </c>
      <c r="E6247" s="25">
        <v>0</v>
      </c>
    </row>
    <row r="6248" spans="1:5" x14ac:dyDescent="0.3">
      <c r="A6248" s="17" t="str">
        <f>"J2010"</f>
        <v>J2010</v>
      </c>
      <c r="B6248" s="5" t="s">
        <v>6254</v>
      </c>
      <c r="C6248" s="17">
        <v>20230101</v>
      </c>
      <c r="D6248" s="17">
        <v>22991231</v>
      </c>
      <c r="E6248" s="25">
        <v>0</v>
      </c>
    </row>
    <row r="6249" spans="1:5" x14ac:dyDescent="0.3">
      <c r="A6249" s="17" t="str">
        <f>"J2020"</f>
        <v>J2020</v>
      </c>
      <c r="B6249" s="5" t="s">
        <v>6255</v>
      </c>
      <c r="C6249" s="17">
        <v>20230101</v>
      </c>
      <c r="D6249" s="17">
        <v>22991231</v>
      </c>
      <c r="E6249" s="25">
        <v>0</v>
      </c>
    </row>
    <row r="6250" spans="1:5" ht="26" x14ac:dyDescent="0.3">
      <c r="A6250" s="17" t="str">
        <f>"J2021"</f>
        <v>J2021</v>
      </c>
      <c r="B6250" s="5" t="s">
        <v>6256</v>
      </c>
      <c r="C6250" s="17">
        <v>20240101</v>
      </c>
      <c r="D6250" s="17">
        <v>22991231</v>
      </c>
      <c r="E6250" s="25">
        <v>19.16</v>
      </c>
    </row>
    <row r="6251" spans="1:5" x14ac:dyDescent="0.3">
      <c r="A6251" s="17" t="str">
        <f>"J2060"</f>
        <v>J2060</v>
      </c>
      <c r="B6251" s="5" t="s">
        <v>6257</v>
      </c>
      <c r="C6251" s="17">
        <v>20230101</v>
      </c>
      <c r="D6251" s="17">
        <v>22991231</v>
      </c>
      <c r="E6251" s="25">
        <v>0</v>
      </c>
    </row>
    <row r="6252" spans="1:5" x14ac:dyDescent="0.3">
      <c r="A6252" s="17" t="str">
        <f>"J2062"</f>
        <v>J2062</v>
      </c>
      <c r="B6252" s="5" t="s">
        <v>6258</v>
      </c>
      <c r="C6252" s="17">
        <v>20230101</v>
      </c>
      <c r="D6252" s="17">
        <v>22991231</v>
      </c>
      <c r="E6252" s="25">
        <v>0</v>
      </c>
    </row>
    <row r="6253" spans="1:5" x14ac:dyDescent="0.3">
      <c r="A6253" s="17" t="str">
        <f>"J2150"</f>
        <v>J2150</v>
      </c>
      <c r="B6253" s="5" t="s">
        <v>6259</v>
      </c>
      <c r="C6253" s="17">
        <v>20230101</v>
      </c>
      <c r="D6253" s="17">
        <v>22991231</v>
      </c>
      <c r="E6253" s="25">
        <v>0</v>
      </c>
    </row>
    <row r="6254" spans="1:5" x14ac:dyDescent="0.3">
      <c r="A6254" s="17" t="str">
        <f>"J2170"</f>
        <v>J2170</v>
      </c>
      <c r="B6254" s="5" t="s">
        <v>6260</v>
      </c>
      <c r="C6254" s="17">
        <v>20230101</v>
      </c>
      <c r="D6254" s="17">
        <v>22991231</v>
      </c>
      <c r="E6254" s="25">
        <v>0</v>
      </c>
    </row>
    <row r="6255" spans="1:5" x14ac:dyDescent="0.3">
      <c r="A6255" s="17" t="str">
        <f>"J2175"</f>
        <v>J2175</v>
      </c>
      <c r="B6255" s="5" t="s">
        <v>6261</v>
      </c>
      <c r="C6255" s="17">
        <v>20230101</v>
      </c>
      <c r="D6255" s="17">
        <v>22991231</v>
      </c>
      <c r="E6255" s="25">
        <v>0</v>
      </c>
    </row>
    <row r="6256" spans="1:5" ht="26" x14ac:dyDescent="0.3">
      <c r="A6256" s="17" t="str">
        <f>"J2180"</f>
        <v>J2180</v>
      </c>
      <c r="B6256" s="5" t="s">
        <v>6262</v>
      </c>
      <c r="C6256" s="17">
        <v>20230101</v>
      </c>
      <c r="D6256" s="17">
        <v>22991231</v>
      </c>
      <c r="E6256" s="25">
        <v>0</v>
      </c>
    </row>
    <row r="6257" spans="1:5" x14ac:dyDescent="0.3">
      <c r="A6257" s="17" t="str">
        <f>"J2182"</f>
        <v>J2182</v>
      </c>
      <c r="B6257" s="5" t="s">
        <v>6263</v>
      </c>
      <c r="C6257" s="17">
        <v>20230101</v>
      </c>
      <c r="D6257" s="17">
        <v>22991231</v>
      </c>
      <c r="E6257" s="25">
        <v>29.14</v>
      </c>
    </row>
    <row r="6258" spans="1:5" ht="26" x14ac:dyDescent="0.3">
      <c r="A6258" s="17" t="str">
        <f>"J2184"</f>
        <v>J2184</v>
      </c>
      <c r="B6258" s="5" t="s">
        <v>6264</v>
      </c>
      <c r="C6258" s="17">
        <v>20240101</v>
      </c>
      <c r="D6258" s="17">
        <v>22991231</v>
      </c>
      <c r="E6258" s="25">
        <v>2.02</v>
      </c>
    </row>
    <row r="6259" spans="1:5" x14ac:dyDescent="0.3">
      <c r="A6259" s="17" t="str">
        <f>"J2185"</f>
        <v>J2185</v>
      </c>
      <c r="B6259" s="5" t="s">
        <v>6265</v>
      </c>
      <c r="C6259" s="17">
        <v>20230101</v>
      </c>
      <c r="D6259" s="17">
        <v>22991231</v>
      </c>
      <c r="E6259" s="25">
        <v>0</v>
      </c>
    </row>
    <row r="6260" spans="1:5" ht="26" x14ac:dyDescent="0.3">
      <c r="A6260" s="17" t="str">
        <f>"J2186"</f>
        <v>J2186</v>
      </c>
      <c r="B6260" s="5" t="s">
        <v>6266</v>
      </c>
      <c r="C6260" s="17">
        <v>20230101</v>
      </c>
      <c r="D6260" s="17">
        <v>22991231</v>
      </c>
      <c r="E6260" s="25">
        <v>1.99</v>
      </c>
    </row>
    <row r="6261" spans="1:5" ht="26" x14ac:dyDescent="0.3">
      <c r="A6261" s="17" t="str">
        <f>"J2210"</f>
        <v>J2210</v>
      </c>
      <c r="B6261" s="5" t="s">
        <v>6267</v>
      </c>
      <c r="C6261" s="17">
        <v>20230101</v>
      </c>
      <c r="D6261" s="17">
        <v>22991231</v>
      </c>
      <c r="E6261" s="25">
        <v>0</v>
      </c>
    </row>
    <row r="6262" spans="1:5" x14ac:dyDescent="0.3">
      <c r="A6262" s="17" t="str">
        <f>"J2212"</f>
        <v>J2212</v>
      </c>
      <c r="B6262" s="5" t="s">
        <v>6268</v>
      </c>
      <c r="C6262" s="17">
        <v>20230101</v>
      </c>
      <c r="D6262" s="17">
        <v>22991231</v>
      </c>
      <c r="E6262" s="25">
        <v>1.1499999999999999</v>
      </c>
    </row>
    <row r="6263" spans="1:5" ht="26" x14ac:dyDescent="0.3">
      <c r="A6263" s="17" t="str">
        <f>"J2247"</f>
        <v>J2247</v>
      </c>
      <c r="B6263" s="5" t="s">
        <v>6269</v>
      </c>
      <c r="C6263" s="17">
        <v>20240101</v>
      </c>
      <c r="D6263" s="17">
        <v>22991231</v>
      </c>
      <c r="E6263" s="25">
        <v>0.32</v>
      </c>
    </row>
    <row r="6264" spans="1:5" x14ac:dyDescent="0.3">
      <c r="A6264" s="17" t="str">
        <f>"J2248"</f>
        <v>J2248</v>
      </c>
      <c r="B6264" s="5" t="s">
        <v>6270</v>
      </c>
      <c r="C6264" s="17">
        <v>20230101</v>
      </c>
      <c r="D6264" s="17">
        <v>22991231</v>
      </c>
      <c r="E6264" s="25">
        <v>0</v>
      </c>
    </row>
    <row r="6265" spans="1:5" x14ac:dyDescent="0.3">
      <c r="A6265" s="17" t="str">
        <f>"J2249"</f>
        <v>J2249</v>
      </c>
      <c r="B6265" s="5" t="s">
        <v>6271</v>
      </c>
      <c r="C6265" s="17">
        <v>20240101</v>
      </c>
      <c r="D6265" s="17">
        <v>22991231</v>
      </c>
      <c r="E6265" s="25">
        <v>0</v>
      </c>
    </row>
    <row r="6266" spans="1:5" x14ac:dyDescent="0.3">
      <c r="A6266" s="17" t="str">
        <f>"J2250"</f>
        <v>J2250</v>
      </c>
      <c r="B6266" s="5" t="s">
        <v>6272</v>
      </c>
      <c r="C6266" s="17">
        <v>20230101</v>
      </c>
      <c r="D6266" s="17">
        <v>22991231</v>
      </c>
      <c r="E6266" s="25">
        <v>0</v>
      </c>
    </row>
    <row r="6267" spans="1:5" ht="39" x14ac:dyDescent="0.3">
      <c r="A6267" s="17" t="str">
        <f>"J2251"</f>
        <v>J2251</v>
      </c>
      <c r="B6267" s="5" t="s">
        <v>6273</v>
      </c>
      <c r="C6267" s="17">
        <v>20240101</v>
      </c>
      <c r="D6267" s="17">
        <v>22991231</v>
      </c>
      <c r="E6267" s="25">
        <v>0.27</v>
      </c>
    </row>
    <row r="6268" spans="1:5" x14ac:dyDescent="0.3">
      <c r="A6268" s="17" t="str">
        <f>"J2260"</f>
        <v>J2260</v>
      </c>
      <c r="B6268" s="5" t="s">
        <v>6274</v>
      </c>
      <c r="C6268" s="17">
        <v>20230101</v>
      </c>
      <c r="D6268" s="17">
        <v>22991231</v>
      </c>
      <c r="E6268" s="25">
        <v>0</v>
      </c>
    </row>
    <row r="6269" spans="1:5" x14ac:dyDescent="0.3">
      <c r="A6269" s="17" t="str">
        <f>"J2265"</f>
        <v>J2265</v>
      </c>
      <c r="B6269" s="5" t="s">
        <v>6275</v>
      </c>
      <c r="C6269" s="17">
        <v>20230101</v>
      </c>
      <c r="D6269" s="17">
        <v>22991231</v>
      </c>
      <c r="E6269" s="25">
        <v>2.36</v>
      </c>
    </row>
    <row r="6270" spans="1:5" x14ac:dyDescent="0.3">
      <c r="A6270" s="17" t="str">
        <f>"J2270"</f>
        <v>J2270</v>
      </c>
      <c r="B6270" s="5" t="s">
        <v>6276</v>
      </c>
      <c r="C6270" s="17">
        <v>20230101</v>
      </c>
      <c r="D6270" s="17">
        <v>22991231</v>
      </c>
      <c r="E6270" s="25">
        <v>0</v>
      </c>
    </row>
    <row r="6271" spans="1:5" ht="26" x14ac:dyDescent="0.3">
      <c r="A6271" s="17" t="str">
        <f>"J2272"</f>
        <v>J2272</v>
      </c>
      <c r="B6271" s="5" t="s">
        <v>6277</v>
      </c>
      <c r="C6271" s="17">
        <v>20240101</v>
      </c>
      <c r="D6271" s="17">
        <v>22991231</v>
      </c>
      <c r="E6271" s="25">
        <v>7.1</v>
      </c>
    </row>
    <row r="6272" spans="1:5" ht="26" x14ac:dyDescent="0.3">
      <c r="A6272" s="17" t="str">
        <f>"J2274"</f>
        <v>J2274</v>
      </c>
      <c r="B6272" s="5" t="s">
        <v>6278</v>
      </c>
      <c r="C6272" s="17">
        <v>20230101</v>
      </c>
      <c r="D6272" s="17">
        <v>22991231</v>
      </c>
      <c r="E6272" s="25">
        <v>0</v>
      </c>
    </row>
    <row r="6273" spans="1:5" x14ac:dyDescent="0.3">
      <c r="A6273" s="17" t="str">
        <f>"J2278"</f>
        <v>J2278</v>
      </c>
      <c r="B6273" s="5" t="s">
        <v>6279</v>
      </c>
      <c r="C6273" s="17">
        <v>20060101</v>
      </c>
      <c r="D6273" s="17">
        <v>22991231</v>
      </c>
      <c r="E6273" s="25">
        <v>8.6300000000000008</v>
      </c>
    </row>
    <row r="6274" spans="1:5" x14ac:dyDescent="0.3">
      <c r="A6274" s="17" t="str">
        <f>"J2280"</f>
        <v>J2280</v>
      </c>
      <c r="B6274" s="5" t="s">
        <v>6280</v>
      </c>
      <c r="C6274" s="17">
        <v>20230101</v>
      </c>
      <c r="D6274" s="17">
        <v>22991231</v>
      </c>
      <c r="E6274" s="25">
        <v>0</v>
      </c>
    </row>
    <row r="6275" spans="1:5" ht="26" x14ac:dyDescent="0.3">
      <c r="A6275" s="17" t="str">
        <f>"J2281"</f>
        <v>J2281</v>
      </c>
      <c r="B6275" s="5" t="s">
        <v>6281</v>
      </c>
      <c r="C6275" s="17">
        <v>20240101</v>
      </c>
      <c r="D6275" s="17">
        <v>22991231</v>
      </c>
      <c r="E6275" s="25">
        <v>5.55</v>
      </c>
    </row>
    <row r="6276" spans="1:5" x14ac:dyDescent="0.3">
      <c r="A6276" s="17" t="str">
        <f>"J2300"</f>
        <v>J2300</v>
      </c>
      <c r="B6276" s="5" t="s">
        <v>6282</v>
      </c>
      <c r="C6276" s="17">
        <v>20230101</v>
      </c>
      <c r="D6276" s="17">
        <v>22991231</v>
      </c>
      <c r="E6276" s="25">
        <v>0</v>
      </c>
    </row>
    <row r="6277" spans="1:5" x14ac:dyDescent="0.3">
      <c r="A6277" s="17" t="str">
        <f>"J2305"</f>
        <v>J2305</v>
      </c>
      <c r="B6277" s="5" t="s">
        <v>6283</v>
      </c>
      <c r="C6277" s="17">
        <v>20240101</v>
      </c>
      <c r="D6277" s="17">
        <v>22991231</v>
      </c>
      <c r="E6277" s="25">
        <v>1.23</v>
      </c>
    </row>
    <row r="6278" spans="1:5" x14ac:dyDescent="0.3">
      <c r="A6278" s="17" t="str">
        <f>"J2310"</f>
        <v>J2310</v>
      </c>
      <c r="B6278" s="5" t="s">
        <v>6284</v>
      </c>
      <c r="C6278" s="17">
        <v>20230101</v>
      </c>
      <c r="D6278" s="17">
        <v>22991231</v>
      </c>
      <c r="E6278" s="25">
        <v>0</v>
      </c>
    </row>
    <row r="6279" spans="1:5" x14ac:dyDescent="0.3">
      <c r="A6279" s="17" t="str">
        <f>"J2311"</f>
        <v>J2311</v>
      </c>
      <c r="B6279" s="5" t="s">
        <v>6285</v>
      </c>
      <c r="C6279" s="17">
        <v>20240101</v>
      </c>
      <c r="D6279" s="17">
        <v>22991231</v>
      </c>
      <c r="E6279" s="25">
        <v>5.5</v>
      </c>
    </row>
    <row r="6280" spans="1:5" x14ac:dyDescent="0.3">
      <c r="A6280" s="17" t="str">
        <f>"J2315"</f>
        <v>J2315</v>
      </c>
      <c r="B6280" s="5" t="s">
        <v>6286</v>
      </c>
      <c r="C6280" s="17">
        <v>20230101</v>
      </c>
      <c r="D6280" s="17">
        <v>22991231</v>
      </c>
      <c r="E6280" s="25">
        <v>3.78</v>
      </c>
    </row>
    <row r="6281" spans="1:5" x14ac:dyDescent="0.3">
      <c r="A6281" s="17" t="str">
        <f>"J2320"</f>
        <v>J2320</v>
      </c>
      <c r="B6281" s="5" t="s">
        <v>6287</v>
      </c>
      <c r="C6281" s="17">
        <v>20230101</v>
      </c>
      <c r="D6281" s="17">
        <v>22991231</v>
      </c>
      <c r="E6281" s="25">
        <v>0</v>
      </c>
    </row>
    <row r="6282" spans="1:5" x14ac:dyDescent="0.3">
      <c r="A6282" s="17" t="str">
        <f>"J2323"</f>
        <v>J2323</v>
      </c>
      <c r="B6282" s="5" t="s">
        <v>6288</v>
      </c>
      <c r="C6282" s="17">
        <v>20230101</v>
      </c>
      <c r="D6282" s="17">
        <v>22991231</v>
      </c>
      <c r="E6282" s="25">
        <v>23.35</v>
      </c>
    </row>
    <row r="6283" spans="1:5" x14ac:dyDescent="0.3">
      <c r="A6283" s="17" t="str">
        <f>"J2326"</f>
        <v>J2326</v>
      </c>
      <c r="B6283" s="5" t="s">
        <v>6289</v>
      </c>
      <c r="C6283" s="17">
        <v>20230101</v>
      </c>
      <c r="D6283" s="17">
        <v>22991231</v>
      </c>
      <c r="E6283" s="25">
        <v>1119.31</v>
      </c>
    </row>
    <row r="6284" spans="1:5" x14ac:dyDescent="0.3">
      <c r="A6284" s="17" t="str">
        <f>"J2327"</f>
        <v>J2327</v>
      </c>
      <c r="B6284" s="5" t="s">
        <v>6290</v>
      </c>
      <c r="C6284" s="17">
        <v>20230101</v>
      </c>
      <c r="D6284" s="17">
        <v>22991231</v>
      </c>
      <c r="E6284" s="25">
        <v>14.67</v>
      </c>
    </row>
    <row r="6285" spans="1:5" x14ac:dyDescent="0.3">
      <c r="A6285" s="17" t="str">
        <f>"J2329"</f>
        <v>J2329</v>
      </c>
      <c r="B6285" s="5" t="s">
        <v>6291</v>
      </c>
      <c r="C6285" s="17">
        <v>20240101</v>
      </c>
      <c r="D6285" s="17">
        <v>22991231</v>
      </c>
      <c r="E6285" s="25">
        <v>64.63</v>
      </c>
    </row>
    <row r="6286" spans="1:5" x14ac:dyDescent="0.3">
      <c r="A6286" s="17" t="str">
        <f>"J2350"</f>
        <v>J2350</v>
      </c>
      <c r="B6286" s="5" t="s">
        <v>6292</v>
      </c>
      <c r="C6286" s="17">
        <v>20190401</v>
      </c>
      <c r="D6286" s="17">
        <v>22991231</v>
      </c>
      <c r="E6286" s="25">
        <v>57.07</v>
      </c>
    </row>
    <row r="6287" spans="1:5" ht="26" x14ac:dyDescent="0.3">
      <c r="A6287" s="17" t="str">
        <f>"J2353"</f>
        <v>J2353</v>
      </c>
      <c r="B6287" s="5" t="s">
        <v>6293</v>
      </c>
      <c r="C6287" s="17">
        <v>20230101</v>
      </c>
      <c r="D6287" s="17">
        <v>22991231</v>
      </c>
      <c r="E6287" s="25">
        <v>201.37</v>
      </c>
    </row>
    <row r="6288" spans="1:5" ht="26" x14ac:dyDescent="0.3">
      <c r="A6288" s="17" t="str">
        <f>"J2354"</f>
        <v>J2354</v>
      </c>
      <c r="B6288" s="5" t="s">
        <v>6294</v>
      </c>
      <c r="C6288" s="17">
        <v>20230101</v>
      </c>
      <c r="D6288" s="17">
        <v>22991231</v>
      </c>
      <c r="E6288" s="25">
        <v>0</v>
      </c>
    </row>
    <row r="6289" spans="1:5" x14ac:dyDescent="0.3">
      <c r="A6289" s="17" t="str">
        <f>"J2355"</f>
        <v>J2355</v>
      </c>
      <c r="B6289" s="5" t="s">
        <v>6295</v>
      </c>
      <c r="C6289" s="17">
        <v>20230101</v>
      </c>
      <c r="D6289" s="17">
        <v>22991231</v>
      </c>
      <c r="E6289" s="25">
        <v>0</v>
      </c>
    </row>
    <row r="6290" spans="1:5" x14ac:dyDescent="0.3">
      <c r="A6290" s="17" t="str">
        <f>"J2356"</f>
        <v>J2356</v>
      </c>
      <c r="B6290" s="5" t="s">
        <v>6296</v>
      </c>
      <c r="C6290" s="17">
        <v>20230101</v>
      </c>
      <c r="D6290" s="17">
        <v>22991231</v>
      </c>
      <c r="E6290" s="25">
        <v>17.760000000000002</v>
      </c>
    </row>
    <row r="6291" spans="1:5" x14ac:dyDescent="0.3">
      <c r="A6291" s="17" t="str">
        <f>"J2357"</f>
        <v>J2357</v>
      </c>
      <c r="B6291" s="5" t="s">
        <v>6297</v>
      </c>
      <c r="C6291" s="17">
        <v>20050101</v>
      </c>
      <c r="D6291" s="17">
        <v>22991231</v>
      </c>
      <c r="E6291" s="25">
        <v>37.69</v>
      </c>
    </row>
    <row r="6292" spans="1:5" x14ac:dyDescent="0.3">
      <c r="A6292" s="17" t="str">
        <f>"J2358"</f>
        <v>J2358</v>
      </c>
      <c r="B6292" s="5" t="s">
        <v>6298</v>
      </c>
      <c r="C6292" s="17">
        <v>20230101</v>
      </c>
      <c r="D6292" s="17">
        <v>22991231</v>
      </c>
      <c r="E6292" s="25">
        <v>2.79</v>
      </c>
    </row>
    <row r="6293" spans="1:5" x14ac:dyDescent="0.3">
      <c r="A6293" s="17" t="str">
        <f>"J2359"</f>
        <v>J2359</v>
      </c>
      <c r="B6293" s="5" t="s">
        <v>6299</v>
      </c>
      <c r="C6293" s="17">
        <v>20240101</v>
      </c>
      <c r="D6293" s="17">
        <v>22991231</v>
      </c>
      <c r="E6293" s="25">
        <v>0.91</v>
      </c>
    </row>
    <row r="6294" spans="1:5" x14ac:dyDescent="0.3">
      <c r="A6294" s="17" t="str">
        <f>"J2360"</f>
        <v>J2360</v>
      </c>
      <c r="B6294" s="5" t="s">
        <v>6300</v>
      </c>
      <c r="C6294" s="17">
        <v>20230101</v>
      </c>
      <c r="D6294" s="17">
        <v>22991231</v>
      </c>
      <c r="E6294" s="25">
        <v>0</v>
      </c>
    </row>
    <row r="6295" spans="1:5" ht="26" x14ac:dyDescent="0.3">
      <c r="A6295" s="17" t="str">
        <f>"J2371"</f>
        <v>J2371</v>
      </c>
      <c r="B6295" s="5" t="s">
        <v>6301</v>
      </c>
      <c r="C6295" s="17">
        <v>20240101</v>
      </c>
      <c r="D6295" s="17">
        <v>22991231</v>
      </c>
      <c r="E6295" s="25">
        <v>0</v>
      </c>
    </row>
    <row r="6296" spans="1:5" ht="26" x14ac:dyDescent="0.3">
      <c r="A6296" s="17" t="str">
        <f>"J2372"</f>
        <v>J2372</v>
      </c>
      <c r="B6296" s="5" t="s">
        <v>6302</v>
      </c>
      <c r="C6296" s="17">
        <v>20240101</v>
      </c>
      <c r="D6296" s="17">
        <v>22991231</v>
      </c>
      <c r="E6296" s="25">
        <v>0.17</v>
      </c>
    </row>
    <row r="6297" spans="1:5" ht="26" x14ac:dyDescent="0.3">
      <c r="A6297" s="17" t="str">
        <f>"J2401"</f>
        <v>J2401</v>
      </c>
      <c r="B6297" s="5" t="s">
        <v>6303</v>
      </c>
      <c r="C6297" s="17">
        <v>20240101</v>
      </c>
      <c r="D6297" s="17">
        <v>22991231</v>
      </c>
      <c r="E6297" s="25">
        <v>0.04</v>
      </c>
    </row>
    <row r="6298" spans="1:5" ht="26" x14ac:dyDescent="0.3">
      <c r="A6298" s="17" t="str">
        <f>"J2402"</f>
        <v>J2402</v>
      </c>
      <c r="B6298" s="5" t="s">
        <v>6304</v>
      </c>
      <c r="C6298" s="17">
        <v>20240101</v>
      </c>
      <c r="D6298" s="17">
        <v>22991231</v>
      </c>
      <c r="E6298" s="25">
        <v>0</v>
      </c>
    </row>
    <row r="6299" spans="1:5" x14ac:dyDescent="0.3">
      <c r="A6299" s="17" t="str">
        <f>"J2403"</f>
        <v>J2403</v>
      </c>
      <c r="B6299" s="5" t="s">
        <v>6305</v>
      </c>
      <c r="C6299" s="17">
        <v>20240101</v>
      </c>
      <c r="D6299" s="17">
        <v>22991231</v>
      </c>
      <c r="E6299" s="25">
        <v>0.68</v>
      </c>
    </row>
    <row r="6300" spans="1:5" x14ac:dyDescent="0.3">
      <c r="A6300" s="17" t="str">
        <f>"J2404"</f>
        <v>J2404</v>
      </c>
      <c r="B6300" s="5" t="s">
        <v>6306</v>
      </c>
      <c r="C6300" s="17">
        <v>20240101</v>
      </c>
      <c r="D6300" s="17">
        <v>22991231</v>
      </c>
      <c r="E6300" s="25">
        <v>0</v>
      </c>
    </row>
    <row r="6301" spans="1:5" x14ac:dyDescent="0.3">
      <c r="A6301" s="17" t="str">
        <f>"J2405"</f>
        <v>J2405</v>
      </c>
      <c r="B6301" s="5" t="s">
        <v>6307</v>
      </c>
      <c r="C6301" s="17">
        <v>20230101</v>
      </c>
      <c r="D6301" s="17">
        <v>22991231</v>
      </c>
      <c r="E6301" s="25">
        <v>0</v>
      </c>
    </row>
    <row r="6302" spans="1:5" x14ac:dyDescent="0.3">
      <c r="A6302" s="17" t="str">
        <f>"J2406"</f>
        <v>J2406</v>
      </c>
      <c r="B6302" s="5" t="s">
        <v>6308</v>
      </c>
      <c r="C6302" s="17">
        <v>20230101</v>
      </c>
      <c r="D6302" s="17">
        <v>22991231</v>
      </c>
      <c r="E6302" s="25">
        <v>39.08</v>
      </c>
    </row>
    <row r="6303" spans="1:5" x14ac:dyDescent="0.3">
      <c r="A6303" s="17" t="str">
        <f>"J2407"</f>
        <v>J2407</v>
      </c>
      <c r="B6303" s="5" t="s">
        <v>6309</v>
      </c>
      <c r="C6303" s="17">
        <v>20230101</v>
      </c>
      <c r="D6303" s="17">
        <v>22991231</v>
      </c>
      <c r="E6303" s="25">
        <v>26.36</v>
      </c>
    </row>
    <row r="6304" spans="1:5" x14ac:dyDescent="0.3">
      <c r="A6304" s="17" t="str">
        <f>"J2410"</f>
        <v>J2410</v>
      </c>
      <c r="B6304" s="5" t="s">
        <v>6310</v>
      </c>
      <c r="C6304" s="17">
        <v>20230101</v>
      </c>
      <c r="D6304" s="17">
        <v>22991231</v>
      </c>
      <c r="E6304" s="25">
        <v>0</v>
      </c>
    </row>
    <row r="6305" spans="1:5" x14ac:dyDescent="0.3">
      <c r="A6305" s="17" t="str">
        <f>"J2425"</f>
        <v>J2425</v>
      </c>
      <c r="B6305" s="5" t="s">
        <v>6311</v>
      </c>
      <c r="C6305" s="17">
        <v>20060101</v>
      </c>
      <c r="D6305" s="17">
        <v>22991231</v>
      </c>
      <c r="E6305" s="25">
        <v>25.32</v>
      </c>
    </row>
    <row r="6306" spans="1:5" ht="26" x14ac:dyDescent="0.3">
      <c r="A6306" s="17" t="str">
        <f>"J2426"</f>
        <v>J2426</v>
      </c>
      <c r="B6306" s="5" t="s">
        <v>6312</v>
      </c>
      <c r="C6306" s="17">
        <v>20230101</v>
      </c>
      <c r="D6306" s="17">
        <v>22991231</v>
      </c>
      <c r="E6306" s="25">
        <v>13.68</v>
      </c>
    </row>
    <row r="6307" spans="1:5" ht="26" x14ac:dyDescent="0.3">
      <c r="A6307" s="17" t="str">
        <f>"J2427"</f>
        <v>J2427</v>
      </c>
      <c r="B6307" s="5" t="s">
        <v>6313</v>
      </c>
      <c r="C6307" s="17">
        <v>20240101</v>
      </c>
      <c r="D6307" s="17">
        <v>22991231</v>
      </c>
      <c r="E6307" s="25">
        <v>11.66</v>
      </c>
    </row>
    <row r="6308" spans="1:5" x14ac:dyDescent="0.3">
      <c r="A6308" s="17" t="str">
        <f>"J2430"</f>
        <v>J2430</v>
      </c>
      <c r="B6308" s="5" t="s">
        <v>6314</v>
      </c>
      <c r="C6308" s="17">
        <v>20230101</v>
      </c>
      <c r="D6308" s="17">
        <v>22991231</v>
      </c>
      <c r="E6308" s="25">
        <v>0</v>
      </c>
    </row>
    <row r="6309" spans="1:5" x14ac:dyDescent="0.3">
      <c r="A6309" s="17" t="str">
        <f>"J2440"</f>
        <v>J2440</v>
      </c>
      <c r="B6309" s="5" t="s">
        <v>6315</v>
      </c>
      <c r="C6309" s="17">
        <v>20230101</v>
      </c>
      <c r="D6309" s="17">
        <v>22991231</v>
      </c>
      <c r="E6309" s="25">
        <v>0</v>
      </c>
    </row>
    <row r="6310" spans="1:5" x14ac:dyDescent="0.3">
      <c r="A6310" s="17" t="str">
        <f>"J2460"</f>
        <v>J2460</v>
      </c>
      <c r="B6310" s="5" t="s">
        <v>6316</v>
      </c>
      <c r="C6310" s="17">
        <v>20230101</v>
      </c>
      <c r="D6310" s="17">
        <v>22991231</v>
      </c>
      <c r="E6310" s="25">
        <v>0</v>
      </c>
    </row>
    <row r="6311" spans="1:5" x14ac:dyDescent="0.3">
      <c r="A6311" s="17" t="str">
        <f>"J2469"</f>
        <v>J2469</v>
      </c>
      <c r="B6311" s="5" t="s">
        <v>6317</v>
      </c>
      <c r="C6311" s="17">
        <v>20050101</v>
      </c>
      <c r="D6311" s="17">
        <v>22991231</v>
      </c>
      <c r="E6311" s="25">
        <v>0</v>
      </c>
    </row>
    <row r="6312" spans="1:5" x14ac:dyDescent="0.3">
      <c r="A6312" s="17" t="str">
        <f>"J2501"</f>
        <v>J2501</v>
      </c>
      <c r="B6312" s="5" t="s">
        <v>6318</v>
      </c>
      <c r="C6312" s="17">
        <v>20230101</v>
      </c>
      <c r="D6312" s="17">
        <v>22991231</v>
      </c>
      <c r="E6312" s="25">
        <v>0</v>
      </c>
    </row>
    <row r="6313" spans="1:5" x14ac:dyDescent="0.3">
      <c r="A6313" s="17" t="str">
        <f>"J2502"</f>
        <v>J2502</v>
      </c>
      <c r="B6313" s="5" t="s">
        <v>6319</v>
      </c>
      <c r="C6313" s="17">
        <v>20230101</v>
      </c>
      <c r="D6313" s="17">
        <v>22991231</v>
      </c>
      <c r="E6313" s="25">
        <v>429.33</v>
      </c>
    </row>
    <row r="6314" spans="1:5" x14ac:dyDescent="0.3">
      <c r="A6314" s="17" t="str">
        <f>"J2503"</f>
        <v>J2503</v>
      </c>
      <c r="B6314" s="5" t="s">
        <v>6320</v>
      </c>
      <c r="C6314" s="17">
        <v>20230101</v>
      </c>
      <c r="D6314" s="17">
        <v>22991231</v>
      </c>
      <c r="E6314" s="25">
        <v>0</v>
      </c>
    </row>
    <row r="6315" spans="1:5" x14ac:dyDescent="0.3">
      <c r="A6315" s="17" t="str">
        <f>"J2504"</f>
        <v>J2504</v>
      </c>
      <c r="B6315" s="5" t="s">
        <v>6321</v>
      </c>
      <c r="C6315" s="17">
        <v>20230101</v>
      </c>
      <c r="D6315" s="17">
        <v>22991231</v>
      </c>
      <c r="E6315" s="25">
        <v>0</v>
      </c>
    </row>
    <row r="6316" spans="1:5" ht="26" x14ac:dyDescent="0.3">
      <c r="A6316" s="17" t="str">
        <f>"J2506"</f>
        <v>J2506</v>
      </c>
      <c r="B6316" s="5" t="s">
        <v>6322</v>
      </c>
      <c r="C6316" s="17">
        <v>20230101</v>
      </c>
      <c r="D6316" s="17">
        <v>22991231</v>
      </c>
      <c r="E6316" s="25">
        <v>48.41</v>
      </c>
    </row>
    <row r="6317" spans="1:5" x14ac:dyDescent="0.3">
      <c r="A6317" s="17" t="str">
        <f>"J2507"</f>
        <v>J2507</v>
      </c>
      <c r="B6317" s="5" t="s">
        <v>6323</v>
      </c>
      <c r="C6317" s="17">
        <v>20230101</v>
      </c>
      <c r="D6317" s="17">
        <v>22991231</v>
      </c>
      <c r="E6317" s="25">
        <v>3219.89</v>
      </c>
    </row>
    <row r="6318" spans="1:5" x14ac:dyDescent="0.3">
      <c r="A6318" s="17" t="str">
        <f>"J2508"</f>
        <v>J2508</v>
      </c>
      <c r="B6318" s="5" t="s">
        <v>6324</v>
      </c>
      <c r="C6318" s="17">
        <v>20240101</v>
      </c>
      <c r="D6318" s="17">
        <v>22991231</v>
      </c>
      <c r="E6318" s="25">
        <v>203.41</v>
      </c>
    </row>
    <row r="6319" spans="1:5" ht="26" x14ac:dyDescent="0.3">
      <c r="A6319" s="17" t="str">
        <f>"J2510"</f>
        <v>J2510</v>
      </c>
      <c r="B6319" s="5" t="s">
        <v>6325</v>
      </c>
      <c r="C6319" s="17">
        <v>20230101</v>
      </c>
      <c r="D6319" s="17">
        <v>22991231</v>
      </c>
      <c r="E6319" s="25">
        <v>39.1</v>
      </c>
    </row>
    <row r="6320" spans="1:5" x14ac:dyDescent="0.3">
      <c r="A6320" s="17" t="str">
        <f>"J2513"</f>
        <v>J2513</v>
      </c>
      <c r="B6320" s="5" t="s">
        <v>6326</v>
      </c>
      <c r="C6320" s="17">
        <v>20060101</v>
      </c>
      <c r="D6320" s="17">
        <v>22991231</v>
      </c>
      <c r="E6320" s="25">
        <v>0</v>
      </c>
    </row>
    <row r="6321" spans="1:5" x14ac:dyDescent="0.3">
      <c r="A6321" s="17" t="str">
        <f>"J2515"</f>
        <v>J2515</v>
      </c>
      <c r="B6321" s="5" t="s">
        <v>6327</v>
      </c>
      <c r="C6321" s="17">
        <v>20230101</v>
      </c>
      <c r="D6321" s="17">
        <v>22991231</v>
      </c>
      <c r="E6321" s="25">
        <v>0</v>
      </c>
    </row>
    <row r="6322" spans="1:5" ht="26" x14ac:dyDescent="0.3">
      <c r="A6322" s="17" t="str">
        <f>"J2540"</f>
        <v>J2540</v>
      </c>
      <c r="B6322" s="5" t="s">
        <v>6328</v>
      </c>
      <c r="C6322" s="17">
        <v>20230101</v>
      </c>
      <c r="D6322" s="17">
        <v>22991231</v>
      </c>
      <c r="E6322" s="25">
        <v>0</v>
      </c>
    </row>
    <row r="6323" spans="1:5" ht="26" x14ac:dyDescent="0.3">
      <c r="A6323" s="17" t="str">
        <f>"J2543"</f>
        <v>J2543</v>
      </c>
      <c r="B6323" s="5" t="s">
        <v>6329</v>
      </c>
      <c r="C6323" s="17">
        <v>20230101</v>
      </c>
      <c r="D6323" s="17">
        <v>22991231</v>
      </c>
      <c r="E6323" s="25">
        <v>0</v>
      </c>
    </row>
    <row r="6324" spans="1:5" x14ac:dyDescent="0.3">
      <c r="A6324" s="17" t="str">
        <f>"J2547"</f>
        <v>J2547</v>
      </c>
      <c r="B6324" s="5" t="s">
        <v>6330</v>
      </c>
      <c r="C6324" s="17">
        <v>20230101</v>
      </c>
      <c r="D6324" s="17">
        <v>22991231</v>
      </c>
      <c r="E6324" s="25">
        <v>1.6</v>
      </c>
    </row>
    <row r="6325" spans="1:5" x14ac:dyDescent="0.3">
      <c r="A6325" s="17" t="str">
        <f>"J2550"</f>
        <v>J2550</v>
      </c>
      <c r="B6325" s="5" t="s">
        <v>6331</v>
      </c>
      <c r="C6325" s="17">
        <v>20230101</v>
      </c>
      <c r="D6325" s="17">
        <v>22991231</v>
      </c>
      <c r="E6325" s="25">
        <v>0</v>
      </c>
    </row>
    <row r="6326" spans="1:5" x14ac:dyDescent="0.3">
      <c r="A6326" s="17" t="str">
        <f>"J2560"</f>
        <v>J2560</v>
      </c>
      <c r="B6326" s="5" t="s">
        <v>6332</v>
      </c>
      <c r="C6326" s="17">
        <v>20230101</v>
      </c>
      <c r="D6326" s="17">
        <v>22991231</v>
      </c>
      <c r="E6326" s="25">
        <v>0</v>
      </c>
    </row>
    <row r="6327" spans="1:5" x14ac:dyDescent="0.3">
      <c r="A6327" s="17" t="str">
        <f>"J2561"</f>
        <v>J2561</v>
      </c>
      <c r="B6327" s="5" t="s">
        <v>6333</v>
      </c>
      <c r="C6327" s="17">
        <v>20240101</v>
      </c>
      <c r="D6327" s="17">
        <v>22991231</v>
      </c>
      <c r="E6327" s="25">
        <v>0</v>
      </c>
    </row>
    <row r="6328" spans="1:5" x14ac:dyDescent="0.3">
      <c r="A6328" s="17" t="str">
        <f>"J2562"</f>
        <v>J2562</v>
      </c>
      <c r="B6328" s="5" t="s">
        <v>6334</v>
      </c>
      <c r="C6328" s="17">
        <v>20230101</v>
      </c>
      <c r="D6328" s="17">
        <v>22991231</v>
      </c>
      <c r="E6328" s="25">
        <v>165.13</v>
      </c>
    </row>
    <row r="6329" spans="1:5" x14ac:dyDescent="0.3">
      <c r="A6329" s="17" t="str">
        <f>"J2590"</f>
        <v>J2590</v>
      </c>
      <c r="B6329" s="5" t="s">
        <v>6335</v>
      </c>
      <c r="C6329" s="17">
        <v>20230101</v>
      </c>
      <c r="D6329" s="17">
        <v>22991231</v>
      </c>
      <c r="E6329" s="25">
        <v>0</v>
      </c>
    </row>
    <row r="6330" spans="1:5" x14ac:dyDescent="0.3">
      <c r="A6330" s="17" t="str">
        <f>"J2597"</f>
        <v>J2597</v>
      </c>
      <c r="B6330" s="5" t="s">
        <v>6336</v>
      </c>
      <c r="C6330" s="17">
        <v>20230101</v>
      </c>
      <c r="D6330" s="17">
        <v>22991231</v>
      </c>
      <c r="E6330" s="25">
        <v>6.05</v>
      </c>
    </row>
    <row r="6331" spans="1:5" x14ac:dyDescent="0.3">
      <c r="A6331" s="17" t="str">
        <f>"J2598"</f>
        <v>J2598</v>
      </c>
      <c r="B6331" s="5" t="s">
        <v>6337</v>
      </c>
      <c r="C6331" s="17">
        <v>20240101</v>
      </c>
      <c r="D6331" s="17">
        <v>22991231</v>
      </c>
      <c r="E6331" s="25">
        <v>1.74</v>
      </c>
    </row>
    <row r="6332" spans="1:5" ht="26" x14ac:dyDescent="0.3">
      <c r="A6332" s="17" t="str">
        <f>"J2599"</f>
        <v>J2599</v>
      </c>
      <c r="B6332" s="5" t="s">
        <v>6338</v>
      </c>
      <c r="C6332" s="17">
        <v>20240101</v>
      </c>
      <c r="D6332" s="17">
        <v>22991231</v>
      </c>
      <c r="E6332" s="25">
        <v>0.44</v>
      </c>
    </row>
    <row r="6333" spans="1:5" x14ac:dyDescent="0.3">
      <c r="A6333" s="17" t="str">
        <f>"J2650"</f>
        <v>J2650</v>
      </c>
      <c r="B6333" s="5" t="s">
        <v>6339</v>
      </c>
      <c r="C6333" s="17">
        <v>20230101</v>
      </c>
      <c r="D6333" s="17">
        <v>22991231</v>
      </c>
      <c r="E6333" s="25">
        <v>0</v>
      </c>
    </row>
    <row r="6334" spans="1:5" x14ac:dyDescent="0.3">
      <c r="A6334" s="17" t="str">
        <f>"J2670"</f>
        <v>J2670</v>
      </c>
      <c r="B6334" s="5" t="s">
        <v>6340</v>
      </c>
      <c r="C6334" s="17">
        <v>20230101</v>
      </c>
      <c r="D6334" s="17">
        <v>22991231</v>
      </c>
      <c r="E6334" s="25">
        <v>0</v>
      </c>
    </row>
    <row r="6335" spans="1:5" x14ac:dyDescent="0.3">
      <c r="A6335" s="17" t="str">
        <f>"J2675"</f>
        <v>J2675</v>
      </c>
      <c r="B6335" s="5" t="s">
        <v>6341</v>
      </c>
      <c r="C6335" s="17">
        <v>20230101</v>
      </c>
      <c r="D6335" s="17">
        <v>22991231</v>
      </c>
      <c r="E6335" s="25">
        <v>0</v>
      </c>
    </row>
    <row r="6336" spans="1:5" x14ac:dyDescent="0.3">
      <c r="A6336" s="17" t="str">
        <f>"J2679"</f>
        <v>J2679</v>
      </c>
      <c r="B6336" s="5" t="s">
        <v>6342</v>
      </c>
      <c r="C6336" s="17">
        <v>20240101</v>
      </c>
      <c r="D6336" s="17">
        <v>22991231</v>
      </c>
      <c r="E6336" s="25">
        <v>0</v>
      </c>
    </row>
    <row r="6337" spans="1:5" x14ac:dyDescent="0.3">
      <c r="A6337" s="17" t="str">
        <f>"J2680"</f>
        <v>J2680</v>
      </c>
      <c r="B6337" s="5" t="s">
        <v>6343</v>
      </c>
      <c r="C6337" s="17">
        <v>20230101</v>
      </c>
      <c r="D6337" s="17">
        <v>22991231</v>
      </c>
      <c r="E6337" s="25">
        <v>0</v>
      </c>
    </row>
    <row r="6338" spans="1:5" x14ac:dyDescent="0.3">
      <c r="A6338" s="17" t="str">
        <f>"J2690"</f>
        <v>J2690</v>
      </c>
      <c r="B6338" s="5" t="s">
        <v>6344</v>
      </c>
      <c r="C6338" s="17">
        <v>20230101</v>
      </c>
      <c r="D6338" s="17">
        <v>22991231</v>
      </c>
      <c r="E6338" s="25">
        <v>139.76</v>
      </c>
    </row>
    <row r="6339" spans="1:5" x14ac:dyDescent="0.3">
      <c r="A6339" s="17" t="str">
        <f>"J2700"</f>
        <v>J2700</v>
      </c>
      <c r="B6339" s="5" t="s">
        <v>6345</v>
      </c>
      <c r="C6339" s="17">
        <v>20230101</v>
      </c>
      <c r="D6339" s="17">
        <v>22991231</v>
      </c>
      <c r="E6339" s="25">
        <v>0</v>
      </c>
    </row>
    <row r="6340" spans="1:5" x14ac:dyDescent="0.3">
      <c r="A6340" s="17" t="str">
        <f>"J2704"</f>
        <v>J2704</v>
      </c>
      <c r="B6340" s="5" t="s">
        <v>6346</v>
      </c>
      <c r="C6340" s="17">
        <v>20230101</v>
      </c>
      <c r="D6340" s="17">
        <v>22991231</v>
      </c>
      <c r="E6340" s="25">
        <v>0</v>
      </c>
    </row>
    <row r="6341" spans="1:5" ht="26" x14ac:dyDescent="0.3">
      <c r="A6341" s="17" t="str">
        <f>"J2710"</f>
        <v>J2710</v>
      </c>
      <c r="B6341" s="5" t="s">
        <v>6347</v>
      </c>
      <c r="C6341" s="17">
        <v>20230101</v>
      </c>
      <c r="D6341" s="17">
        <v>22991231</v>
      </c>
      <c r="E6341" s="25">
        <v>0</v>
      </c>
    </row>
    <row r="6342" spans="1:5" x14ac:dyDescent="0.3">
      <c r="A6342" s="17" t="str">
        <f>"J2720"</f>
        <v>J2720</v>
      </c>
      <c r="B6342" s="5" t="s">
        <v>6348</v>
      </c>
      <c r="C6342" s="17">
        <v>20230101</v>
      </c>
      <c r="D6342" s="17">
        <v>22991231</v>
      </c>
      <c r="E6342" s="25">
        <v>0</v>
      </c>
    </row>
    <row r="6343" spans="1:5" ht="26" x14ac:dyDescent="0.3">
      <c r="A6343" s="17" t="str">
        <f>"J2724"</f>
        <v>J2724</v>
      </c>
      <c r="B6343" s="5" t="s">
        <v>6349</v>
      </c>
      <c r="C6343" s="17">
        <v>20230101</v>
      </c>
      <c r="D6343" s="17">
        <v>22991231</v>
      </c>
      <c r="E6343" s="25">
        <v>14.39</v>
      </c>
    </row>
    <row r="6344" spans="1:5" x14ac:dyDescent="0.3">
      <c r="A6344" s="17" t="str">
        <f>"J2725"</f>
        <v>J2725</v>
      </c>
      <c r="B6344" s="5" t="s">
        <v>6350</v>
      </c>
      <c r="C6344" s="17">
        <v>20230101</v>
      </c>
      <c r="D6344" s="17">
        <v>22991231</v>
      </c>
      <c r="E6344" s="25">
        <v>0</v>
      </c>
    </row>
    <row r="6345" spans="1:5" x14ac:dyDescent="0.3">
      <c r="A6345" s="17" t="str">
        <f>"J2730"</f>
        <v>J2730</v>
      </c>
      <c r="B6345" s="5" t="s">
        <v>6351</v>
      </c>
      <c r="C6345" s="17">
        <v>20230101</v>
      </c>
      <c r="D6345" s="17">
        <v>22991231</v>
      </c>
      <c r="E6345" s="25">
        <v>0</v>
      </c>
    </row>
    <row r="6346" spans="1:5" x14ac:dyDescent="0.3">
      <c r="A6346" s="17" t="str">
        <f>"J2760"</f>
        <v>J2760</v>
      </c>
      <c r="B6346" s="5" t="s">
        <v>6352</v>
      </c>
      <c r="C6346" s="17">
        <v>20230101</v>
      </c>
      <c r="D6346" s="17">
        <v>22991231</v>
      </c>
      <c r="E6346" s="25">
        <v>426.76</v>
      </c>
    </row>
    <row r="6347" spans="1:5" x14ac:dyDescent="0.3">
      <c r="A6347" s="17" t="str">
        <f>"J2765"</f>
        <v>J2765</v>
      </c>
      <c r="B6347" s="5" t="s">
        <v>6353</v>
      </c>
      <c r="C6347" s="17">
        <v>20230101</v>
      </c>
      <c r="D6347" s="17">
        <v>22991231</v>
      </c>
      <c r="E6347" s="25">
        <v>0</v>
      </c>
    </row>
    <row r="6348" spans="1:5" ht="26" x14ac:dyDescent="0.3">
      <c r="A6348" s="17" t="str">
        <f>"J2770"</f>
        <v>J2770</v>
      </c>
      <c r="B6348" s="5" t="s">
        <v>6354</v>
      </c>
      <c r="C6348" s="17">
        <v>20230101</v>
      </c>
      <c r="D6348" s="17">
        <v>22991231</v>
      </c>
      <c r="E6348" s="25">
        <v>471.82</v>
      </c>
    </row>
    <row r="6349" spans="1:5" x14ac:dyDescent="0.3">
      <c r="A6349" s="17" t="str">
        <f>"J2777"</f>
        <v>J2777</v>
      </c>
      <c r="B6349" s="5" t="s">
        <v>6355</v>
      </c>
      <c r="C6349" s="17">
        <v>20230101</v>
      </c>
      <c r="D6349" s="17">
        <v>22991231</v>
      </c>
      <c r="E6349" s="25">
        <v>34.47</v>
      </c>
    </row>
    <row r="6350" spans="1:5" x14ac:dyDescent="0.3">
      <c r="A6350" s="17" t="str">
        <f>"J2778"</f>
        <v>J2778</v>
      </c>
      <c r="B6350" s="5" t="s">
        <v>6356</v>
      </c>
      <c r="C6350" s="17">
        <v>20230101</v>
      </c>
      <c r="D6350" s="17">
        <v>22991231</v>
      </c>
      <c r="E6350" s="25">
        <v>179.14</v>
      </c>
    </row>
    <row r="6351" spans="1:5" ht="26" x14ac:dyDescent="0.3">
      <c r="A6351" s="17" t="str">
        <f>"J2779"</f>
        <v>J2779</v>
      </c>
      <c r="B6351" s="5" t="s">
        <v>6357</v>
      </c>
      <c r="C6351" s="17">
        <v>20230101</v>
      </c>
      <c r="D6351" s="17">
        <v>22991231</v>
      </c>
      <c r="E6351" s="25">
        <v>77.16</v>
      </c>
    </row>
    <row r="6352" spans="1:5" ht="26" x14ac:dyDescent="0.3">
      <c r="A6352" s="17" t="str">
        <f>"J2780"</f>
        <v>J2780</v>
      </c>
      <c r="B6352" s="5" t="s">
        <v>6358</v>
      </c>
      <c r="C6352" s="17">
        <v>20230101</v>
      </c>
      <c r="D6352" s="17">
        <v>20240630</v>
      </c>
      <c r="E6352" s="25">
        <v>0</v>
      </c>
    </row>
    <row r="6353" spans="1:5" x14ac:dyDescent="0.3">
      <c r="A6353" s="17" t="str">
        <f>"J2781"</f>
        <v>J2781</v>
      </c>
      <c r="B6353" s="5" t="s">
        <v>6359</v>
      </c>
      <c r="C6353" s="17">
        <v>20240101</v>
      </c>
      <c r="D6353" s="17">
        <v>22991231</v>
      </c>
      <c r="E6353" s="25">
        <v>144.66999999999999</v>
      </c>
    </row>
    <row r="6354" spans="1:5" x14ac:dyDescent="0.3">
      <c r="A6354" s="17" t="str">
        <f>"J2783"</f>
        <v>J2783</v>
      </c>
      <c r="B6354" s="5" t="s">
        <v>6360</v>
      </c>
      <c r="C6354" s="17">
        <v>20230101</v>
      </c>
      <c r="D6354" s="17">
        <v>22991231</v>
      </c>
      <c r="E6354" s="25">
        <v>350.8</v>
      </c>
    </row>
    <row r="6355" spans="1:5" x14ac:dyDescent="0.3">
      <c r="A6355" s="17" t="str">
        <f>"J2785"</f>
        <v>J2785</v>
      </c>
      <c r="B6355" s="5" t="s">
        <v>6361</v>
      </c>
      <c r="C6355" s="17">
        <v>20230101</v>
      </c>
      <c r="D6355" s="17">
        <v>22991231</v>
      </c>
      <c r="E6355" s="25">
        <v>0</v>
      </c>
    </row>
    <row r="6356" spans="1:5" x14ac:dyDescent="0.3">
      <c r="A6356" s="17" t="str">
        <f>"J2786"</f>
        <v>J2786</v>
      </c>
      <c r="B6356" s="5" t="s">
        <v>6362</v>
      </c>
      <c r="C6356" s="17">
        <v>20230101</v>
      </c>
      <c r="D6356" s="17">
        <v>22991231</v>
      </c>
      <c r="E6356" s="25">
        <v>9.7100000000000009</v>
      </c>
    </row>
    <row r="6357" spans="1:5" ht="26" x14ac:dyDescent="0.3">
      <c r="A6357" s="17" t="str">
        <f>"J2787"</f>
        <v>J2787</v>
      </c>
      <c r="B6357" s="5" t="s">
        <v>6363</v>
      </c>
      <c r="C6357" s="17">
        <v>20240101</v>
      </c>
      <c r="D6357" s="17">
        <v>22991231</v>
      </c>
      <c r="E6357" s="25">
        <v>0</v>
      </c>
    </row>
    <row r="6358" spans="1:5" ht="26" x14ac:dyDescent="0.3">
      <c r="A6358" s="17" t="str">
        <f>"J2788"</f>
        <v>J2788</v>
      </c>
      <c r="B6358" s="5" t="s">
        <v>6364</v>
      </c>
      <c r="C6358" s="17">
        <v>20230101</v>
      </c>
      <c r="D6358" s="17">
        <v>22991231</v>
      </c>
      <c r="E6358" s="25">
        <v>0</v>
      </c>
    </row>
    <row r="6359" spans="1:5" ht="26" x14ac:dyDescent="0.3">
      <c r="A6359" s="17" t="str">
        <f>"J2790"</f>
        <v>J2790</v>
      </c>
      <c r="B6359" s="5" t="s">
        <v>6365</v>
      </c>
      <c r="C6359" s="17">
        <v>20230101</v>
      </c>
      <c r="D6359" s="17">
        <v>22991231</v>
      </c>
      <c r="E6359" s="25">
        <v>0</v>
      </c>
    </row>
    <row r="6360" spans="1:5" ht="26" x14ac:dyDescent="0.3">
      <c r="A6360" s="17" t="str">
        <f>"J2791"</f>
        <v>J2791</v>
      </c>
      <c r="B6360" s="5" t="s">
        <v>6366</v>
      </c>
      <c r="C6360" s="17">
        <v>20230101</v>
      </c>
      <c r="D6360" s="17">
        <v>22991231</v>
      </c>
      <c r="E6360" s="25">
        <v>0</v>
      </c>
    </row>
    <row r="6361" spans="1:5" ht="26" x14ac:dyDescent="0.3">
      <c r="A6361" s="17" t="str">
        <f>"J2792"</f>
        <v>J2792</v>
      </c>
      <c r="B6361" s="5" t="s">
        <v>6367</v>
      </c>
      <c r="C6361" s="17">
        <v>20230101</v>
      </c>
      <c r="D6361" s="17">
        <v>22991231</v>
      </c>
      <c r="E6361" s="25">
        <v>31.48</v>
      </c>
    </row>
    <row r="6362" spans="1:5" x14ac:dyDescent="0.3">
      <c r="A6362" s="17" t="str">
        <f>"J2793"</f>
        <v>J2793</v>
      </c>
      <c r="B6362" s="5" t="s">
        <v>6368</v>
      </c>
      <c r="C6362" s="17">
        <v>20230101</v>
      </c>
      <c r="D6362" s="17">
        <v>22991231</v>
      </c>
      <c r="E6362" s="25">
        <v>0</v>
      </c>
    </row>
    <row r="6363" spans="1:5" x14ac:dyDescent="0.3">
      <c r="A6363" s="17" t="str">
        <f>"J2794"</f>
        <v>J2794</v>
      </c>
      <c r="B6363" s="5" t="s">
        <v>6369</v>
      </c>
      <c r="C6363" s="17">
        <v>20050101</v>
      </c>
      <c r="D6363" s="17">
        <v>22991231</v>
      </c>
      <c r="E6363" s="25">
        <v>11.61</v>
      </c>
    </row>
    <row r="6364" spans="1:5" x14ac:dyDescent="0.3">
      <c r="A6364" s="17" t="str">
        <f>"J2795"</f>
        <v>J2795</v>
      </c>
      <c r="B6364" s="5" t="s">
        <v>6370</v>
      </c>
      <c r="C6364" s="17">
        <v>20230101</v>
      </c>
      <c r="D6364" s="17">
        <v>22991231</v>
      </c>
      <c r="E6364" s="25">
        <v>0</v>
      </c>
    </row>
    <row r="6365" spans="1:5" x14ac:dyDescent="0.3">
      <c r="A6365" s="17" t="str">
        <f>"J2796"</f>
        <v>J2796</v>
      </c>
      <c r="B6365" s="5" t="s">
        <v>6371</v>
      </c>
      <c r="C6365" s="17">
        <v>20230101</v>
      </c>
      <c r="D6365" s="17">
        <v>22991231</v>
      </c>
      <c r="E6365" s="25">
        <v>91.72</v>
      </c>
    </row>
    <row r="6366" spans="1:5" x14ac:dyDescent="0.3">
      <c r="A6366" s="17" t="str">
        <f>"J2798"</f>
        <v>J2798</v>
      </c>
      <c r="B6366" s="5" t="s">
        <v>6372</v>
      </c>
      <c r="C6366" s="17">
        <v>20230101</v>
      </c>
      <c r="D6366" s="17">
        <v>22991231</v>
      </c>
      <c r="E6366" s="25">
        <v>11.1</v>
      </c>
    </row>
    <row r="6367" spans="1:5" x14ac:dyDescent="0.3">
      <c r="A6367" s="17" t="str">
        <f>"J2799"</f>
        <v>J2799</v>
      </c>
      <c r="B6367" s="5" t="s">
        <v>6373</v>
      </c>
      <c r="C6367" s="17">
        <v>20240101</v>
      </c>
      <c r="D6367" s="17">
        <v>22991231</v>
      </c>
      <c r="E6367" s="25">
        <v>23.59</v>
      </c>
    </row>
    <row r="6368" spans="1:5" x14ac:dyDescent="0.3">
      <c r="A6368" s="17" t="str">
        <f>"J2800"</f>
        <v>J2800</v>
      </c>
      <c r="B6368" s="5" t="s">
        <v>6374</v>
      </c>
      <c r="C6368" s="17">
        <v>20230101</v>
      </c>
      <c r="D6368" s="17">
        <v>22991231</v>
      </c>
      <c r="E6368" s="25">
        <v>0</v>
      </c>
    </row>
    <row r="6369" spans="1:5" x14ac:dyDescent="0.3">
      <c r="A6369" s="17" t="str">
        <f>"J2805"</f>
        <v>J2805</v>
      </c>
      <c r="B6369" s="5" t="s">
        <v>6375</v>
      </c>
      <c r="C6369" s="17">
        <v>20060101</v>
      </c>
      <c r="D6369" s="17">
        <v>22991231</v>
      </c>
      <c r="E6369" s="25">
        <v>0</v>
      </c>
    </row>
    <row r="6370" spans="1:5" ht="26" x14ac:dyDescent="0.3">
      <c r="A6370" s="17" t="str">
        <f>"J2806"</f>
        <v>J2806</v>
      </c>
      <c r="B6370" s="5" t="s">
        <v>6376</v>
      </c>
      <c r="C6370" s="17">
        <v>20240101</v>
      </c>
      <c r="D6370" s="17">
        <v>22991231</v>
      </c>
      <c r="E6370" s="25">
        <v>0</v>
      </c>
    </row>
    <row r="6371" spans="1:5" x14ac:dyDescent="0.3">
      <c r="A6371" s="17" t="str">
        <f>"J2810"</f>
        <v>J2810</v>
      </c>
      <c r="B6371" s="5" t="s">
        <v>6377</v>
      </c>
      <c r="C6371" s="17">
        <v>20230101</v>
      </c>
      <c r="D6371" s="17">
        <v>22991231</v>
      </c>
      <c r="E6371" s="25">
        <v>0</v>
      </c>
    </row>
    <row r="6372" spans="1:5" x14ac:dyDescent="0.3">
      <c r="A6372" s="17" t="str">
        <f>"J2820"</f>
        <v>J2820</v>
      </c>
      <c r="B6372" s="5" t="s">
        <v>6378</v>
      </c>
      <c r="C6372" s="17">
        <v>20230101</v>
      </c>
      <c r="D6372" s="17">
        <v>22991231</v>
      </c>
      <c r="E6372" s="25">
        <v>56.66</v>
      </c>
    </row>
    <row r="6373" spans="1:5" x14ac:dyDescent="0.3">
      <c r="A6373" s="17" t="str">
        <f>"J2840"</f>
        <v>J2840</v>
      </c>
      <c r="B6373" s="5" t="s">
        <v>6379</v>
      </c>
      <c r="C6373" s="17">
        <v>20230101</v>
      </c>
      <c r="D6373" s="17">
        <v>22991231</v>
      </c>
      <c r="E6373" s="25">
        <v>514.59</v>
      </c>
    </row>
    <row r="6374" spans="1:5" ht="26" x14ac:dyDescent="0.3">
      <c r="A6374" s="17" t="str">
        <f>"J2850"</f>
        <v>J2850</v>
      </c>
      <c r="B6374" s="5" t="s">
        <v>6380</v>
      </c>
      <c r="C6374" s="17">
        <v>20230101</v>
      </c>
      <c r="D6374" s="17">
        <v>22991231</v>
      </c>
      <c r="E6374" s="25">
        <v>39.869999999999997</v>
      </c>
    </row>
    <row r="6375" spans="1:5" x14ac:dyDescent="0.3">
      <c r="A6375" s="17" t="str">
        <f>"J2860"</f>
        <v>J2860</v>
      </c>
      <c r="B6375" s="5" t="s">
        <v>6381</v>
      </c>
      <c r="C6375" s="17">
        <v>20230101</v>
      </c>
      <c r="D6375" s="17">
        <v>22991231</v>
      </c>
      <c r="E6375" s="25">
        <v>142.26</v>
      </c>
    </row>
    <row r="6376" spans="1:5" x14ac:dyDescent="0.3">
      <c r="A6376" s="17" t="str">
        <f>"J2910"</f>
        <v>J2910</v>
      </c>
      <c r="B6376" s="5" t="s">
        <v>6382</v>
      </c>
      <c r="C6376" s="17">
        <v>20230101</v>
      </c>
      <c r="D6376" s="17">
        <v>22991231</v>
      </c>
      <c r="E6376" s="25">
        <v>0</v>
      </c>
    </row>
    <row r="6377" spans="1:5" ht="26" x14ac:dyDescent="0.3">
      <c r="A6377" s="17" t="str">
        <f>"J2916"</f>
        <v>J2916</v>
      </c>
      <c r="B6377" s="5" t="s">
        <v>6383</v>
      </c>
      <c r="C6377" s="17">
        <v>20230101</v>
      </c>
      <c r="D6377" s="17">
        <v>22991231</v>
      </c>
      <c r="E6377" s="25">
        <v>0</v>
      </c>
    </row>
    <row r="6378" spans="1:5" ht="26" x14ac:dyDescent="0.3">
      <c r="A6378" s="17" t="str">
        <f>"J2920"</f>
        <v>J2920</v>
      </c>
      <c r="B6378" s="5" t="s">
        <v>6384</v>
      </c>
      <c r="C6378" s="17">
        <v>20230101</v>
      </c>
      <c r="D6378" s="17">
        <v>20240331</v>
      </c>
      <c r="E6378" s="25">
        <v>0</v>
      </c>
    </row>
    <row r="6379" spans="1:5" ht="26" x14ac:dyDescent="0.3">
      <c r="A6379" s="17" t="str">
        <f>"J2930"</f>
        <v>J2930</v>
      </c>
      <c r="B6379" s="5" t="s">
        <v>6385</v>
      </c>
      <c r="C6379" s="17">
        <v>20230101</v>
      </c>
      <c r="D6379" s="17">
        <v>20240331</v>
      </c>
      <c r="E6379" s="25">
        <v>0</v>
      </c>
    </row>
    <row r="6380" spans="1:5" x14ac:dyDescent="0.3">
      <c r="A6380" s="17" t="str">
        <f>"J2940"</f>
        <v>J2940</v>
      </c>
      <c r="B6380" s="5" t="s">
        <v>6386</v>
      </c>
      <c r="C6380" s="17">
        <v>20230101</v>
      </c>
      <c r="D6380" s="17">
        <v>22991231</v>
      </c>
      <c r="E6380" s="25">
        <v>0</v>
      </c>
    </row>
    <row r="6381" spans="1:5" x14ac:dyDescent="0.3">
      <c r="A6381" s="17" t="str">
        <f>"J2941"</f>
        <v>J2941</v>
      </c>
      <c r="B6381" s="5" t="s">
        <v>6387</v>
      </c>
      <c r="C6381" s="17">
        <v>20230101</v>
      </c>
      <c r="D6381" s="17">
        <v>22991231</v>
      </c>
      <c r="E6381" s="25">
        <v>156.21</v>
      </c>
    </row>
    <row r="6382" spans="1:5" x14ac:dyDescent="0.3">
      <c r="A6382" s="17" t="str">
        <f>"J2950"</f>
        <v>J2950</v>
      </c>
      <c r="B6382" s="5" t="s">
        <v>6388</v>
      </c>
      <c r="C6382" s="17">
        <v>20230101</v>
      </c>
      <c r="D6382" s="17">
        <v>22991231</v>
      </c>
      <c r="E6382" s="25">
        <v>0</v>
      </c>
    </row>
    <row r="6383" spans="1:5" x14ac:dyDescent="0.3">
      <c r="A6383" s="17" t="str">
        <f>"J2993"</f>
        <v>J2993</v>
      </c>
      <c r="B6383" s="5" t="s">
        <v>6389</v>
      </c>
      <c r="C6383" s="17">
        <v>20230101</v>
      </c>
      <c r="D6383" s="17">
        <v>22991231</v>
      </c>
      <c r="E6383" s="25">
        <v>2644.21</v>
      </c>
    </row>
    <row r="6384" spans="1:5" x14ac:dyDescent="0.3">
      <c r="A6384" s="17" t="str">
        <f>"J2995"</f>
        <v>J2995</v>
      </c>
      <c r="B6384" s="5" t="s">
        <v>6390</v>
      </c>
      <c r="C6384" s="17">
        <v>20230101</v>
      </c>
      <c r="D6384" s="17">
        <v>22991231</v>
      </c>
      <c r="E6384" s="25">
        <v>0</v>
      </c>
    </row>
    <row r="6385" spans="1:5" x14ac:dyDescent="0.3">
      <c r="A6385" s="17" t="str">
        <f>"J2997"</f>
        <v>J2997</v>
      </c>
      <c r="B6385" s="5" t="s">
        <v>6391</v>
      </c>
      <c r="C6385" s="17">
        <v>20230101</v>
      </c>
      <c r="D6385" s="17">
        <v>22991231</v>
      </c>
      <c r="E6385" s="25">
        <v>84.98</v>
      </c>
    </row>
    <row r="6386" spans="1:5" x14ac:dyDescent="0.3">
      <c r="A6386" s="17" t="str">
        <f>"J2998"</f>
        <v>J2998</v>
      </c>
      <c r="B6386" s="5" t="s">
        <v>6392</v>
      </c>
      <c r="C6386" s="17">
        <v>20230101</v>
      </c>
      <c r="D6386" s="17">
        <v>22991231</v>
      </c>
      <c r="E6386" s="25">
        <v>30.37</v>
      </c>
    </row>
    <row r="6387" spans="1:5" x14ac:dyDescent="0.3">
      <c r="A6387" s="17" t="str">
        <f>"J3000"</f>
        <v>J3000</v>
      </c>
      <c r="B6387" s="5" t="s">
        <v>6393</v>
      </c>
      <c r="C6387" s="17">
        <v>20230101</v>
      </c>
      <c r="D6387" s="17">
        <v>22991231</v>
      </c>
      <c r="E6387" s="25">
        <v>0</v>
      </c>
    </row>
    <row r="6388" spans="1:5" x14ac:dyDescent="0.3">
      <c r="A6388" s="17" t="str">
        <f>"J3010"</f>
        <v>J3010</v>
      </c>
      <c r="B6388" s="5" t="s">
        <v>6394</v>
      </c>
      <c r="C6388" s="17">
        <v>20230101</v>
      </c>
      <c r="D6388" s="17">
        <v>22991231</v>
      </c>
      <c r="E6388" s="25">
        <v>0</v>
      </c>
    </row>
    <row r="6389" spans="1:5" ht="52" x14ac:dyDescent="0.3">
      <c r="A6389" s="17" t="str">
        <f>"J3030"</f>
        <v>J3030</v>
      </c>
      <c r="B6389" s="5" t="s">
        <v>6395</v>
      </c>
      <c r="C6389" s="17">
        <v>20230101</v>
      </c>
      <c r="D6389" s="17">
        <v>22991231</v>
      </c>
      <c r="E6389" s="25">
        <v>0</v>
      </c>
    </row>
    <row r="6390" spans="1:5" ht="52" x14ac:dyDescent="0.3">
      <c r="A6390" s="17" t="str">
        <f>"J3031"</f>
        <v>J3031</v>
      </c>
      <c r="B6390" s="5" t="s">
        <v>6396</v>
      </c>
      <c r="C6390" s="17">
        <v>20230101</v>
      </c>
      <c r="D6390" s="17">
        <v>22991231</v>
      </c>
      <c r="E6390" s="25">
        <v>1.76</v>
      </c>
    </row>
    <row r="6391" spans="1:5" x14ac:dyDescent="0.3">
      <c r="A6391" s="17" t="str">
        <f>"J3032"</f>
        <v>J3032</v>
      </c>
      <c r="B6391" s="5" t="s">
        <v>6397</v>
      </c>
      <c r="C6391" s="17">
        <v>20230101</v>
      </c>
      <c r="D6391" s="17">
        <v>22991231</v>
      </c>
      <c r="E6391" s="25">
        <v>17.25</v>
      </c>
    </row>
    <row r="6392" spans="1:5" x14ac:dyDescent="0.3">
      <c r="A6392" s="17" t="str">
        <f>"J3060"</f>
        <v>J3060</v>
      </c>
      <c r="B6392" s="5" t="s">
        <v>6398</v>
      </c>
      <c r="C6392" s="17">
        <v>20230101</v>
      </c>
      <c r="D6392" s="17">
        <v>22991231</v>
      </c>
      <c r="E6392" s="25">
        <v>43.01</v>
      </c>
    </row>
    <row r="6393" spans="1:5" x14ac:dyDescent="0.3">
      <c r="A6393" s="17" t="str">
        <f>"J3070"</f>
        <v>J3070</v>
      </c>
      <c r="B6393" s="5" t="s">
        <v>6399</v>
      </c>
      <c r="C6393" s="17">
        <v>20230101</v>
      </c>
      <c r="D6393" s="17">
        <v>22991231</v>
      </c>
      <c r="E6393" s="25">
        <v>0</v>
      </c>
    </row>
    <row r="6394" spans="1:5" x14ac:dyDescent="0.3">
      <c r="A6394" s="17" t="str">
        <f>"J3090"</f>
        <v>J3090</v>
      </c>
      <c r="B6394" s="5" t="s">
        <v>6400</v>
      </c>
      <c r="C6394" s="17">
        <v>20230101</v>
      </c>
      <c r="D6394" s="17">
        <v>22991231</v>
      </c>
      <c r="E6394" s="25">
        <v>1.7</v>
      </c>
    </row>
    <row r="6395" spans="1:5" x14ac:dyDescent="0.3">
      <c r="A6395" s="17" t="str">
        <f>"J3095"</f>
        <v>J3095</v>
      </c>
      <c r="B6395" s="5" t="s">
        <v>6401</v>
      </c>
      <c r="C6395" s="17">
        <v>20230101</v>
      </c>
      <c r="D6395" s="17">
        <v>22991231</v>
      </c>
      <c r="E6395" s="25">
        <v>6.73</v>
      </c>
    </row>
    <row r="6396" spans="1:5" x14ac:dyDescent="0.3">
      <c r="A6396" s="17" t="str">
        <f>"J3101"</f>
        <v>J3101</v>
      </c>
      <c r="B6396" s="5" t="s">
        <v>6402</v>
      </c>
      <c r="C6396" s="17">
        <v>20090101</v>
      </c>
      <c r="D6396" s="17">
        <v>22991231</v>
      </c>
      <c r="E6396" s="25">
        <v>146.24</v>
      </c>
    </row>
    <row r="6397" spans="1:5" x14ac:dyDescent="0.3">
      <c r="A6397" s="17" t="str">
        <f>"J3105"</f>
        <v>J3105</v>
      </c>
      <c r="B6397" s="5" t="s">
        <v>6403</v>
      </c>
      <c r="C6397" s="17">
        <v>20230101</v>
      </c>
      <c r="D6397" s="17">
        <v>22991231</v>
      </c>
      <c r="E6397" s="25">
        <v>0</v>
      </c>
    </row>
    <row r="6398" spans="1:5" x14ac:dyDescent="0.3">
      <c r="A6398" s="17" t="str">
        <f>"J3110"</f>
        <v>J3110</v>
      </c>
      <c r="B6398" s="5" t="s">
        <v>6404</v>
      </c>
      <c r="C6398" s="17">
        <v>20050101</v>
      </c>
      <c r="D6398" s="17">
        <v>22991231</v>
      </c>
      <c r="E6398" s="24" t="s">
        <v>7128</v>
      </c>
    </row>
    <row r="6399" spans="1:5" x14ac:dyDescent="0.3">
      <c r="A6399" s="17" t="str">
        <f>"J3111"</f>
        <v>J3111</v>
      </c>
      <c r="B6399" s="5" t="s">
        <v>6405</v>
      </c>
      <c r="C6399" s="17">
        <v>20230101</v>
      </c>
      <c r="D6399" s="17">
        <v>22991231</v>
      </c>
      <c r="E6399" s="25">
        <v>10.25</v>
      </c>
    </row>
    <row r="6400" spans="1:5" x14ac:dyDescent="0.3">
      <c r="A6400" s="17" t="str">
        <f>"J3121"</f>
        <v>J3121</v>
      </c>
      <c r="B6400" s="5" t="s">
        <v>6406</v>
      </c>
      <c r="C6400" s="17">
        <v>20230101</v>
      </c>
      <c r="D6400" s="17">
        <v>22991231</v>
      </c>
      <c r="E6400" s="25">
        <v>0</v>
      </c>
    </row>
    <row r="6401" spans="1:5" x14ac:dyDescent="0.3">
      <c r="A6401" s="17" t="str">
        <f>"J3145"</f>
        <v>J3145</v>
      </c>
      <c r="B6401" s="5" t="s">
        <v>6407</v>
      </c>
      <c r="C6401" s="17">
        <v>20230101</v>
      </c>
      <c r="D6401" s="17">
        <v>22991231</v>
      </c>
      <c r="E6401" s="25">
        <v>1.76</v>
      </c>
    </row>
    <row r="6402" spans="1:5" x14ac:dyDescent="0.3">
      <c r="A6402" s="17" t="str">
        <f>"J3230"</f>
        <v>J3230</v>
      </c>
      <c r="B6402" s="5" t="s">
        <v>6408</v>
      </c>
      <c r="C6402" s="17">
        <v>20230101</v>
      </c>
      <c r="D6402" s="17">
        <v>22991231</v>
      </c>
      <c r="E6402" s="25">
        <v>0</v>
      </c>
    </row>
    <row r="6403" spans="1:5" ht="26" x14ac:dyDescent="0.3">
      <c r="A6403" s="17" t="str">
        <f>"J3240"</f>
        <v>J3240</v>
      </c>
      <c r="B6403" s="5" t="s">
        <v>6409</v>
      </c>
      <c r="C6403" s="17">
        <v>20230101</v>
      </c>
      <c r="D6403" s="17">
        <v>22991231</v>
      </c>
      <c r="E6403" s="25">
        <v>1930.52</v>
      </c>
    </row>
    <row r="6404" spans="1:5" x14ac:dyDescent="0.3">
      <c r="A6404" s="17" t="str">
        <f>"J3241"</f>
        <v>J3241</v>
      </c>
      <c r="B6404" s="5" t="s">
        <v>6410</v>
      </c>
      <c r="C6404" s="17">
        <v>20230101</v>
      </c>
      <c r="D6404" s="17">
        <v>22991231</v>
      </c>
      <c r="E6404" s="25">
        <v>313.29000000000002</v>
      </c>
    </row>
    <row r="6405" spans="1:5" x14ac:dyDescent="0.3">
      <c r="A6405" s="17" t="str">
        <f>"J3243"</f>
        <v>J3243</v>
      </c>
      <c r="B6405" s="5" t="s">
        <v>6411</v>
      </c>
      <c r="C6405" s="17">
        <v>20230101</v>
      </c>
      <c r="D6405" s="17">
        <v>22991231</v>
      </c>
      <c r="E6405" s="25">
        <v>0</v>
      </c>
    </row>
    <row r="6406" spans="1:5" ht="26" x14ac:dyDescent="0.3">
      <c r="A6406" s="17" t="str">
        <f>"J3244"</f>
        <v>J3244</v>
      </c>
      <c r="B6406" s="5" t="s">
        <v>6412</v>
      </c>
      <c r="C6406" s="17">
        <v>20240101</v>
      </c>
      <c r="D6406" s="17">
        <v>22991231</v>
      </c>
      <c r="E6406" s="25">
        <v>2.5299999999999998</v>
      </c>
    </row>
    <row r="6407" spans="1:5" x14ac:dyDescent="0.3">
      <c r="A6407" s="17" t="str">
        <f>"J3245"</f>
        <v>J3245</v>
      </c>
      <c r="B6407" s="5" t="s">
        <v>6413</v>
      </c>
      <c r="C6407" s="17">
        <v>20230101</v>
      </c>
      <c r="D6407" s="17">
        <v>22991231</v>
      </c>
      <c r="E6407" s="25">
        <v>134.35</v>
      </c>
    </row>
    <row r="6408" spans="1:5" x14ac:dyDescent="0.3">
      <c r="A6408" s="17" t="str">
        <f>"J3246"</f>
        <v>J3246</v>
      </c>
      <c r="B6408" s="5" t="s">
        <v>6414</v>
      </c>
      <c r="C6408" s="17">
        <v>20050101</v>
      </c>
      <c r="D6408" s="17">
        <v>22991231</v>
      </c>
      <c r="E6408" s="25">
        <v>4.13</v>
      </c>
    </row>
    <row r="6409" spans="1:5" x14ac:dyDescent="0.3">
      <c r="A6409" s="17" t="str">
        <f>"J3250"</f>
        <v>J3250</v>
      </c>
      <c r="B6409" s="5" t="s">
        <v>6415</v>
      </c>
      <c r="C6409" s="17">
        <v>20230101</v>
      </c>
      <c r="D6409" s="17">
        <v>22991231</v>
      </c>
      <c r="E6409" s="25">
        <v>0</v>
      </c>
    </row>
    <row r="6410" spans="1:5" x14ac:dyDescent="0.3">
      <c r="A6410" s="17" t="str">
        <f>"J3260"</f>
        <v>J3260</v>
      </c>
      <c r="B6410" s="5" t="s">
        <v>6416</v>
      </c>
      <c r="C6410" s="17">
        <v>20230101</v>
      </c>
      <c r="D6410" s="17">
        <v>22991231</v>
      </c>
      <c r="E6410" s="25">
        <v>0</v>
      </c>
    </row>
    <row r="6411" spans="1:5" x14ac:dyDescent="0.3">
      <c r="A6411" s="17" t="str">
        <f>"J3262"</f>
        <v>J3262</v>
      </c>
      <c r="B6411" s="5" t="s">
        <v>6417</v>
      </c>
      <c r="C6411" s="17">
        <v>20230101</v>
      </c>
      <c r="D6411" s="17">
        <v>22991231</v>
      </c>
      <c r="E6411" s="25">
        <v>5.85</v>
      </c>
    </row>
    <row r="6412" spans="1:5" x14ac:dyDescent="0.3">
      <c r="A6412" s="17" t="str">
        <f>"J3265"</f>
        <v>J3265</v>
      </c>
      <c r="B6412" s="5" t="s">
        <v>6418</v>
      </c>
      <c r="C6412" s="17">
        <v>20230101</v>
      </c>
      <c r="D6412" s="17">
        <v>22991231</v>
      </c>
      <c r="E6412" s="25">
        <v>0</v>
      </c>
    </row>
    <row r="6413" spans="1:5" x14ac:dyDescent="0.3">
      <c r="A6413" s="17" t="str">
        <f>"J3280"</f>
        <v>J3280</v>
      </c>
      <c r="B6413" s="5" t="s">
        <v>6419</v>
      </c>
      <c r="C6413" s="17">
        <v>20230101</v>
      </c>
      <c r="D6413" s="17">
        <v>22991231</v>
      </c>
      <c r="E6413" s="25">
        <v>0</v>
      </c>
    </row>
    <row r="6414" spans="1:5" x14ac:dyDescent="0.3">
      <c r="A6414" s="17" t="str">
        <f>"J3285"</f>
        <v>J3285</v>
      </c>
      <c r="B6414" s="5" t="s">
        <v>6420</v>
      </c>
      <c r="C6414" s="17">
        <v>20230101</v>
      </c>
      <c r="D6414" s="17">
        <v>22991231</v>
      </c>
      <c r="E6414" s="25">
        <v>53.85</v>
      </c>
    </row>
    <row r="6415" spans="1:5" x14ac:dyDescent="0.3">
      <c r="A6415" s="17" t="str">
        <f>"J3299"</f>
        <v>J3299</v>
      </c>
      <c r="B6415" s="5" t="s">
        <v>6421</v>
      </c>
      <c r="C6415" s="17">
        <v>20230101</v>
      </c>
      <c r="D6415" s="17">
        <v>22991231</v>
      </c>
      <c r="E6415" s="25">
        <v>46.4</v>
      </c>
    </row>
    <row r="6416" spans="1:5" ht="26" x14ac:dyDescent="0.3">
      <c r="A6416" s="17" t="str">
        <f>"J3300"</f>
        <v>J3300</v>
      </c>
      <c r="B6416" s="5" t="s">
        <v>6422</v>
      </c>
      <c r="C6416" s="17">
        <v>20090101</v>
      </c>
      <c r="D6416" s="17">
        <v>22991231</v>
      </c>
      <c r="E6416" s="25">
        <v>0</v>
      </c>
    </row>
    <row r="6417" spans="1:5" ht="26" x14ac:dyDescent="0.3">
      <c r="A6417" s="17" t="str">
        <f>"J3301"</f>
        <v>J3301</v>
      </c>
      <c r="B6417" s="5" t="s">
        <v>6423</v>
      </c>
      <c r="C6417" s="17">
        <v>20230101</v>
      </c>
      <c r="D6417" s="17">
        <v>22991231</v>
      </c>
      <c r="E6417" s="25">
        <v>0</v>
      </c>
    </row>
    <row r="6418" spans="1:5" x14ac:dyDescent="0.3">
      <c r="A6418" s="17" t="str">
        <f>"J3302"</f>
        <v>J3302</v>
      </c>
      <c r="B6418" s="5" t="s">
        <v>6424</v>
      </c>
      <c r="C6418" s="17">
        <v>20230101</v>
      </c>
      <c r="D6418" s="17">
        <v>22991231</v>
      </c>
      <c r="E6418" s="25">
        <v>0</v>
      </c>
    </row>
    <row r="6419" spans="1:5" x14ac:dyDescent="0.3">
      <c r="A6419" s="17" t="str">
        <f>"J3303"</f>
        <v>J3303</v>
      </c>
      <c r="B6419" s="5" t="s">
        <v>6425</v>
      </c>
      <c r="C6419" s="17">
        <v>20230101</v>
      </c>
      <c r="D6419" s="17">
        <v>22991231</v>
      </c>
      <c r="E6419" s="25">
        <v>0</v>
      </c>
    </row>
    <row r="6420" spans="1:5" ht="39" x14ac:dyDescent="0.3">
      <c r="A6420" s="17" t="str">
        <f>"J3304"</f>
        <v>J3304</v>
      </c>
      <c r="B6420" s="5" t="s">
        <v>6426</v>
      </c>
      <c r="C6420" s="17">
        <v>20230101</v>
      </c>
      <c r="D6420" s="17">
        <v>22991231</v>
      </c>
      <c r="E6420" s="25">
        <v>16.75</v>
      </c>
    </row>
    <row r="6421" spans="1:5" x14ac:dyDescent="0.3">
      <c r="A6421" s="17" t="str">
        <f>"J3305"</f>
        <v>J3305</v>
      </c>
      <c r="B6421" s="5" t="s">
        <v>6427</v>
      </c>
      <c r="C6421" s="17">
        <v>20230101</v>
      </c>
      <c r="D6421" s="17">
        <v>22991231</v>
      </c>
      <c r="E6421" s="25">
        <v>0</v>
      </c>
    </row>
    <row r="6422" spans="1:5" x14ac:dyDescent="0.3">
      <c r="A6422" s="17" t="str">
        <f>"J3310"</f>
        <v>J3310</v>
      </c>
      <c r="B6422" s="5" t="s">
        <v>6428</v>
      </c>
      <c r="C6422" s="17">
        <v>20230101</v>
      </c>
      <c r="D6422" s="17">
        <v>22991231</v>
      </c>
      <c r="E6422" s="25">
        <v>0</v>
      </c>
    </row>
    <row r="6423" spans="1:5" x14ac:dyDescent="0.3">
      <c r="A6423" s="17" t="str">
        <f>"J3315"</f>
        <v>J3315</v>
      </c>
      <c r="B6423" s="5" t="s">
        <v>6429</v>
      </c>
      <c r="C6423" s="17">
        <v>20230101</v>
      </c>
      <c r="D6423" s="17">
        <v>22991231</v>
      </c>
      <c r="E6423" s="25">
        <v>395.04</v>
      </c>
    </row>
    <row r="6424" spans="1:5" x14ac:dyDescent="0.3">
      <c r="A6424" s="17" t="str">
        <f>"J3316"</f>
        <v>J3316</v>
      </c>
      <c r="B6424" s="5" t="s">
        <v>6430</v>
      </c>
      <c r="C6424" s="17">
        <v>20230101</v>
      </c>
      <c r="D6424" s="17">
        <v>22991231</v>
      </c>
      <c r="E6424" s="25">
        <v>3082.61</v>
      </c>
    </row>
    <row r="6425" spans="1:5" ht="26" x14ac:dyDescent="0.3">
      <c r="A6425" s="17" t="str">
        <f>"J3320"</f>
        <v>J3320</v>
      </c>
      <c r="B6425" s="5" t="s">
        <v>6431</v>
      </c>
      <c r="C6425" s="17">
        <v>20230101</v>
      </c>
      <c r="D6425" s="17">
        <v>22991231</v>
      </c>
      <c r="E6425" s="25">
        <v>0</v>
      </c>
    </row>
    <row r="6426" spans="1:5" x14ac:dyDescent="0.3">
      <c r="A6426" s="17" t="str">
        <f>"J3350"</f>
        <v>J3350</v>
      </c>
      <c r="B6426" s="5" t="s">
        <v>6432</v>
      </c>
      <c r="C6426" s="17">
        <v>20230101</v>
      </c>
      <c r="D6426" s="17">
        <v>22991231</v>
      </c>
      <c r="E6426" s="25">
        <v>0</v>
      </c>
    </row>
    <row r="6427" spans="1:5" x14ac:dyDescent="0.3">
      <c r="A6427" s="17" t="str">
        <f>"J3355"</f>
        <v>J3355</v>
      </c>
      <c r="B6427" s="5" t="s">
        <v>6433</v>
      </c>
      <c r="C6427" s="17">
        <v>20230101</v>
      </c>
      <c r="D6427" s="17">
        <v>22991231</v>
      </c>
      <c r="E6427" s="25">
        <v>0</v>
      </c>
    </row>
    <row r="6428" spans="1:5" x14ac:dyDescent="0.3">
      <c r="A6428" s="17" t="str">
        <f>"J3357"</f>
        <v>J3357</v>
      </c>
      <c r="B6428" s="5" t="s">
        <v>6434</v>
      </c>
      <c r="C6428" s="17">
        <v>20230101</v>
      </c>
      <c r="D6428" s="17">
        <v>22991231</v>
      </c>
      <c r="E6428" s="25">
        <v>147.05000000000001</v>
      </c>
    </row>
    <row r="6429" spans="1:5" x14ac:dyDescent="0.3">
      <c r="A6429" s="17" t="str">
        <f>"J3358"</f>
        <v>J3358</v>
      </c>
      <c r="B6429" s="5" t="s">
        <v>6435</v>
      </c>
      <c r="C6429" s="17">
        <v>20230101</v>
      </c>
      <c r="D6429" s="17">
        <v>22991231</v>
      </c>
      <c r="E6429" s="25">
        <v>12.05</v>
      </c>
    </row>
    <row r="6430" spans="1:5" x14ac:dyDescent="0.3">
      <c r="A6430" s="17" t="str">
        <f>"J3360"</f>
        <v>J3360</v>
      </c>
      <c r="B6430" s="5" t="s">
        <v>6436</v>
      </c>
      <c r="C6430" s="17">
        <v>20230101</v>
      </c>
      <c r="D6430" s="17">
        <v>22991231</v>
      </c>
      <c r="E6430" s="25">
        <v>0</v>
      </c>
    </row>
    <row r="6431" spans="1:5" x14ac:dyDescent="0.3">
      <c r="A6431" s="17" t="str">
        <f>"J3364"</f>
        <v>J3364</v>
      </c>
      <c r="B6431" s="5" t="s">
        <v>6437</v>
      </c>
      <c r="C6431" s="17">
        <v>20230101</v>
      </c>
      <c r="D6431" s="17">
        <v>22991231</v>
      </c>
      <c r="E6431" s="25">
        <v>0</v>
      </c>
    </row>
    <row r="6432" spans="1:5" x14ac:dyDescent="0.3">
      <c r="A6432" s="17" t="str">
        <f>"J3365"</f>
        <v>J3365</v>
      </c>
      <c r="B6432" s="5" t="s">
        <v>6438</v>
      </c>
      <c r="C6432" s="17">
        <v>20230101</v>
      </c>
      <c r="D6432" s="17">
        <v>22991231</v>
      </c>
      <c r="E6432" s="25">
        <v>0</v>
      </c>
    </row>
    <row r="6433" spans="1:5" x14ac:dyDescent="0.3">
      <c r="A6433" s="17" t="str">
        <f>"J3370"</f>
        <v>J3370</v>
      </c>
      <c r="B6433" s="5" t="s">
        <v>6439</v>
      </c>
      <c r="C6433" s="17">
        <v>20230101</v>
      </c>
      <c r="D6433" s="17">
        <v>22991231</v>
      </c>
      <c r="E6433" s="25">
        <v>0</v>
      </c>
    </row>
    <row r="6434" spans="1:5" ht="26" x14ac:dyDescent="0.3">
      <c r="A6434" s="17" t="str">
        <f>"J3371"</f>
        <v>J3371</v>
      </c>
      <c r="B6434" s="5" t="s">
        <v>6440</v>
      </c>
      <c r="C6434" s="17">
        <v>20240101</v>
      </c>
      <c r="D6434" s="17">
        <v>22991231</v>
      </c>
      <c r="E6434" s="25">
        <v>5.7</v>
      </c>
    </row>
    <row r="6435" spans="1:5" ht="26" x14ac:dyDescent="0.3">
      <c r="A6435" s="17" t="str">
        <f>"J3372"</f>
        <v>J3372</v>
      </c>
      <c r="B6435" s="5" t="s">
        <v>6441</v>
      </c>
      <c r="C6435" s="17">
        <v>20240101</v>
      </c>
      <c r="D6435" s="17">
        <v>22991231</v>
      </c>
      <c r="E6435" s="25">
        <v>6.28</v>
      </c>
    </row>
    <row r="6436" spans="1:5" x14ac:dyDescent="0.3">
      <c r="A6436" s="17" t="str">
        <f>"J3380"</f>
        <v>J3380</v>
      </c>
      <c r="B6436" s="5" t="s">
        <v>6442</v>
      </c>
      <c r="C6436" s="17">
        <v>20230101</v>
      </c>
      <c r="D6436" s="17">
        <v>22991231</v>
      </c>
      <c r="E6436" s="25">
        <v>21.07</v>
      </c>
    </row>
    <row r="6437" spans="1:5" x14ac:dyDescent="0.3">
      <c r="A6437" s="17" t="str">
        <f>"J3385"</f>
        <v>J3385</v>
      </c>
      <c r="B6437" s="5" t="s">
        <v>6443</v>
      </c>
      <c r="C6437" s="17">
        <v>20230101</v>
      </c>
      <c r="D6437" s="17">
        <v>22991231</v>
      </c>
      <c r="E6437" s="25">
        <v>350.93</v>
      </c>
    </row>
    <row r="6438" spans="1:5" x14ac:dyDescent="0.3">
      <c r="A6438" s="17" t="str">
        <f>"J3396"</f>
        <v>J3396</v>
      </c>
      <c r="B6438" s="5" t="s">
        <v>6444</v>
      </c>
      <c r="C6438" s="17">
        <v>20050101</v>
      </c>
      <c r="D6438" s="17">
        <v>22991231</v>
      </c>
      <c r="E6438" s="25">
        <v>11.01</v>
      </c>
    </row>
    <row r="6439" spans="1:5" x14ac:dyDescent="0.3">
      <c r="A6439" s="17" t="str">
        <f>"J3397"</f>
        <v>J3397</v>
      </c>
      <c r="B6439" s="5" t="s">
        <v>6445</v>
      </c>
      <c r="C6439" s="17">
        <v>20230101</v>
      </c>
      <c r="D6439" s="17">
        <v>22991231</v>
      </c>
      <c r="E6439" s="25">
        <v>0</v>
      </c>
    </row>
    <row r="6440" spans="1:5" ht="26" x14ac:dyDescent="0.3">
      <c r="A6440" s="17" t="str">
        <f>"J3398"</f>
        <v>J3398</v>
      </c>
      <c r="B6440" s="5" t="s">
        <v>6446</v>
      </c>
      <c r="C6440" s="17">
        <v>20230101</v>
      </c>
      <c r="D6440" s="17">
        <v>22991231</v>
      </c>
      <c r="E6440" s="25">
        <v>2743.46</v>
      </c>
    </row>
    <row r="6441" spans="1:5" x14ac:dyDescent="0.3">
      <c r="A6441" s="17" t="str">
        <f>"J3400"</f>
        <v>J3400</v>
      </c>
      <c r="B6441" s="5" t="s">
        <v>6447</v>
      </c>
      <c r="C6441" s="17">
        <v>20230101</v>
      </c>
      <c r="D6441" s="17">
        <v>22991231</v>
      </c>
      <c r="E6441" s="25">
        <v>0</v>
      </c>
    </row>
    <row r="6442" spans="1:5" ht="39" x14ac:dyDescent="0.3">
      <c r="A6442" s="17" t="str">
        <f>"J3401"</f>
        <v>J3401</v>
      </c>
      <c r="B6442" s="5" t="s">
        <v>6448</v>
      </c>
      <c r="C6442" s="17">
        <v>20240101</v>
      </c>
      <c r="D6442" s="17">
        <v>22991231</v>
      </c>
      <c r="E6442" s="25">
        <v>2385.73</v>
      </c>
    </row>
    <row r="6443" spans="1:5" x14ac:dyDescent="0.3">
      <c r="A6443" s="17" t="str">
        <f>"J3410"</f>
        <v>J3410</v>
      </c>
      <c r="B6443" s="5" t="s">
        <v>6449</v>
      </c>
      <c r="C6443" s="17">
        <v>20230101</v>
      </c>
      <c r="D6443" s="17">
        <v>22991231</v>
      </c>
      <c r="E6443" s="25">
        <v>0</v>
      </c>
    </row>
    <row r="6444" spans="1:5" x14ac:dyDescent="0.3">
      <c r="A6444" s="17" t="str">
        <f>"J3411"</f>
        <v>J3411</v>
      </c>
      <c r="B6444" s="5" t="s">
        <v>6450</v>
      </c>
      <c r="C6444" s="17">
        <v>20230101</v>
      </c>
      <c r="D6444" s="17">
        <v>22991231</v>
      </c>
      <c r="E6444" s="25">
        <v>0</v>
      </c>
    </row>
    <row r="6445" spans="1:5" x14ac:dyDescent="0.3">
      <c r="A6445" s="17" t="str">
        <f>"J3415"</f>
        <v>J3415</v>
      </c>
      <c r="B6445" s="5" t="s">
        <v>6451</v>
      </c>
      <c r="C6445" s="17">
        <v>20230101</v>
      </c>
      <c r="D6445" s="17">
        <v>22991231</v>
      </c>
      <c r="E6445" s="25">
        <v>0</v>
      </c>
    </row>
    <row r="6446" spans="1:5" ht="26" x14ac:dyDescent="0.3">
      <c r="A6446" s="17" t="str">
        <f>"J3420"</f>
        <v>J3420</v>
      </c>
      <c r="B6446" s="5" t="s">
        <v>6452</v>
      </c>
      <c r="C6446" s="17">
        <v>20230101</v>
      </c>
      <c r="D6446" s="17">
        <v>22991231</v>
      </c>
      <c r="E6446" s="25">
        <v>0</v>
      </c>
    </row>
    <row r="6447" spans="1:5" ht="26" x14ac:dyDescent="0.3">
      <c r="A6447" s="17" t="str">
        <f>"J3425"</f>
        <v>J3425</v>
      </c>
      <c r="B6447" s="5" t="s">
        <v>6453</v>
      </c>
      <c r="C6447" s="17">
        <v>20240101</v>
      </c>
      <c r="D6447" s="17">
        <v>22991231</v>
      </c>
      <c r="E6447" s="25">
        <v>0</v>
      </c>
    </row>
    <row r="6448" spans="1:5" x14ac:dyDescent="0.3">
      <c r="A6448" s="17" t="str">
        <f>"J3430"</f>
        <v>J3430</v>
      </c>
      <c r="B6448" s="5" t="s">
        <v>6454</v>
      </c>
      <c r="C6448" s="17">
        <v>20230101</v>
      </c>
      <c r="D6448" s="17">
        <v>22991231</v>
      </c>
      <c r="E6448" s="25">
        <v>0</v>
      </c>
    </row>
    <row r="6449" spans="1:5" x14ac:dyDescent="0.3">
      <c r="A6449" s="17" t="str">
        <f>"J3465"</f>
        <v>J3465</v>
      </c>
      <c r="B6449" s="5" t="s">
        <v>6455</v>
      </c>
      <c r="C6449" s="17">
        <v>20230101</v>
      </c>
      <c r="D6449" s="17">
        <v>22991231</v>
      </c>
      <c r="E6449" s="25">
        <v>0</v>
      </c>
    </row>
    <row r="6450" spans="1:5" x14ac:dyDescent="0.3">
      <c r="A6450" s="17" t="str">
        <f>"J3470"</f>
        <v>J3470</v>
      </c>
      <c r="B6450" s="5" t="s">
        <v>6456</v>
      </c>
      <c r="C6450" s="17">
        <v>20230101</v>
      </c>
      <c r="D6450" s="17">
        <v>22991231</v>
      </c>
      <c r="E6450" s="25">
        <v>0</v>
      </c>
    </row>
    <row r="6451" spans="1:5" ht="26" x14ac:dyDescent="0.3">
      <c r="A6451" s="17" t="str">
        <f>"J3471"</f>
        <v>J3471</v>
      </c>
      <c r="B6451" s="5" t="s">
        <v>6457</v>
      </c>
      <c r="C6451" s="17">
        <v>20060101</v>
      </c>
      <c r="D6451" s="17">
        <v>22991231</v>
      </c>
      <c r="E6451" s="25">
        <v>0</v>
      </c>
    </row>
    <row r="6452" spans="1:5" ht="26" x14ac:dyDescent="0.3">
      <c r="A6452" s="17" t="str">
        <f>"J3472"</f>
        <v>J3472</v>
      </c>
      <c r="B6452" s="5" t="s">
        <v>6458</v>
      </c>
      <c r="C6452" s="17">
        <v>20060101</v>
      </c>
      <c r="D6452" s="17">
        <v>22991231</v>
      </c>
      <c r="E6452" s="25">
        <v>0</v>
      </c>
    </row>
    <row r="6453" spans="1:5" x14ac:dyDescent="0.3">
      <c r="A6453" s="17" t="str">
        <f>"J3473"</f>
        <v>J3473</v>
      </c>
      <c r="B6453" s="5" t="s">
        <v>6459</v>
      </c>
      <c r="C6453" s="17">
        <v>20230101</v>
      </c>
      <c r="D6453" s="17">
        <v>22991231</v>
      </c>
      <c r="E6453" s="25">
        <v>0</v>
      </c>
    </row>
    <row r="6454" spans="1:5" x14ac:dyDescent="0.3">
      <c r="A6454" s="17" t="str">
        <f>"J3475"</f>
        <v>J3475</v>
      </c>
      <c r="B6454" s="5" t="s">
        <v>6460</v>
      </c>
      <c r="C6454" s="17">
        <v>20230101</v>
      </c>
      <c r="D6454" s="17">
        <v>22991231</v>
      </c>
      <c r="E6454" s="25">
        <v>0</v>
      </c>
    </row>
    <row r="6455" spans="1:5" x14ac:dyDescent="0.3">
      <c r="A6455" s="17" t="str">
        <f>"J3480"</f>
        <v>J3480</v>
      </c>
      <c r="B6455" s="5" t="s">
        <v>6461</v>
      </c>
      <c r="C6455" s="17">
        <v>20230101</v>
      </c>
      <c r="D6455" s="17">
        <v>22991231</v>
      </c>
      <c r="E6455" s="25">
        <v>0</v>
      </c>
    </row>
    <row r="6456" spans="1:5" x14ac:dyDescent="0.3">
      <c r="A6456" s="17" t="str">
        <f>"J3485"</f>
        <v>J3485</v>
      </c>
      <c r="B6456" s="5" t="s">
        <v>6462</v>
      </c>
      <c r="C6456" s="17">
        <v>20230101</v>
      </c>
      <c r="D6456" s="17">
        <v>22991231</v>
      </c>
      <c r="E6456" s="25">
        <v>0</v>
      </c>
    </row>
    <row r="6457" spans="1:5" x14ac:dyDescent="0.3">
      <c r="A6457" s="17" t="str">
        <f>"J3486"</f>
        <v>J3486</v>
      </c>
      <c r="B6457" s="5" t="s">
        <v>6463</v>
      </c>
      <c r="C6457" s="17">
        <v>20230101</v>
      </c>
      <c r="D6457" s="17">
        <v>22991231</v>
      </c>
      <c r="E6457" s="25">
        <v>0</v>
      </c>
    </row>
    <row r="6458" spans="1:5" x14ac:dyDescent="0.3">
      <c r="A6458" s="17" t="str">
        <f>"J3489"</f>
        <v>J3489</v>
      </c>
      <c r="B6458" s="5" t="s">
        <v>6464</v>
      </c>
      <c r="C6458" s="17">
        <v>20230101</v>
      </c>
      <c r="D6458" s="17">
        <v>22991231</v>
      </c>
      <c r="E6458" s="25">
        <v>0</v>
      </c>
    </row>
    <row r="6459" spans="1:5" x14ac:dyDescent="0.3">
      <c r="A6459" s="17" t="str">
        <f>"J3490"</f>
        <v>J3490</v>
      </c>
      <c r="B6459" s="5" t="s">
        <v>6465</v>
      </c>
      <c r="C6459" s="17">
        <v>20230101</v>
      </c>
      <c r="D6459" s="17">
        <v>22991231</v>
      </c>
      <c r="E6459" s="25">
        <v>0</v>
      </c>
    </row>
    <row r="6460" spans="1:5" x14ac:dyDescent="0.3">
      <c r="A6460" s="17" t="str">
        <f>"J3530"</f>
        <v>J3530</v>
      </c>
      <c r="B6460" s="5" t="s">
        <v>6466</v>
      </c>
      <c r="C6460" s="17">
        <v>20230101</v>
      </c>
      <c r="D6460" s="17">
        <v>22991231</v>
      </c>
      <c r="E6460" s="25">
        <v>0</v>
      </c>
    </row>
    <row r="6461" spans="1:5" x14ac:dyDescent="0.3">
      <c r="A6461" s="17" t="str">
        <f>"J3590"</f>
        <v>J3590</v>
      </c>
      <c r="B6461" s="5" t="s">
        <v>6467</v>
      </c>
      <c r="C6461" s="17">
        <v>20230101</v>
      </c>
      <c r="D6461" s="17">
        <v>22991231</v>
      </c>
      <c r="E6461" s="25">
        <v>0</v>
      </c>
    </row>
    <row r="6462" spans="1:5" ht="26" x14ac:dyDescent="0.3">
      <c r="A6462" s="17" t="str">
        <f>"J7030"</f>
        <v>J7030</v>
      </c>
      <c r="B6462" s="27" t="s">
        <v>6468</v>
      </c>
      <c r="C6462" s="17">
        <v>20230101</v>
      </c>
      <c r="D6462" s="17">
        <v>22991231</v>
      </c>
      <c r="E6462" s="25">
        <v>0</v>
      </c>
    </row>
    <row r="6463" spans="1:5" ht="26" x14ac:dyDescent="0.3">
      <c r="A6463" s="17" t="str">
        <f>"J7040"</f>
        <v>J7040</v>
      </c>
      <c r="B6463" s="5" t="s">
        <v>6469</v>
      </c>
      <c r="C6463" s="17">
        <v>20230101</v>
      </c>
      <c r="D6463" s="17">
        <v>22991231</v>
      </c>
      <c r="E6463" s="25">
        <v>0</v>
      </c>
    </row>
    <row r="6464" spans="1:5" x14ac:dyDescent="0.3">
      <c r="A6464" s="17" t="str">
        <f>"J7042"</f>
        <v>J7042</v>
      </c>
      <c r="B6464" s="5" t="s">
        <v>6470</v>
      </c>
      <c r="C6464" s="17">
        <v>20230101</v>
      </c>
      <c r="D6464" s="17">
        <v>22991231</v>
      </c>
      <c r="E6464" s="25">
        <v>0</v>
      </c>
    </row>
    <row r="6465" spans="1:5" x14ac:dyDescent="0.3">
      <c r="A6465" s="17" t="str">
        <f>"J7050"</f>
        <v>J7050</v>
      </c>
      <c r="B6465" s="5" t="s">
        <v>6471</v>
      </c>
      <c r="C6465" s="17">
        <v>20230101</v>
      </c>
      <c r="D6465" s="17">
        <v>22991231</v>
      </c>
      <c r="E6465" s="25">
        <v>0</v>
      </c>
    </row>
    <row r="6466" spans="1:5" x14ac:dyDescent="0.3">
      <c r="A6466" s="17" t="str">
        <f>"J7060"</f>
        <v>J7060</v>
      </c>
      <c r="B6466" s="5" t="s">
        <v>6472</v>
      </c>
      <c r="C6466" s="17">
        <v>20230101</v>
      </c>
      <c r="D6466" s="17">
        <v>22991231</v>
      </c>
      <c r="E6466" s="25">
        <v>0</v>
      </c>
    </row>
    <row r="6467" spans="1:5" x14ac:dyDescent="0.3">
      <c r="A6467" s="17" t="str">
        <f>"J7070"</f>
        <v>J7070</v>
      </c>
      <c r="B6467" s="5" t="s">
        <v>6473</v>
      </c>
      <c r="C6467" s="17">
        <v>20230101</v>
      </c>
      <c r="D6467" s="17">
        <v>22991231</v>
      </c>
      <c r="E6467" s="25">
        <v>0</v>
      </c>
    </row>
    <row r="6468" spans="1:5" x14ac:dyDescent="0.3">
      <c r="A6468" s="17" t="str">
        <f>"J7100"</f>
        <v>J7100</v>
      </c>
      <c r="B6468" s="5" t="s">
        <v>6474</v>
      </c>
      <c r="C6468" s="17">
        <v>20230101</v>
      </c>
      <c r="D6468" s="17">
        <v>22991231</v>
      </c>
      <c r="E6468" s="25">
        <v>0</v>
      </c>
    </row>
    <row r="6469" spans="1:5" x14ac:dyDescent="0.3">
      <c r="A6469" s="17" t="str">
        <f>"J7110"</f>
        <v>J7110</v>
      </c>
      <c r="B6469" s="5" t="s">
        <v>6475</v>
      </c>
      <c r="C6469" s="17">
        <v>20230101</v>
      </c>
      <c r="D6469" s="17">
        <v>22991231</v>
      </c>
      <c r="E6469" s="25">
        <v>0</v>
      </c>
    </row>
    <row r="6470" spans="1:5" x14ac:dyDescent="0.3">
      <c r="A6470" s="17" t="str">
        <f>"J7120"</f>
        <v>J7120</v>
      </c>
      <c r="B6470" s="5" t="s">
        <v>6476</v>
      </c>
      <c r="C6470" s="17">
        <v>20230101</v>
      </c>
      <c r="D6470" s="17">
        <v>22991231</v>
      </c>
      <c r="E6470" s="25">
        <v>0</v>
      </c>
    </row>
    <row r="6471" spans="1:5" ht="26" x14ac:dyDescent="0.3">
      <c r="A6471" s="17" t="str">
        <f>"J7121"</f>
        <v>J7121</v>
      </c>
      <c r="B6471" s="5" t="s">
        <v>6477</v>
      </c>
      <c r="C6471" s="17">
        <v>20230101</v>
      </c>
      <c r="D6471" s="17">
        <v>22991231</v>
      </c>
      <c r="E6471" s="25">
        <v>0</v>
      </c>
    </row>
    <row r="6472" spans="1:5" x14ac:dyDescent="0.3">
      <c r="A6472" s="17" t="str">
        <f>"J7131"</f>
        <v>J7131</v>
      </c>
      <c r="B6472" s="5" t="s">
        <v>6478</v>
      </c>
      <c r="C6472" s="17">
        <v>20230101</v>
      </c>
      <c r="D6472" s="17">
        <v>22991231</v>
      </c>
      <c r="E6472" s="25">
        <v>0</v>
      </c>
    </row>
    <row r="6473" spans="1:5" ht="26" x14ac:dyDescent="0.3">
      <c r="A6473" s="17" t="str">
        <f>"J7168"</f>
        <v>J7168</v>
      </c>
      <c r="B6473" s="5" t="s">
        <v>6479</v>
      </c>
      <c r="C6473" s="17">
        <v>20230101</v>
      </c>
      <c r="D6473" s="17">
        <v>22991231</v>
      </c>
      <c r="E6473" s="25">
        <v>2.1800000000000002</v>
      </c>
    </row>
    <row r="6474" spans="1:5" ht="26" x14ac:dyDescent="0.3">
      <c r="A6474" s="17" t="str">
        <f>"J7169"</f>
        <v>J7169</v>
      </c>
      <c r="B6474" s="5" t="s">
        <v>6480</v>
      </c>
      <c r="C6474" s="17">
        <v>20230101</v>
      </c>
      <c r="D6474" s="17">
        <v>22991231</v>
      </c>
      <c r="E6474" s="25">
        <v>126.42</v>
      </c>
    </row>
    <row r="6475" spans="1:5" x14ac:dyDescent="0.3">
      <c r="A6475" s="17" t="str">
        <f>"J7170"</f>
        <v>J7170</v>
      </c>
      <c r="B6475" s="5" t="s">
        <v>6481</v>
      </c>
      <c r="C6475" s="17">
        <v>20230101</v>
      </c>
      <c r="D6475" s="17">
        <v>22991231</v>
      </c>
      <c r="E6475" s="25">
        <v>48.38</v>
      </c>
    </row>
    <row r="6476" spans="1:5" x14ac:dyDescent="0.3">
      <c r="A6476" s="17" t="str">
        <f>"J7175"</f>
        <v>J7175</v>
      </c>
      <c r="B6476" s="5" t="s">
        <v>6482</v>
      </c>
      <c r="C6476" s="17">
        <v>20230101</v>
      </c>
      <c r="D6476" s="17">
        <v>22991231</v>
      </c>
      <c r="E6476" s="25">
        <v>8.6999999999999993</v>
      </c>
    </row>
    <row r="6477" spans="1:5" ht="26" x14ac:dyDescent="0.3">
      <c r="A6477" s="17" t="str">
        <f>"J7177"</f>
        <v>J7177</v>
      </c>
      <c r="B6477" s="5" t="s">
        <v>6483</v>
      </c>
      <c r="C6477" s="17">
        <v>20230101</v>
      </c>
      <c r="D6477" s="17">
        <v>22991231</v>
      </c>
      <c r="E6477" s="25">
        <v>1.05</v>
      </c>
    </row>
    <row r="6478" spans="1:5" ht="26" x14ac:dyDescent="0.3">
      <c r="A6478" s="17" t="str">
        <f>"J7178"</f>
        <v>J7178</v>
      </c>
      <c r="B6478" s="5" t="s">
        <v>6484</v>
      </c>
      <c r="C6478" s="17">
        <v>20230101</v>
      </c>
      <c r="D6478" s="17">
        <v>22991231</v>
      </c>
      <c r="E6478" s="25">
        <v>1.32</v>
      </c>
    </row>
    <row r="6479" spans="1:5" ht="26" x14ac:dyDescent="0.3">
      <c r="A6479" s="17" t="str">
        <f>"J7179"</f>
        <v>J7179</v>
      </c>
      <c r="B6479" s="5" t="s">
        <v>6485</v>
      </c>
      <c r="C6479" s="17">
        <v>20230101</v>
      </c>
      <c r="D6479" s="17">
        <v>22991231</v>
      </c>
      <c r="E6479" s="25">
        <v>1.74</v>
      </c>
    </row>
    <row r="6480" spans="1:5" ht="26" x14ac:dyDescent="0.3">
      <c r="A6480" s="17" t="str">
        <f>"J7180"</f>
        <v>J7180</v>
      </c>
      <c r="B6480" s="5" t="s">
        <v>6486</v>
      </c>
      <c r="C6480" s="17">
        <v>20230101</v>
      </c>
      <c r="D6480" s="17">
        <v>22991231</v>
      </c>
      <c r="E6480" s="25">
        <v>9.25</v>
      </c>
    </row>
    <row r="6481" spans="1:5" ht="26" x14ac:dyDescent="0.3">
      <c r="A6481" s="17" t="str">
        <f>"J7181"</f>
        <v>J7181</v>
      </c>
      <c r="B6481" s="5" t="s">
        <v>6487</v>
      </c>
      <c r="C6481" s="17">
        <v>20230101</v>
      </c>
      <c r="D6481" s="17">
        <v>22991231</v>
      </c>
      <c r="E6481" s="25">
        <v>16.36</v>
      </c>
    </row>
    <row r="6482" spans="1:5" ht="26" x14ac:dyDescent="0.3">
      <c r="A6482" s="17" t="str">
        <f>"J7182"</f>
        <v>J7182</v>
      </c>
      <c r="B6482" s="5" t="s">
        <v>6488</v>
      </c>
      <c r="C6482" s="17">
        <v>20230101</v>
      </c>
      <c r="D6482" s="17">
        <v>22991231</v>
      </c>
      <c r="E6482" s="25">
        <v>1.28</v>
      </c>
    </row>
    <row r="6483" spans="1:5" ht="26" x14ac:dyDescent="0.3">
      <c r="A6483" s="17" t="str">
        <f>"J7183"</f>
        <v>J7183</v>
      </c>
      <c r="B6483" s="5" t="s">
        <v>6489</v>
      </c>
      <c r="C6483" s="17">
        <v>20230101</v>
      </c>
      <c r="D6483" s="17">
        <v>22991231</v>
      </c>
      <c r="E6483" s="25">
        <v>1.24</v>
      </c>
    </row>
    <row r="6484" spans="1:5" ht="26" x14ac:dyDescent="0.3">
      <c r="A6484" s="17" t="str">
        <f>"J7185"</f>
        <v>J7185</v>
      </c>
      <c r="B6484" s="5" t="s">
        <v>6490</v>
      </c>
      <c r="C6484" s="17">
        <v>20230101</v>
      </c>
      <c r="D6484" s="17">
        <v>22991231</v>
      </c>
      <c r="E6484" s="25">
        <v>1.23</v>
      </c>
    </row>
    <row r="6485" spans="1:5" ht="39" x14ac:dyDescent="0.3">
      <c r="A6485" s="17" t="str">
        <f>"J7186"</f>
        <v>J7186</v>
      </c>
      <c r="B6485" s="5" t="s">
        <v>6491</v>
      </c>
      <c r="C6485" s="17">
        <v>20090101</v>
      </c>
      <c r="D6485" s="17">
        <v>22991231</v>
      </c>
      <c r="E6485" s="25">
        <v>1.1499999999999999</v>
      </c>
    </row>
    <row r="6486" spans="1:5" ht="26" x14ac:dyDescent="0.3">
      <c r="A6486" s="17" t="str">
        <f>"J7187"</f>
        <v>J7187</v>
      </c>
      <c r="B6486" s="5" t="s">
        <v>6492</v>
      </c>
      <c r="C6486" s="17">
        <v>20230101</v>
      </c>
      <c r="D6486" s="17">
        <v>22991231</v>
      </c>
      <c r="E6486" s="25">
        <v>1.29</v>
      </c>
    </row>
    <row r="6487" spans="1:5" ht="26" x14ac:dyDescent="0.3">
      <c r="A6487" s="17" t="str">
        <f>"J7188"</f>
        <v>J7188</v>
      </c>
      <c r="B6487" s="5" t="s">
        <v>6493</v>
      </c>
      <c r="C6487" s="17">
        <v>20230101</v>
      </c>
      <c r="D6487" s="17">
        <v>22991231</v>
      </c>
      <c r="E6487" s="25">
        <v>3.08</v>
      </c>
    </row>
    <row r="6488" spans="1:5" ht="26" x14ac:dyDescent="0.3">
      <c r="A6488" s="17" t="str">
        <f>"J7189"</f>
        <v>J7189</v>
      </c>
      <c r="B6488" s="5" t="s">
        <v>6494</v>
      </c>
      <c r="C6488" s="17">
        <v>20230101</v>
      </c>
      <c r="D6488" s="17">
        <v>22991231</v>
      </c>
      <c r="E6488" s="25">
        <v>2.3199999999999998</v>
      </c>
    </row>
    <row r="6489" spans="1:5" ht="26" x14ac:dyDescent="0.3">
      <c r="A6489" s="17" t="str">
        <f>"J7190"</f>
        <v>J7190</v>
      </c>
      <c r="B6489" s="5" t="s">
        <v>6495</v>
      </c>
      <c r="C6489" s="17">
        <v>20230101</v>
      </c>
      <c r="D6489" s="17">
        <v>22991231</v>
      </c>
      <c r="E6489" s="25">
        <v>0.98</v>
      </c>
    </row>
    <row r="6490" spans="1:5" ht="26" x14ac:dyDescent="0.3">
      <c r="A6490" s="17" t="str">
        <f>"J7191"</f>
        <v>J7191</v>
      </c>
      <c r="B6490" s="5" t="s">
        <v>6496</v>
      </c>
      <c r="C6490" s="17">
        <v>20230101</v>
      </c>
      <c r="D6490" s="17">
        <v>22991231</v>
      </c>
      <c r="E6490" s="25">
        <v>0</v>
      </c>
    </row>
    <row r="6491" spans="1:5" ht="26" x14ac:dyDescent="0.3">
      <c r="A6491" s="17" t="str">
        <f>"J7192"</f>
        <v>J7192</v>
      </c>
      <c r="B6491" s="5" t="s">
        <v>6497</v>
      </c>
      <c r="C6491" s="17">
        <v>20230101</v>
      </c>
      <c r="D6491" s="17">
        <v>22991231</v>
      </c>
      <c r="E6491" s="25">
        <v>1.44</v>
      </c>
    </row>
    <row r="6492" spans="1:5" ht="26" x14ac:dyDescent="0.3">
      <c r="A6492" s="17" t="str">
        <f>"J7193"</f>
        <v>J7193</v>
      </c>
      <c r="B6492" s="5" t="s">
        <v>6498</v>
      </c>
      <c r="C6492" s="17">
        <v>20230101</v>
      </c>
      <c r="D6492" s="17">
        <v>22991231</v>
      </c>
      <c r="E6492" s="25">
        <v>1.26</v>
      </c>
    </row>
    <row r="6493" spans="1:5" x14ac:dyDescent="0.3">
      <c r="A6493" s="17" t="str">
        <f>"J7194"</f>
        <v>J7194</v>
      </c>
      <c r="B6493" s="5" t="s">
        <v>6499</v>
      </c>
      <c r="C6493" s="17">
        <v>20230101</v>
      </c>
      <c r="D6493" s="17">
        <v>22991231</v>
      </c>
      <c r="E6493" s="25">
        <v>1.54</v>
      </c>
    </row>
    <row r="6494" spans="1:5" ht="26" x14ac:dyDescent="0.3">
      <c r="A6494" s="17" t="str">
        <f>"J7195"</f>
        <v>J7195</v>
      </c>
      <c r="B6494" s="5" t="s">
        <v>6500</v>
      </c>
      <c r="C6494" s="17">
        <v>20230101</v>
      </c>
      <c r="D6494" s="17">
        <v>22991231</v>
      </c>
      <c r="E6494" s="25">
        <v>1.67</v>
      </c>
    </row>
    <row r="6495" spans="1:5" x14ac:dyDescent="0.3">
      <c r="A6495" s="17" t="str">
        <f>"J7196"</f>
        <v>J7196</v>
      </c>
      <c r="B6495" s="5" t="s">
        <v>6501</v>
      </c>
      <c r="C6495" s="17">
        <v>20230101</v>
      </c>
      <c r="D6495" s="17">
        <v>22991231</v>
      </c>
      <c r="E6495" s="25">
        <v>0</v>
      </c>
    </row>
    <row r="6496" spans="1:5" x14ac:dyDescent="0.3">
      <c r="A6496" s="17" t="str">
        <f>"J7197"</f>
        <v>J7197</v>
      </c>
      <c r="B6496" s="5" t="s">
        <v>6502</v>
      </c>
      <c r="C6496" s="17">
        <v>20230101</v>
      </c>
      <c r="D6496" s="17">
        <v>22991231</v>
      </c>
      <c r="E6496" s="25">
        <v>3.7</v>
      </c>
    </row>
    <row r="6497" spans="1:5" x14ac:dyDescent="0.3">
      <c r="A6497" s="17" t="str">
        <f>"J7198"</f>
        <v>J7198</v>
      </c>
      <c r="B6497" s="5" t="s">
        <v>6503</v>
      </c>
      <c r="C6497" s="17">
        <v>20230101</v>
      </c>
      <c r="D6497" s="17">
        <v>22991231</v>
      </c>
      <c r="E6497" s="25">
        <v>2.17</v>
      </c>
    </row>
    <row r="6498" spans="1:5" ht="26" x14ac:dyDescent="0.3">
      <c r="A6498" s="17" t="str">
        <f>"J7200"</f>
        <v>J7200</v>
      </c>
      <c r="B6498" s="5" t="s">
        <v>6504</v>
      </c>
      <c r="C6498" s="17">
        <v>20230101</v>
      </c>
      <c r="D6498" s="17">
        <v>22991231</v>
      </c>
      <c r="E6498" s="25">
        <v>1.48</v>
      </c>
    </row>
    <row r="6499" spans="1:5" ht="26" x14ac:dyDescent="0.3">
      <c r="A6499" s="17" t="str">
        <f>"J7201"</f>
        <v>J7201</v>
      </c>
      <c r="B6499" s="5" t="s">
        <v>6505</v>
      </c>
      <c r="C6499" s="17">
        <v>20230101</v>
      </c>
      <c r="D6499" s="17">
        <v>22991231</v>
      </c>
      <c r="E6499" s="25">
        <v>3.31</v>
      </c>
    </row>
    <row r="6500" spans="1:5" ht="26" x14ac:dyDescent="0.3">
      <c r="A6500" s="17" t="str">
        <f>"J7202"</f>
        <v>J7202</v>
      </c>
      <c r="B6500" s="5" t="s">
        <v>6506</v>
      </c>
      <c r="C6500" s="17">
        <v>20230101</v>
      </c>
      <c r="D6500" s="17">
        <v>22991231</v>
      </c>
      <c r="E6500" s="25">
        <v>4.72</v>
      </c>
    </row>
    <row r="6501" spans="1:5" ht="26" x14ac:dyDescent="0.3">
      <c r="A6501" s="17" t="str">
        <f>"J7203"</f>
        <v>J7203</v>
      </c>
      <c r="B6501" s="5" t="s">
        <v>6507</v>
      </c>
      <c r="C6501" s="17">
        <v>20230101</v>
      </c>
      <c r="D6501" s="17">
        <v>22991231</v>
      </c>
      <c r="E6501" s="25">
        <v>4.21</v>
      </c>
    </row>
    <row r="6502" spans="1:5" ht="39" x14ac:dyDescent="0.3">
      <c r="A6502" s="17" t="str">
        <f>"J7204"</f>
        <v>J7204</v>
      </c>
      <c r="B6502" s="5" t="s">
        <v>6508</v>
      </c>
      <c r="C6502" s="17">
        <v>20230101</v>
      </c>
      <c r="D6502" s="17">
        <v>22991231</v>
      </c>
      <c r="E6502" s="25">
        <v>1.99</v>
      </c>
    </row>
    <row r="6503" spans="1:5" ht="26" x14ac:dyDescent="0.3">
      <c r="A6503" s="17" t="str">
        <f>"J7205"</f>
        <v>J7205</v>
      </c>
      <c r="B6503" s="5" t="s">
        <v>6509</v>
      </c>
      <c r="C6503" s="17">
        <v>20230101</v>
      </c>
      <c r="D6503" s="17">
        <v>22991231</v>
      </c>
      <c r="E6503" s="25">
        <v>2.09</v>
      </c>
    </row>
    <row r="6504" spans="1:5" ht="26" x14ac:dyDescent="0.3">
      <c r="A6504" s="17" t="str">
        <f>"J7207"</f>
        <v>J7207</v>
      </c>
      <c r="B6504" s="5" t="s">
        <v>6510</v>
      </c>
      <c r="C6504" s="17">
        <v>20230101</v>
      </c>
      <c r="D6504" s="17">
        <v>22991231</v>
      </c>
      <c r="E6504" s="25">
        <v>1.89</v>
      </c>
    </row>
    <row r="6505" spans="1:5" ht="26" x14ac:dyDescent="0.3">
      <c r="A6505" s="17" t="str">
        <f>"J7208"</f>
        <v>J7208</v>
      </c>
      <c r="B6505" s="5" t="s">
        <v>6511</v>
      </c>
      <c r="C6505" s="17">
        <v>20230101</v>
      </c>
      <c r="D6505" s="17">
        <v>22991231</v>
      </c>
      <c r="E6505" s="25">
        <v>2.2400000000000002</v>
      </c>
    </row>
    <row r="6506" spans="1:5" ht="26" x14ac:dyDescent="0.3">
      <c r="A6506" s="17" t="str">
        <f>"J7209"</f>
        <v>J7209</v>
      </c>
      <c r="B6506" s="5" t="s">
        <v>6512</v>
      </c>
      <c r="C6506" s="17">
        <v>20230101</v>
      </c>
      <c r="D6506" s="17">
        <v>22991231</v>
      </c>
      <c r="E6506" s="25">
        <v>1.22</v>
      </c>
    </row>
    <row r="6507" spans="1:5" ht="26" x14ac:dyDescent="0.3">
      <c r="A6507" s="17" t="str">
        <f>"J7210"</f>
        <v>J7210</v>
      </c>
      <c r="B6507" s="5" t="s">
        <v>6513</v>
      </c>
      <c r="C6507" s="17">
        <v>20230101</v>
      </c>
      <c r="D6507" s="17">
        <v>22991231</v>
      </c>
      <c r="E6507" s="25">
        <v>1.38</v>
      </c>
    </row>
    <row r="6508" spans="1:5" ht="26" x14ac:dyDescent="0.3">
      <c r="A6508" s="17" t="str">
        <f>"J7211"</f>
        <v>J7211</v>
      </c>
      <c r="B6508" s="5" t="s">
        <v>6514</v>
      </c>
      <c r="C6508" s="17">
        <v>20230101</v>
      </c>
      <c r="D6508" s="17">
        <v>22991231</v>
      </c>
      <c r="E6508" s="25">
        <v>1.37</v>
      </c>
    </row>
    <row r="6509" spans="1:5" ht="26" x14ac:dyDescent="0.3">
      <c r="A6509" s="17" t="str">
        <f>"J7212"</f>
        <v>J7212</v>
      </c>
      <c r="B6509" s="5" t="s">
        <v>6515</v>
      </c>
      <c r="C6509" s="17">
        <v>20230101</v>
      </c>
      <c r="D6509" s="17">
        <v>22991231</v>
      </c>
      <c r="E6509" s="25">
        <v>1.94</v>
      </c>
    </row>
    <row r="6510" spans="1:5" ht="26" x14ac:dyDescent="0.3">
      <c r="A6510" s="17" t="str">
        <f>"J7213"</f>
        <v>J7213</v>
      </c>
      <c r="B6510" s="5" t="s">
        <v>6516</v>
      </c>
      <c r="C6510" s="17">
        <v>20240101</v>
      </c>
      <c r="D6510" s="17">
        <v>22991231</v>
      </c>
      <c r="E6510" s="25">
        <v>1.74</v>
      </c>
    </row>
    <row r="6511" spans="1:5" ht="39" x14ac:dyDescent="0.3">
      <c r="A6511" s="17" t="str">
        <f>"J7214"</f>
        <v>J7214</v>
      </c>
      <c r="B6511" s="5" t="s">
        <v>6517</v>
      </c>
      <c r="C6511" s="17">
        <v>20240101</v>
      </c>
      <c r="D6511" s="17">
        <v>22991231</v>
      </c>
      <c r="E6511" s="25">
        <v>4.42</v>
      </c>
    </row>
    <row r="6512" spans="1:5" ht="39" x14ac:dyDescent="0.3">
      <c r="A6512" s="17" t="str">
        <f>"J7308"</f>
        <v>J7308</v>
      </c>
      <c r="B6512" s="5" t="s">
        <v>6518</v>
      </c>
      <c r="C6512" s="17">
        <v>20230101</v>
      </c>
      <c r="D6512" s="17">
        <v>22991231</v>
      </c>
      <c r="E6512" s="25">
        <v>374.72</v>
      </c>
    </row>
    <row r="6513" spans="1:5" ht="26" x14ac:dyDescent="0.3">
      <c r="A6513" s="17" t="str">
        <f>"J7309"</f>
        <v>J7309</v>
      </c>
      <c r="B6513" s="5" t="s">
        <v>6519</v>
      </c>
      <c r="C6513" s="17">
        <v>20230101</v>
      </c>
      <c r="D6513" s="17">
        <v>22991231</v>
      </c>
      <c r="E6513" s="25">
        <v>0</v>
      </c>
    </row>
    <row r="6514" spans="1:5" x14ac:dyDescent="0.3">
      <c r="A6514" s="17" t="str">
        <f>"J7310"</f>
        <v>J7310</v>
      </c>
      <c r="B6514" s="5" t="s">
        <v>6520</v>
      </c>
      <c r="C6514" s="17">
        <v>20230101</v>
      </c>
      <c r="D6514" s="17">
        <v>22991231</v>
      </c>
      <c r="E6514" s="25">
        <v>0</v>
      </c>
    </row>
    <row r="6515" spans="1:5" ht="26" x14ac:dyDescent="0.3">
      <c r="A6515" s="17" t="str">
        <f>"J7311"</f>
        <v>J7311</v>
      </c>
      <c r="B6515" s="5" t="s">
        <v>6521</v>
      </c>
      <c r="C6515" s="17">
        <v>20230101</v>
      </c>
      <c r="D6515" s="17">
        <v>22991231</v>
      </c>
      <c r="E6515" s="25">
        <v>285.64</v>
      </c>
    </row>
    <row r="6516" spans="1:5" ht="26" x14ac:dyDescent="0.3">
      <c r="A6516" s="17" t="str">
        <f>"J7312"</f>
        <v>J7312</v>
      </c>
      <c r="B6516" s="5" t="s">
        <v>6522</v>
      </c>
      <c r="C6516" s="17">
        <v>20230101</v>
      </c>
      <c r="D6516" s="17">
        <v>22991231</v>
      </c>
      <c r="E6516" s="25">
        <v>196.39</v>
      </c>
    </row>
    <row r="6517" spans="1:5" ht="26" x14ac:dyDescent="0.3">
      <c r="A6517" s="17" t="str">
        <f>"J7313"</f>
        <v>J7313</v>
      </c>
      <c r="B6517" s="5" t="s">
        <v>6523</v>
      </c>
      <c r="C6517" s="17">
        <v>20230101</v>
      </c>
      <c r="D6517" s="17">
        <v>22991231</v>
      </c>
      <c r="E6517" s="25">
        <v>468.93</v>
      </c>
    </row>
    <row r="6518" spans="1:5" ht="26" x14ac:dyDescent="0.3">
      <c r="A6518" s="17" t="str">
        <f>"J7314"</f>
        <v>J7314</v>
      </c>
      <c r="B6518" s="5" t="s">
        <v>6524</v>
      </c>
      <c r="C6518" s="17">
        <v>20230101</v>
      </c>
      <c r="D6518" s="17">
        <v>22991231</v>
      </c>
      <c r="E6518" s="25">
        <v>505.27</v>
      </c>
    </row>
    <row r="6519" spans="1:5" x14ac:dyDescent="0.3">
      <c r="A6519" s="17" t="str">
        <f>"J7315"</f>
        <v>J7315</v>
      </c>
      <c r="B6519" s="5" t="s">
        <v>6525</v>
      </c>
      <c r="C6519" s="17">
        <v>20230101</v>
      </c>
      <c r="D6519" s="17">
        <v>22991231</v>
      </c>
      <c r="E6519" s="25">
        <v>0</v>
      </c>
    </row>
    <row r="6520" spans="1:5" x14ac:dyDescent="0.3">
      <c r="A6520" s="17" t="str">
        <f>"J7316"</f>
        <v>J7316</v>
      </c>
      <c r="B6520" s="5" t="s">
        <v>6526</v>
      </c>
      <c r="C6520" s="17">
        <v>20230101</v>
      </c>
      <c r="D6520" s="17">
        <v>22991231</v>
      </c>
      <c r="E6520" s="25">
        <v>0</v>
      </c>
    </row>
    <row r="6521" spans="1:5" ht="26" x14ac:dyDescent="0.3">
      <c r="A6521" s="17" t="str">
        <f>"J7318"</f>
        <v>J7318</v>
      </c>
      <c r="B6521" s="5" t="s">
        <v>6527</v>
      </c>
      <c r="C6521" s="17">
        <v>20060101</v>
      </c>
      <c r="D6521" s="17">
        <v>22991231</v>
      </c>
      <c r="E6521" s="25">
        <v>5.86</v>
      </c>
    </row>
    <row r="6522" spans="1:5" ht="26" x14ac:dyDescent="0.3">
      <c r="A6522" s="17" t="str">
        <f>"J7320"</f>
        <v>J7320</v>
      </c>
      <c r="B6522" s="5" t="s">
        <v>6528</v>
      </c>
      <c r="C6522" s="17">
        <v>20230101</v>
      </c>
      <c r="D6522" s="17">
        <v>22991231</v>
      </c>
      <c r="E6522" s="25">
        <v>5.48</v>
      </c>
    </row>
    <row r="6523" spans="1:5" ht="26" x14ac:dyDescent="0.3">
      <c r="A6523" s="17" t="str">
        <f>"J7321"</f>
        <v>J7321</v>
      </c>
      <c r="B6523" s="5" t="s">
        <v>6529</v>
      </c>
      <c r="C6523" s="17">
        <v>20230101</v>
      </c>
      <c r="D6523" s="17">
        <v>22991231</v>
      </c>
      <c r="E6523" s="25">
        <v>0</v>
      </c>
    </row>
    <row r="6524" spans="1:5" ht="26" x14ac:dyDescent="0.3">
      <c r="A6524" s="17" t="str">
        <f>"J7322"</f>
        <v>J7322</v>
      </c>
      <c r="B6524" s="5" t="s">
        <v>6530</v>
      </c>
      <c r="C6524" s="17">
        <v>20230101</v>
      </c>
      <c r="D6524" s="17">
        <v>22991231</v>
      </c>
      <c r="E6524" s="25">
        <v>16.489999999999998</v>
      </c>
    </row>
    <row r="6525" spans="1:5" ht="26" x14ac:dyDescent="0.3">
      <c r="A6525" s="17" t="str">
        <f>"J7323"</f>
        <v>J7323</v>
      </c>
      <c r="B6525" s="5" t="s">
        <v>6531</v>
      </c>
      <c r="C6525" s="17">
        <v>20230101</v>
      </c>
      <c r="D6525" s="17">
        <v>22991231</v>
      </c>
      <c r="E6525" s="25">
        <v>121.59</v>
      </c>
    </row>
    <row r="6526" spans="1:5" ht="26" x14ac:dyDescent="0.3">
      <c r="A6526" s="17" t="str">
        <f>"J7324"</f>
        <v>J7324</v>
      </c>
      <c r="B6526" s="5" t="s">
        <v>6532</v>
      </c>
      <c r="C6526" s="17">
        <v>20230101</v>
      </c>
      <c r="D6526" s="17">
        <v>22991231</v>
      </c>
      <c r="E6526" s="25">
        <v>124.78</v>
      </c>
    </row>
    <row r="6527" spans="1:5" ht="26" x14ac:dyDescent="0.3">
      <c r="A6527" s="17" t="str">
        <f>"J7325"</f>
        <v>J7325</v>
      </c>
      <c r="B6527" s="5" t="s">
        <v>6533</v>
      </c>
      <c r="C6527" s="17">
        <v>20100101</v>
      </c>
      <c r="D6527" s="17">
        <v>22991231</v>
      </c>
      <c r="E6527" s="25">
        <v>8.7100000000000009</v>
      </c>
    </row>
    <row r="6528" spans="1:5" ht="26" x14ac:dyDescent="0.3">
      <c r="A6528" s="17" t="str">
        <f>"J7326"</f>
        <v>J7326</v>
      </c>
      <c r="B6528" s="5" t="s">
        <v>6534</v>
      </c>
      <c r="C6528" s="17">
        <v>20230101</v>
      </c>
      <c r="D6528" s="17">
        <v>22991231</v>
      </c>
      <c r="E6528" s="25">
        <v>474.99</v>
      </c>
    </row>
    <row r="6529" spans="1:5" ht="26" x14ac:dyDescent="0.3">
      <c r="A6529" s="17" t="str">
        <f>"J7327"</f>
        <v>J7327</v>
      </c>
      <c r="B6529" s="5" t="s">
        <v>6535</v>
      </c>
      <c r="C6529" s="17">
        <v>20230101</v>
      </c>
      <c r="D6529" s="17">
        <v>22991231</v>
      </c>
      <c r="E6529" s="25">
        <v>682.33</v>
      </c>
    </row>
    <row r="6530" spans="1:5" ht="26" x14ac:dyDescent="0.3">
      <c r="A6530" s="17" t="str">
        <f>"J7328"</f>
        <v>J7328</v>
      </c>
      <c r="B6530" s="5" t="s">
        <v>6536</v>
      </c>
      <c r="C6530" s="17">
        <v>20230101</v>
      </c>
      <c r="D6530" s="17">
        <v>22991231</v>
      </c>
      <c r="E6530" s="25">
        <v>0.47</v>
      </c>
    </row>
    <row r="6531" spans="1:5" ht="26" x14ac:dyDescent="0.3">
      <c r="A6531" s="17" t="str">
        <f>"J7329"</f>
        <v>J7329</v>
      </c>
      <c r="B6531" s="5" t="s">
        <v>6537</v>
      </c>
      <c r="C6531" s="17">
        <v>20230101</v>
      </c>
      <c r="D6531" s="17">
        <v>22991231</v>
      </c>
      <c r="E6531" s="25">
        <v>7.56</v>
      </c>
    </row>
    <row r="6532" spans="1:5" ht="26" x14ac:dyDescent="0.3">
      <c r="A6532" s="17" t="str">
        <f>"J7331"</f>
        <v>J7331</v>
      </c>
      <c r="B6532" s="5" t="s">
        <v>6538</v>
      </c>
      <c r="C6532" s="17">
        <v>20230101</v>
      </c>
      <c r="D6532" s="17">
        <v>22991231</v>
      </c>
      <c r="E6532" s="25">
        <v>10.83</v>
      </c>
    </row>
    <row r="6533" spans="1:5" ht="26" x14ac:dyDescent="0.3">
      <c r="A6533" s="17" t="str">
        <f>"J7332"</f>
        <v>J7332</v>
      </c>
      <c r="B6533" s="5" t="s">
        <v>6539</v>
      </c>
      <c r="C6533" s="17">
        <v>20230101</v>
      </c>
      <c r="D6533" s="17">
        <v>22991231</v>
      </c>
      <c r="E6533" s="25">
        <v>9.81</v>
      </c>
    </row>
    <row r="6534" spans="1:5" x14ac:dyDescent="0.3">
      <c r="A6534" s="17" t="str">
        <f>"J7336"</f>
        <v>J7336</v>
      </c>
      <c r="B6534" s="5" t="s">
        <v>6540</v>
      </c>
      <c r="C6534" s="17">
        <v>20230101</v>
      </c>
      <c r="D6534" s="17">
        <v>22991231</v>
      </c>
      <c r="E6534" s="25">
        <v>3.12</v>
      </c>
    </row>
    <row r="6535" spans="1:5" ht="26" x14ac:dyDescent="0.3">
      <c r="A6535" s="17" t="str">
        <f>"J7340"</f>
        <v>J7340</v>
      </c>
      <c r="B6535" s="5" t="s">
        <v>6541</v>
      </c>
      <c r="C6535" s="17">
        <v>20050101</v>
      </c>
      <c r="D6535" s="17">
        <v>22991231</v>
      </c>
      <c r="E6535" s="25">
        <v>217.54</v>
      </c>
    </row>
    <row r="6536" spans="1:5" x14ac:dyDescent="0.3">
      <c r="A6536" s="17" t="str">
        <f>"J7342"</f>
        <v>J7342</v>
      </c>
      <c r="B6536" s="5" t="s">
        <v>6542</v>
      </c>
      <c r="C6536" s="17">
        <v>20040101</v>
      </c>
      <c r="D6536" s="17">
        <v>22991231</v>
      </c>
      <c r="E6536" s="25">
        <v>28.67</v>
      </c>
    </row>
    <row r="6537" spans="1:5" ht="26" x14ac:dyDescent="0.3">
      <c r="A6537" s="17" t="str">
        <f>"J7345"</f>
        <v>J7345</v>
      </c>
      <c r="B6537" s="5" t="s">
        <v>6543</v>
      </c>
      <c r="C6537" s="17">
        <v>20230101</v>
      </c>
      <c r="D6537" s="17">
        <v>22991231</v>
      </c>
      <c r="E6537" s="25">
        <v>1.58</v>
      </c>
    </row>
    <row r="6538" spans="1:5" ht="26" x14ac:dyDescent="0.3">
      <c r="A6538" s="17" t="str">
        <f>"J7351"</f>
        <v>J7351</v>
      </c>
      <c r="B6538" s="5" t="s">
        <v>6544</v>
      </c>
      <c r="C6538" s="17">
        <v>20230101</v>
      </c>
      <c r="D6538" s="17">
        <v>22991231</v>
      </c>
      <c r="E6538" s="25">
        <v>196.96</v>
      </c>
    </row>
    <row r="6539" spans="1:5" x14ac:dyDescent="0.3">
      <c r="A6539" s="17" t="str">
        <f>"J7352"</f>
        <v>J7352</v>
      </c>
      <c r="B6539" s="5" t="s">
        <v>6545</v>
      </c>
      <c r="C6539" s="17">
        <v>20230101</v>
      </c>
      <c r="D6539" s="17">
        <v>22991231</v>
      </c>
      <c r="E6539" s="25">
        <v>2744.46</v>
      </c>
    </row>
    <row r="6540" spans="1:5" x14ac:dyDescent="0.3">
      <c r="A6540" s="17" t="str">
        <f>"J7353"</f>
        <v>J7353</v>
      </c>
      <c r="B6540" s="5" t="s">
        <v>6546</v>
      </c>
      <c r="C6540" s="17">
        <v>20240101</v>
      </c>
      <c r="D6540" s="17">
        <v>22991231</v>
      </c>
      <c r="E6540" s="25">
        <v>0</v>
      </c>
    </row>
    <row r="6541" spans="1:5" ht="26" x14ac:dyDescent="0.3">
      <c r="A6541" s="17" t="str">
        <f>"J7402"</f>
        <v>J7402</v>
      </c>
      <c r="B6541" s="5" t="s">
        <v>6547</v>
      </c>
      <c r="C6541" s="17">
        <v>20230101</v>
      </c>
      <c r="D6541" s="17">
        <v>22991231</v>
      </c>
      <c r="E6541" s="25">
        <v>10.84</v>
      </c>
    </row>
    <row r="6542" spans="1:5" x14ac:dyDescent="0.3">
      <c r="A6542" s="17" t="str">
        <f>"J7500"</f>
        <v>J7500</v>
      </c>
      <c r="B6542" s="5" t="s">
        <v>6548</v>
      </c>
      <c r="C6542" s="17">
        <v>20230101</v>
      </c>
      <c r="D6542" s="17">
        <v>22991231</v>
      </c>
      <c r="E6542" s="25">
        <v>0</v>
      </c>
    </row>
    <row r="6543" spans="1:5" x14ac:dyDescent="0.3">
      <c r="A6543" s="17" t="str">
        <f>"J7501"</f>
        <v>J7501</v>
      </c>
      <c r="B6543" s="5" t="s">
        <v>6549</v>
      </c>
      <c r="C6543" s="17">
        <v>20230101</v>
      </c>
      <c r="D6543" s="17">
        <v>22991231</v>
      </c>
      <c r="E6543" s="25">
        <v>229.18</v>
      </c>
    </row>
    <row r="6544" spans="1:5" x14ac:dyDescent="0.3">
      <c r="A6544" s="17" t="str">
        <f>"J7502"</f>
        <v>J7502</v>
      </c>
      <c r="B6544" s="5" t="s">
        <v>6550</v>
      </c>
      <c r="C6544" s="17">
        <v>20230101</v>
      </c>
      <c r="D6544" s="17">
        <v>22991231</v>
      </c>
      <c r="E6544" s="25">
        <v>0</v>
      </c>
    </row>
    <row r="6545" spans="1:5" ht="26" x14ac:dyDescent="0.3">
      <c r="A6545" s="17" t="str">
        <f>"J7503"</f>
        <v>J7503</v>
      </c>
      <c r="B6545" s="5" t="s">
        <v>6551</v>
      </c>
      <c r="C6545" s="17">
        <v>20230101</v>
      </c>
      <c r="D6545" s="17">
        <v>22991231</v>
      </c>
      <c r="E6545" s="25">
        <v>0</v>
      </c>
    </row>
    <row r="6546" spans="1:5" ht="26" x14ac:dyDescent="0.3">
      <c r="A6546" s="17" t="str">
        <f>"J7504"</f>
        <v>J7504</v>
      </c>
      <c r="B6546" s="5" t="s">
        <v>6552</v>
      </c>
      <c r="C6546" s="17">
        <v>20230101</v>
      </c>
      <c r="D6546" s="17">
        <v>22991231</v>
      </c>
      <c r="E6546" s="25">
        <v>3430.38</v>
      </c>
    </row>
    <row r="6547" spans="1:5" x14ac:dyDescent="0.3">
      <c r="A6547" s="17" t="str">
        <f>"J7505"</f>
        <v>J7505</v>
      </c>
      <c r="B6547" s="5" t="s">
        <v>6553</v>
      </c>
      <c r="C6547" s="17">
        <v>20230101</v>
      </c>
      <c r="D6547" s="17">
        <v>22991231</v>
      </c>
      <c r="E6547" s="25">
        <v>0</v>
      </c>
    </row>
    <row r="6548" spans="1:5" x14ac:dyDescent="0.3">
      <c r="A6548" s="17" t="str">
        <f>"J7507"</f>
        <v>J7507</v>
      </c>
      <c r="B6548" s="5" t="s">
        <v>6554</v>
      </c>
      <c r="C6548" s="17">
        <v>20230101</v>
      </c>
      <c r="D6548" s="17">
        <v>22991231</v>
      </c>
      <c r="E6548" s="25">
        <v>0</v>
      </c>
    </row>
    <row r="6549" spans="1:5" ht="26" x14ac:dyDescent="0.3">
      <c r="A6549" s="17" t="str">
        <f>"J7508"</f>
        <v>J7508</v>
      </c>
      <c r="B6549" s="5" t="s">
        <v>6555</v>
      </c>
      <c r="C6549" s="17">
        <v>20230101</v>
      </c>
      <c r="D6549" s="17">
        <v>22991231</v>
      </c>
      <c r="E6549" s="25">
        <v>0</v>
      </c>
    </row>
    <row r="6550" spans="1:5" x14ac:dyDescent="0.3">
      <c r="A6550" s="17" t="str">
        <f>"J7509"</f>
        <v>J7509</v>
      </c>
      <c r="B6550" s="5" t="s">
        <v>6556</v>
      </c>
      <c r="C6550" s="17">
        <v>20230101</v>
      </c>
      <c r="D6550" s="17">
        <v>22991231</v>
      </c>
      <c r="E6550" s="25">
        <v>0</v>
      </c>
    </row>
    <row r="6551" spans="1:5" x14ac:dyDescent="0.3">
      <c r="A6551" s="17" t="str">
        <f>"J7510"</f>
        <v>J7510</v>
      </c>
      <c r="B6551" s="5" t="s">
        <v>6557</v>
      </c>
      <c r="C6551" s="17">
        <v>20230101</v>
      </c>
      <c r="D6551" s="17">
        <v>22991231</v>
      </c>
      <c r="E6551" s="25">
        <v>0</v>
      </c>
    </row>
    <row r="6552" spans="1:5" ht="26" x14ac:dyDescent="0.3">
      <c r="A6552" s="17" t="str">
        <f>"J7511"</f>
        <v>J7511</v>
      </c>
      <c r="B6552" s="5" t="s">
        <v>6558</v>
      </c>
      <c r="C6552" s="17">
        <v>20230101</v>
      </c>
      <c r="D6552" s="17">
        <v>22991231</v>
      </c>
      <c r="E6552" s="25">
        <v>887.36</v>
      </c>
    </row>
    <row r="6553" spans="1:5" ht="26" x14ac:dyDescent="0.3">
      <c r="A6553" s="17" t="str">
        <f>"J7512"</f>
        <v>J7512</v>
      </c>
      <c r="B6553" s="5" t="s">
        <v>6559</v>
      </c>
      <c r="C6553" s="17">
        <v>20230101</v>
      </c>
      <c r="D6553" s="17">
        <v>22991231</v>
      </c>
      <c r="E6553" s="25">
        <v>0</v>
      </c>
    </row>
    <row r="6554" spans="1:5" x14ac:dyDescent="0.3">
      <c r="A6554" s="17" t="str">
        <f>"J7513"</f>
        <v>J7513</v>
      </c>
      <c r="B6554" s="5" t="s">
        <v>6560</v>
      </c>
      <c r="C6554" s="17">
        <v>20230101</v>
      </c>
      <c r="D6554" s="17">
        <v>22991231</v>
      </c>
      <c r="E6554" s="25">
        <v>0</v>
      </c>
    </row>
    <row r="6555" spans="1:5" x14ac:dyDescent="0.3">
      <c r="A6555" s="17" t="str">
        <f>"J7515"</f>
        <v>J7515</v>
      </c>
      <c r="B6555" s="5" t="s">
        <v>6561</v>
      </c>
      <c r="C6555" s="17">
        <v>20230101</v>
      </c>
      <c r="D6555" s="17">
        <v>22991231</v>
      </c>
      <c r="E6555" s="25">
        <v>0</v>
      </c>
    </row>
    <row r="6556" spans="1:5" x14ac:dyDescent="0.3">
      <c r="A6556" s="17" t="str">
        <f>"J7516"</f>
        <v>J7516</v>
      </c>
      <c r="B6556" s="5" t="s">
        <v>6562</v>
      </c>
      <c r="C6556" s="17">
        <v>20230101</v>
      </c>
      <c r="D6556" s="17">
        <v>22991231</v>
      </c>
      <c r="E6556" s="25">
        <v>0</v>
      </c>
    </row>
    <row r="6557" spans="1:5" x14ac:dyDescent="0.3">
      <c r="A6557" s="17" t="str">
        <f>"J7517"</f>
        <v>J7517</v>
      </c>
      <c r="B6557" s="5" t="s">
        <v>6563</v>
      </c>
      <c r="C6557" s="17">
        <v>20230101</v>
      </c>
      <c r="D6557" s="17">
        <v>22991231</v>
      </c>
      <c r="E6557" s="25">
        <v>0</v>
      </c>
    </row>
    <row r="6558" spans="1:5" x14ac:dyDescent="0.3">
      <c r="A6558" s="17" t="str">
        <f>"J7518"</f>
        <v>J7518</v>
      </c>
      <c r="B6558" s="5" t="s">
        <v>6564</v>
      </c>
      <c r="C6558" s="17">
        <v>20050101</v>
      </c>
      <c r="D6558" s="17">
        <v>22991231</v>
      </c>
      <c r="E6558" s="25">
        <v>0</v>
      </c>
    </row>
    <row r="6559" spans="1:5" x14ac:dyDescent="0.3">
      <c r="A6559" s="17" t="str">
        <f>"J7519"</f>
        <v>J7519</v>
      </c>
      <c r="B6559" s="5" t="s">
        <v>6565</v>
      </c>
      <c r="C6559" s="17">
        <v>20240101</v>
      </c>
      <c r="D6559" s="17">
        <v>22991231</v>
      </c>
      <c r="E6559" s="25">
        <v>0.7</v>
      </c>
    </row>
    <row r="6560" spans="1:5" x14ac:dyDescent="0.3">
      <c r="A6560" s="17" t="str">
        <f>"J7520"</f>
        <v>J7520</v>
      </c>
      <c r="B6560" s="5" t="s">
        <v>6566</v>
      </c>
      <c r="C6560" s="17">
        <v>20230101</v>
      </c>
      <c r="D6560" s="17">
        <v>22991231</v>
      </c>
      <c r="E6560" s="25">
        <v>0</v>
      </c>
    </row>
    <row r="6561" spans="1:5" x14ac:dyDescent="0.3">
      <c r="A6561" s="17" t="str">
        <f>"J7525"</f>
        <v>J7525</v>
      </c>
      <c r="B6561" s="5" t="s">
        <v>6567</v>
      </c>
      <c r="C6561" s="17">
        <v>20230101</v>
      </c>
      <c r="D6561" s="17">
        <v>22991231</v>
      </c>
      <c r="E6561" s="25">
        <v>237.58</v>
      </c>
    </row>
    <row r="6562" spans="1:5" x14ac:dyDescent="0.3">
      <c r="A6562" s="17" t="str">
        <f>"J7527"</f>
        <v>J7527</v>
      </c>
      <c r="B6562" s="5" t="s">
        <v>6568</v>
      </c>
      <c r="C6562" s="17">
        <v>20230101</v>
      </c>
      <c r="D6562" s="17">
        <v>22991231</v>
      </c>
      <c r="E6562" s="25">
        <v>0</v>
      </c>
    </row>
    <row r="6563" spans="1:5" ht="26" x14ac:dyDescent="0.3">
      <c r="A6563" s="17" t="str">
        <f>"J7599"</f>
        <v>J7599</v>
      </c>
      <c r="B6563" s="5" t="s">
        <v>6569</v>
      </c>
      <c r="C6563" s="17">
        <v>20230101</v>
      </c>
      <c r="D6563" s="17">
        <v>22991231</v>
      </c>
      <c r="E6563" s="25">
        <v>0</v>
      </c>
    </row>
    <row r="6564" spans="1:5" ht="39" x14ac:dyDescent="0.3">
      <c r="A6564" s="17" t="str">
        <f>"J7611"</f>
        <v>J7611</v>
      </c>
      <c r="B6564" s="5" t="s">
        <v>6570</v>
      </c>
      <c r="C6564" s="17">
        <v>20050101</v>
      </c>
      <c r="D6564" s="17">
        <v>22991231</v>
      </c>
      <c r="E6564" s="24" t="s">
        <v>7128</v>
      </c>
    </row>
    <row r="6565" spans="1:5" ht="39" x14ac:dyDescent="0.3">
      <c r="A6565" s="17" t="str">
        <f>"J7612"</f>
        <v>J7612</v>
      </c>
      <c r="B6565" s="5" t="s">
        <v>6571</v>
      </c>
      <c r="C6565" s="17">
        <v>20050101</v>
      </c>
      <c r="D6565" s="17">
        <v>22991231</v>
      </c>
      <c r="E6565" s="24" t="s">
        <v>7128</v>
      </c>
    </row>
    <row r="6566" spans="1:5" ht="39" x14ac:dyDescent="0.3">
      <c r="A6566" s="17" t="str">
        <f>"J7613"</f>
        <v>J7613</v>
      </c>
      <c r="B6566" s="5" t="s">
        <v>6572</v>
      </c>
      <c r="C6566" s="17">
        <v>20050101</v>
      </c>
      <c r="D6566" s="17">
        <v>22991231</v>
      </c>
      <c r="E6566" s="24" t="s">
        <v>7128</v>
      </c>
    </row>
    <row r="6567" spans="1:5" ht="39" x14ac:dyDescent="0.3">
      <c r="A6567" s="17" t="str">
        <f>"J7614"</f>
        <v>J7614</v>
      </c>
      <c r="B6567" s="5" t="s">
        <v>6573</v>
      </c>
      <c r="C6567" s="17">
        <v>20050101</v>
      </c>
      <c r="D6567" s="17">
        <v>22991231</v>
      </c>
      <c r="E6567" s="24" t="s">
        <v>7128</v>
      </c>
    </row>
    <row r="6568" spans="1:5" x14ac:dyDescent="0.3">
      <c r="A6568" s="17" t="str">
        <f>"J7665"</f>
        <v>J7665</v>
      </c>
      <c r="B6568" s="5" t="s">
        <v>6574</v>
      </c>
      <c r="C6568" s="17">
        <v>20230101</v>
      </c>
      <c r="D6568" s="17">
        <v>22991231</v>
      </c>
      <c r="E6568" s="25">
        <v>0</v>
      </c>
    </row>
    <row r="6569" spans="1:5" ht="26" x14ac:dyDescent="0.3">
      <c r="A6569" s="17" t="str">
        <f>"J7674"</f>
        <v>J7674</v>
      </c>
      <c r="B6569" s="5" t="s">
        <v>6575</v>
      </c>
      <c r="C6569" s="17">
        <v>20050101</v>
      </c>
      <c r="D6569" s="17">
        <v>22991231</v>
      </c>
      <c r="E6569" s="25">
        <v>0</v>
      </c>
    </row>
    <row r="6570" spans="1:5" ht="26" x14ac:dyDescent="0.3">
      <c r="A6570" s="17" t="str">
        <f>"J7799"</f>
        <v>J7799</v>
      </c>
      <c r="B6570" s="5" t="s">
        <v>6576</v>
      </c>
      <c r="C6570" s="17">
        <v>20230101</v>
      </c>
      <c r="D6570" s="17">
        <v>22991231</v>
      </c>
      <c r="E6570" s="25">
        <v>0</v>
      </c>
    </row>
    <row r="6571" spans="1:5" x14ac:dyDescent="0.3">
      <c r="A6571" s="17" t="str">
        <f>"J7999"</f>
        <v>J7999</v>
      </c>
      <c r="B6571" s="5" t="s">
        <v>6577</v>
      </c>
      <c r="C6571" s="17">
        <v>20230101</v>
      </c>
      <c r="D6571" s="17">
        <v>22991231</v>
      </c>
      <c r="E6571" s="25">
        <v>0</v>
      </c>
    </row>
    <row r="6572" spans="1:5" x14ac:dyDescent="0.3">
      <c r="A6572" s="17" t="str">
        <f>"J8501"</f>
        <v>J8501</v>
      </c>
      <c r="B6572" s="5" t="s">
        <v>6578</v>
      </c>
      <c r="C6572" s="17">
        <v>20050101</v>
      </c>
      <c r="D6572" s="17">
        <v>22991231</v>
      </c>
      <c r="E6572" s="25">
        <v>0</v>
      </c>
    </row>
    <row r="6573" spans="1:5" x14ac:dyDescent="0.3">
      <c r="A6573" s="17" t="str">
        <f>"J8510"</f>
        <v>J8510</v>
      </c>
      <c r="B6573" s="5" t="s">
        <v>6579</v>
      </c>
      <c r="C6573" s="17">
        <v>20230101</v>
      </c>
      <c r="D6573" s="17">
        <v>22991231</v>
      </c>
      <c r="E6573" s="25">
        <v>0</v>
      </c>
    </row>
    <row r="6574" spans="1:5" x14ac:dyDescent="0.3">
      <c r="A6574" s="17" t="str">
        <f>"J8520"</f>
        <v>J8520</v>
      </c>
      <c r="B6574" s="5" t="s">
        <v>6580</v>
      </c>
      <c r="C6574" s="17">
        <v>20230101</v>
      </c>
      <c r="D6574" s="17">
        <v>22991231</v>
      </c>
      <c r="E6574" s="25">
        <v>0</v>
      </c>
    </row>
    <row r="6575" spans="1:5" x14ac:dyDescent="0.3">
      <c r="A6575" s="17" t="str">
        <f>"J8521"</f>
        <v>J8521</v>
      </c>
      <c r="B6575" s="5" t="s">
        <v>6581</v>
      </c>
      <c r="C6575" s="17">
        <v>20230101</v>
      </c>
      <c r="D6575" s="17">
        <v>22991231</v>
      </c>
      <c r="E6575" s="25">
        <v>0</v>
      </c>
    </row>
    <row r="6576" spans="1:5" x14ac:dyDescent="0.3">
      <c r="A6576" s="17" t="str">
        <f>"J8530"</f>
        <v>J8530</v>
      </c>
      <c r="B6576" s="5" t="s">
        <v>6582</v>
      </c>
      <c r="C6576" s="17">
        <v>20230101</v>
      </c>
      <c r="D6576" s="17">
        <v>22991231</v>
      </c>
      <c r="E6576" s="25">
        <v>0</v>
      </c>
    </row>
    <row r="6577" spans="1:5" x14ac:dyDescent="0.3">
      <c r="A6577" s="17" t="str">
        <f>"J8540"</f>
        <v>J8540</v>
      </c>
      <c r="B6577" s="5" t="s">
        <v>6583</v>
      </c>
      <c r="C6577" s="17">
        <v>20060101</v>
      </c>
      <c r="D6577" s="17">
        <v>22991231</v>
      </c>
      <c r="E6577" s="25">
        <v>0</v>
      </c>
    </row>
    <row r="6578" spans="1:5" x14ac:dyDescent="0.3">
      <c r="A6578" s="17" t="str">
        <f>"J8560"</f>
        <v>J8560</v>
      </c>
      <c r="B6578" s="5" t="s">
        <v>6584</v>
      </c>
      <c r="C6578" s="17">
        <v>20230101</v>
      </c>
      <c r="D6578" s="17">
        <v>22991231</v>
      </c>
      <c r="E6578" s="25">
        <v>73.17</v>
      </c>
    </row>
    <row r="6579" spans="1:5" x14ac:dyDescent="0.3">
      <c r="A6579" s="17" t="str">
        <f>"J8562"</f>
        <v>J8562</v>
      </c>
      <c r="B6579" s="5" t="s">
        <v>6585</v>
      </c>
      <c r="C6579" s="17">
        <v>20230101</v>
      </c>
      <c r="D6579" s="17">
        <v>22991231</v>
      </c>
      <c r="E6579" s="25">
        <v>0</v>
      </c>
    </row>
    <row r="6580" spans="1:5" x14ac:dyDescent="0.3">
      <c r="A6580" s="17" t="str">
        <f>"J8565"</f>
        <v>J8565</v>
      </c>
      <c r="B6580" s="5" t="s">
        <v>6586</v>
      </c>
      <c r="C6580" s="17">
        <v>20050101</v>
      </c>
      <c r="D6580" s="17">
        <v>22991231</v>
      </c>
      <c r="E6580" s="25">
        <v>0</v>
      </c>
    </row>
    <row r="6581" spans="1:5" x14ac:dyDescent="0.3">
      <c r="A6581" s="17" t="str">
        <f>"J8597"</f>
        <v>J8597</v>
      </c>
      <c r="B6581" s="5" t="s">
        <v>6587</v>
      </c>
      <c r="C6581" s="17">
        <v>20230101</v>
      </c>
      <c r="D6581" s="17">
        <v>22991231</v>
      </c>
      <c r="E6581" s="25">
        <v>0</v>
      </c>
    </row>
    <row r="6582" spans="1:5" x14ac:dyDescent="0.3">
      <c r="A6582" s="17" t="str">
        <f>"J8600"</f>
        <v>J8600</v>
      </c>
      <c r="B6582" s="5" t="s">
        <v>6588</v>
      </c>
      <c r="C6582" s="17">
        <v>20230101</v>
      </c>
      <c r="D6582" s="17">
        <v>22991231</v>
      </c>
      <c r="E6582" s="25">
        <v>0</v>
      </c>
    </row>
    <row r="6583" spans="1:5" x14ac:dyDescent="0.3">
      <c r="A6583" s="17" t="str">
        <f>"J8610"</f>
        <v>J8610</v>
      </c>
      <c r="B6583" s="5" t="s">
        <v>6589</v>
      </c>
      <c r="C6583" s="17">
        <v>20230101</v>
      </c>
      <c r="D6583" s="17">
        <v>22991231</v>
      </c>
      <c r="E6583" s="25">
        <v>0</v>
      </c>
    </row>
    <row r="6584" spans="1:5" x14ac:dyDescent="0.3">
      <c r="A6584" s="17" t="str">
        <f>"J8650"</f>
        <v>J8650</v>
      </c>
      <c r="B6584" s="5" t="s">
        <v>6590</v>
      </c>
      <c r="C6584" s="17">
        <v>20230101</v>
      </c>
      <c r="D6584" s="17">
        <v>22991231</v>
      </c>
      <c r="E6584" s="25">
        <v>0</v>
      </c>
    </row>
    <row r="6585" spans="1:5" x14ac:dyDescent="0.3">
      <c r="A6585" s="17" t="str">
        <f>"J8655"</f>
        <v>J8655</v>
      </c>
      <c r="B6585" s="5" t="s">
        <v>6591</v>
      </c>
      <c r="C6585" s="17">
        <v>20230101</v>
      </c>
      <c r="D6585" s="17">
        <v>22991231</v>
      </c>
      <c r="E6585" s="25">
        <v>391.67</v>
      </c>
    </row>
    <row r="6586" spans="1:5" x14ac:dyDescent="0.3">
      <c r="A6586" s="17" t="str">
        <f>"J8670"</f>
        <v>J8670</v>
      </c>
      <c r="B6586" s="5" t="s">
        <v>6592</v>
      </c>
      <c r="C6586" s="17">
        <v>20230101</v>
      </c>
      <c r="D6586" s="17">
        <v>22991231</v>
      </c>
      <c r="E6586" s="25">
        <v>1.52</v>
      </c>
    </row>
    <row r="6587" spans="1:5" x14ac:dyDescent="0.3">
      <c r="A6587" s="17" t="str">
        <f>"J8700"</f>
        <v>J8700</v>
      </c>
      <c r="B6587" s="5" t="s">
        <v>6593</v>
      </c>
      <c r="C6587" s="17">
        <v>20230101</v>
      </c>
      <c r="D6587" s="17">
        <v>22991231</v>
      </c>
      <c r="E6587" s="25">
        <v>0</v>
      </c>
    </row>
    <row r="6588" spans="1:5" x14ac:dyDescent="0.3">
      <c r="A6588" s="17" t="str">
        <f>"J8705"</f>
        <v>J8705</v>
      </c>
      <c r="B6588" s="5" t="s">
        <v>6594</v>
      </c>
      <c r="C6588" s="17">
        <v>20090101</v>
      </c>
      <c r="D6588" s="17">
        <v>22991231</v>
      </c>
      <c r="E6588" s="25">
        <v>108.4</v>
      </c>
    </row>
    <row r="6589" spans="1:5" x14ac:dyDescent="0.3">
      <c r="A6589" s="17" t="str">
        <f>"J9000"</f>
        <v>J9000</v>
      </c>
      <c r="B6589" s="5" t="s">
        <v>6595</v>
      </c>
      <c r="C6589" s="17">
        <v>20230101</v>
      </c>
      <c r="D6589" s="17">
        <v>22991231</v>
      </c>
      <c r="E6589" s="25">
        <v>0</v>
      </c>
    </row>
    <row r="6590" spans="1:5" x14ac:dyDescent="0.3">
      <c r="A6590" s="17" t="str">
        <f>"J9015"</f>
        <v>J9015</v>
      </c>
      <c r="B6590" s="5" t="s">
        <v>6596</v>
      </c>
      <c r="C6590" s="17">
        <v>20230101</v>
      </c>
      <c r="D6590" s="17">
        <v>22991231</v>
      </c>
      <c r="E6590" s="25">
        <v>3766.16</v>
      </c>
    </row>
    <row r="6591" spans="1:5" x14ac:dyDescent="0.3">
      <c r="A6591" s="17" t="str">
        <f>"J9017"</f>
        <v>J9017</v>
      </c>
      <c r="B6591" s="5" t="s">
        <v>6597</v>
      </c>
      <c r="C6591" s="17">
        <v>20230101</v>
      </c>
      <c r="D6591" s="17">
        <v>22991231</v>
      </c>
      <c r="E6591" s="25">
        <v>15.07</v>
      </c>
    </row>
    <row r="6592" spans="1:5" x14ac:dyDescent="0.3">
      <c r="A6592" s="17" t="str">
        <f>"J9019"</f>
        <v>J9019</v>
      </c>
      <c r="B6592" s="5" t="s">
        <v>6598</v>
      </c>
      <c r="C6592" s="17">
        <v>20230101</v>
      </c>
      <c r="D6592" s="17">
        <v>22991231</v>
      </c>
      <c r="E6592" s="25">
        <v>408.11</v>
      </c>
    </row>
    <row r="6593" spans="1:5" ht="26" x14ac:dyDescent="0.3">
      <c r="A6593" s="17" t="str">
        <f>"J9020"</f>
        <v>J9020</v>
      </c>
      <c r="B6593" s="5" t="s">
        <v>6599</v>
      </c>
      <c r="C6593" s="17">
        <v>20230101</v>
      </c>
      <c r="D6593" s="17">
        <v>22991231</v>
      </c>
      <c r="E6593" s="25">
        <v>0</v>
      </c>
    </row>
    <row r="6594" spans="1:5" ht="26" x14ac:dyDescent="0.3">
      <c r="A6594" s="17" t="str">
        <f>"J9021"</f>
        <v>J9021</v>
      </c>
      <c r="B6594" s="5" t="s">
        <v>6600</v>
      </c>
      <c r="C6594" s="17">
        <v>20230101</v>
      </c>
      <c r="D6594" s="17">
        <v>22991231</v>
      </c>
      <c r="E6594" s="25">
        <v>48.67</v>
      </c>
    </row>
    <row r="6595" spans="1:5" x14ac:dyDescent="0.3">
      <c r="A6595" s="17" t="str">
        <f>"J9022"</f>
        <v>J9022</v>
      </c>
      <c r="B6595" s="5" t="s">
        <v>6601</v>
      </c>
      <c r="C6595" s="17">
        <v>20230101</v>
      </c>
      <c r="D6595" s="17">
        <v>22991231</v>
      </c>
      <c r="E6595" s="25">
        <v>81.2</v>
      </c>
    </row>
    <row r="6596" spans="1:5" x14ac:dyDescent="0.3">
      <c r="A6596" s="17" t="str">
        <f>"J9023"</f>
        <v>J9023</v>
      </c>
      <c r="B6596" s="5" t="s">
        <v>6602</v>
      </c>
      <c r="C6596" s="17">
        <v>20230101</v>
      </c>
      <c r="D6596" s="17">
        <v>22991231</v>
      </c>
      <c r="E6596" s="25">
        <v>88.23</v>
      </c>
    </row>
    <row r="6597" spans="1:5" x14ac:dyDescent="0.3">
      <c r="A6597" s="17" t="str">
        <f>"J9025"</f>
        <v>J9025</v>
      </c>
      <c r="B6597" s="5" t="s">
        <v>6603</v>
      </c>
      <c r="C6597" s="17">
        <v>20060101</v>
      </c>
      <c r="D6597" s="17">
        <v>22991231</v>
      </c>
      <c r="E6597" s="25">
        <v>0</v>
      </c>
    </row>
    <row r="6598" spans="1:5" x14ac:dyDescent="0.3">
      <c r="A6598" s="17" t="str">
        <f>"J9027"</f>
        <v>J9027</v>
      </c>
      <c r="B6598" s="5" t="s">
        <v>6604</v>
      </c>
      <c r="C6598" s="17">
        <v>20230101</v>
      </c>
      <c r="D6598" s="17">
        <v>22991231</v>
      </c>
      <c r="E6598" s="25">
        <v>20.43</v>
      </c>
    </row>
    <row r="6599" spans="1:5" ht="26" x14ac:dyDescent="0.3">
      <c r="A6599" s="17" t="str">
        <f>"J9029"</f>
        <v>J9029</v>
      </c>
      <c r="B6599" s="5" t="s">
        <v>6605</v>
      </c>
      <c r="C6599" s="17">
        <v>20240101</v>
      </c>
      <c r="D6599" s="17">
        <v>22991231</v>
      </c>
      <c r="E6599" s="25">
        <v>59028.27</v>
      </c>
    </row>
    <row r="6600" spans="1:5" x14ac:dyDescent="0.3">
      <c r="A6600" s="17" t="str">
        <f>"J9030"</f>
        <v>J9030</v>
      </c>
      <c r="B6600" s="5" t="s">
        <v>6606</v>
      </c>
      <c r="C6600" s="17">
        <v>20230101</v>
      </c>
      <c r="D6600" s="17">
        <v>22991231</v>
      </c>
      <c r="E6600" s="25">
        <v>0</v>
      </c>
    </row>
    <row r="6601" spans="1:5" x14ac:dyDescent="0.3">
      <c r="A6601" s="17" t="str">
        <f>"J9032"</f>
        <v>J9032</v>
      </c>
      <c r="B6601" s="5" t="s">
        <v>6607</v>
      </c>
      <c r="C6601" s="17">
        <v>20230101</v>
      </c>
      <c r="D6601" s="17">
        <v>22991231</v>
      </c>
      <c r="E6601" s="25">
        <v>46.69</v>
      </c>
    </row>
    <row r="6602" spans="1:5" x14ac:dyDescent="0.3">
      <c r="A6602" s="17" t="str">
        <f>"J9033"</f>
        <v>J9033</v>
      </c>
      <c r="B6602" s="5" t="s">
        <v>6608</v>
      </c>
      <c r="C6602" s="17">
        <v>20090101</v>
      </c>
      <c r="D6602" s="17">
        <v>22991231</v>
      </c>
      <c r="E6602" s="25">
        <v>8.7799999999999994</v>
      </c>
    </row>
    <row r="6603" spans="1:5" x14ac:dyDescent="0.3">
      <c r="A6603" s="17" t="str">
        <f>"J9034"</f>
        <v>J9034</v>
      </c>
      <c r="B6603" s="5" t="s">
        <v>6609</v>
      </c>
      <c r="C6603" s="17">
        <v>20230101</v>
      </c>
      <c r="D6603" s="17">
        <v>22991231</v>
      </c>
      <c r="E6603" s="25">
        <v>14.1</v>
      </c>
    </row>
    <row r="6604" spans="1:5" x14ac:dyDescent="0.3">
      <c r="A6604" s="17" t="str">
        <f>"J9035"</f>
        <v>J9035</v>
      </c>
      <c r="B6604" s="5" t="s">
        <v>6610</v>
      </c>
      <c r="C6604" s="17">
        <v>20050101</v>
      </c>
      <c r="D6604" s="17">
        <v>22991231</v>
      </c>
      <c r="E6604" s="25">
        <v>70.75</v>
      </c>
    </row>
    <row r="6605" spans="1:5" ht="26" x14ac:dyDescent="0.3">
      <c r="A6605" s="17" t="str">
        <f>"J9036"</f>
        <v>J9036</v>
      </c>
      <c r="B6605" s="5" t="s">
        <v>6611</v>
      </c>
      <c r="C6605" s="17">
        <v>20230101</v>
      </c>
      <c r="D6605" s="17">
        <v>22991231</v>
      </c>
      <c r="E6605" s="25">
        <v>12.5</v>
      </c>
    </row>
    <row r="6606" spans="1:5" x14ac:dyDescent="0.3">
      <c r="A6606" s="17" t="str">
        <f>"J9037"</f>
        <v>J9037</v>
      </c>
      <c r="B6606" s="5" t="s">
        <v>6612</v>
      </c>
      <c r="C6606" s="17">
        <v>20230101</v>
      </c>
      <c r="D6606" s="17">
        <v>22991231</v>
      </c>
      <c r="E6606" s="25">
        <v>44.68</v>
      </c>
    </row>
    <row r="6607" spans="1:5" x14ac:dyDescent="0.3">
      <c r="A6607" s="17" t="str">
        <f>"J9039"</f>
        <v>J9039</v>
      </c>
      <c r="B6607" s="5" t="s">
        <v>6613</v>
      </c>
      <c r="C6607" s="17">
        <v>20230101</v>
      </c>
      <c r="D6607" s="17">
        <v>22991231</v>
      </c>
      <c r="E6607" s="25">
        <v>139.04</v>
      </c>
    </row>
    <row r="6608" spans="1:5" x14ac:dyDescent="0.3">
      <c r="A6608" s="17" t="str">
        <f>"J9040"</f>
        <v>J9040</v>
      </c>
      <c r="B6608" s="5" t="s">
        <v>6614</v>
      </c>
      <c r="C6608" s="17">
        <v>20230101</v>
      </c>
      <c r="D6608" s="17">
        <v>22991231</v>
      </c>
      <c r="E6608" s="25">
        <v>0</v>
      </c>
    </row>
    <row r="6609" spans="1:5" x14ac:dyDescent="0.3">
      <c r="A6609" s="17" t="str">
        <f>"J9041"</f>
        <v>J9041</v>
      </c>
      <c r="B6609" s="5" t="s">
        <v>6615</v>
      </c>
      <c r="C6609" s="17">
        <v>20050101</v>
      </c>
      <c r="D6609" s="17">
        <v>22991231</v>
      </c>
      <c r="E6609" s="25">
        <v>1.87</v>
      </c>
    </row>
    <row r="6610" spans="1:5" x14ac:dyDescent="0.3">
      <c r="A6610" s="17" t="str">
        <f>"J9042"</f>
        <v>J9042</v>
      </c>
      <c r="B6610" s="5" t="s">
        <v>6616</v>
      </c>
      <c r="C6610" s="17">
        <v>20230101</v>
      </c>
      <c r="D6610" s="17">
        <v>22991231</v>
      </c>
      <c r="E6610" s="25">
        <v>220.27</v>
      </c>
    </row>
    <row r="6611" spans="1:5" x14ac:dyDescent="0.3">
      <c r="A6611" s="17" t="str">
        <f>"J9043"</f>
        <v>J9043</v>
      </c>
      <c r="B6611" s="5" t="s">
        <v>6617</v>
      </c>
      <c r="C6611" s="17">
        <v>20230101</v>
      </c>
      <c r="D6611" s="17">
        <v>22991231</v>
      </c>
      <c r="E6611" s="25">
        <v>201.01</v>
      </c>
    </row>
    <row r="6612" spans="1:5" x14ac:dyDescent="0.3">
      <c r="A6612" s="17" t="str">
        <f>"J9045"</f>
        <v>J9045</v>
      </c>
      <c r="B6612" s="5" t="s">
        <v>6618</v>
      </c>
      <c r="C6612" s="17">
        <v>20230101</v>
      </c>
      <c r="D6612" s="17">
        <v>22991231</v>
      </c>
      <c r="E6612" s="25">
        <v>0</v>
      </c>
    </row>
    <row r="6613" spans="1:5" ht="26" x14ac:dyDescent="0.3">
      <c r="A6613" s="17" t="str">
        <f>"J9046"</f>
        <v>J9046</v>
      </c>
      <c r="B6613" s="5" t="s">
        <v>6619</v>
      </c>
      <c r="C6613" s="17">
        <v>20230101</v>
      </c>
      <c r="D6613" s="17">
        <v>22991231</v>
      </c>
      <c r="E6613" s="25">
        <v>46.37</v>
      </c>
    </row>
    <row r="6614" spans="1:5" x14ac:dyDescent="0.3">
      <c r="A6614" s="17" t="str">
        <f>"J9047"</f>
        <v>J9047</v>
      </c>
      <c r="B6614" s="5" t="s">
        <v>6620</v>
      </c>
      <c r="C6614" s="17">
        <v>20230101</v>
      </c>
      <c r="D6614" s="17">
        <v>22991231</v>
      </c>
      <c r="E6614" s="25">
        <v>44.98</v>
      </c>
    </row>
    <row r="6615" spans="1:5" ht="26" x14ac:dyDescent="0.3">
      <c r="A6615" s="17" t="str">
        <f>"J9048"</f>
        <v>J9048</v>
      </c>
      <c r="B6615" s="5" t="s">
        <v>6621</v>
      </c>
      <c r="C6615" s="17">
        <v>20230101</v>
      </c>
      <c r="D6615" s="17">
        <v>22991231</v>
      </c>
      <c r="E6615" s="25">
        <v>46.37</v>
      </c>
    </row>
    <row r="6616" spans="1:5" ht="26" x14ac:dyDescent="0.3">
      <c r="A6616" s="17" t="str">
        <f>"J9049"</f>
        <v>J9049</v>
      </c>
      <c r="B6616" s="5" t="s">
        <v>6622</v>
      </c>
      <c r="C6616" s="17">
        <v>20230101</v>
      </c>
      <c r="D6616" s="17">
        <v>22991231</v>
      </c>
      <c r="E6616" s="25">
        <v>1.45</v>
      </c>
    </row>
    <row r="6617" spans="1:5" x14ac:dyDescent="0.3">
      <c r="A6617" s="17" t="str">
        <f>"J9050"</f>
        <v>J9050</v>
      </c>
      <c r="B6617" s="5" t="s">
        <v>6623</v>
      </c>
      <c r="C6617" s="17">
        <v>20230101</v>
      </c>
      <c r="D6617" s="17">
        <v>22991231</v>
      </c>
      <c r="E6617" s="25">
        <v>259.29000000000002</v>
      </c>
    </row>
    <row r="6618" spans="1:5" ht="26" x14ac:dyDescent="0.3">
      <c r="A6618" s="17" t="str">
        <f>"J9051"</f>
        <v>J9051</v>
      </c>
      <c r="B6618" s="5" t="s">
        <v>6624</v>
      </c>
      <c r="C6618" s="17">
        <v>20240101</v>
      </c>
      <c r="D6618" s="17">
        <v>22991231</v>
      </c>
      <c r="E6618" s="25">
        <v>0</v>
      </c>
    </row>
    <row r="6619" spans="1:5" ht="26" x14ac:dyDescent="0.3">
      <c r="A6619" s="17" t="str">
        <f>"J9052"</f>
        <v>J9052</v>
      </c>
      <c r="B6619" s="5" t="s">
        <v>6625</v>
      </c>
      <c r="C6619" s="17">
        <v>20240101</v>
      </c>
      <c r="D6619" s="17">
        <v>22991231</v>
      </c>
      <c r="E6619" s="25">
        <v>17.57</v>
      </c>
    </row>
    <row r="6620" spans="1:5" x14ac:dyDescent="0.3">
      <c r="A6620" s="17" t="str">
        <f>"J9055"</f>
        <v>J9055</v>
      </c>
      <c r="B6620" s="5" t="s">
        <v>6626</v>
      </c>
      <c r="C6620" s="17">
        <v>20050101</v>
      </c>
      <c r="D6620" s="17">
        <v>22991231</v>
      </c>
      <c r="E6620" s="25">
        <v>70.41</v>
      </c>
    </row>
    <row r="6621" spans="1:5" ht="26" x14ac:dyDescent="0.3">
      <c r="A6621" s="17" t="str">
        <f>"J9056"</f>
        <v>J9056</v>
      </c>
      <c r="B6621" s="5" t="s">
        <v>6627</v>
      </c>
      <c r="C6621" s="17">
        <v>20240101</v>
      </c>
      <c r="D6621" s="17">
        <v>22991231</v>
      </c>
      <c r="E6621" s="25">
        <v>31.95</v>
      </c>
    </row>
    <row r="6622" spans="1:5" x14ac:dyDescent="0.3">
      <c r="A6622" s="17" t="str">
        <f>"J9057"</f>
        <v>J9057</v>
      </c>
      <c r="B6622" s="5" t="s">
        <v>6628</v>
      </c>
      <c r="C6622" s="17">
        <v>20230101</v>
      </c>
      <c r="D6622" s="17">
        <v>22991231</v>
      </c>
      <c r="E6622" s="25">
        <v>83.63</v>
      </c>
    </row>
    <row r="6623" spans="1:5" ht="26" x14ac:dyDescent="0.3">
      <c r="A6623" s="17" t="str">
        <f>"J9058"</f>
        <v>J9058</v>
      </c>
      <c r="B6623" s="5" t="s">
        <v>6629</v>
      </c>
      <c r="C6623" s="17">
        <v>20240101</v>
      </c>
      <c r="D6623" s="17">
        <v>22991231</v>
      </c>
      <c r="E6623" s="25">
        <v>19.850000000000001</v>
      </c>
    </row>
    <row r="6624" spans="1:5" ht="26" x14ac:dyDescent="0.3">
      <c r="A6624" s="17" t="str">
        <f>"J9059"</f>
        <v>J9059</v>
      </c>
      <c r="B6624" s="5" t="s">
        <v>6630</v>
      </c>
      <c r="C6624" s="17">
        <v>20240101</v>
      </c>
      <c r="D6624" s="17">
        <v>22991231</v>
      </c>
      <c r="E6624" s="25">
        <v>19.850000000000001</v>
      </c>
    </row>
    <row r="6625" spans="1:5" x14ac:dyDescent="0.3">
      <c r="A6625" s="17" t="str">
        <f>"J9060"</f>
        <v>J9060</v>
      </c>
      <c r="B6625" s="5" t="s">
        <v>6631</v>
      </c>
      <c r="C6625" s="17">
        <v>20230101</v>
      </c>
      <c r="D6625" s="17">
        <v>22991231</v>
      </c>
      <c r="E6625" s="25">
        <v>0</v>
      </c>
    </row>
    <row r="6626" spans="1:5" x14ac:dyDescent="0.3">
      <c r="A6626" s="17" t="str">
        <f>"J9061"</f>
        <v>J9061</v>
      </c>
      <c r="B6626" s="5" t="s">
        <v>6632</v>
      </c>
      <c r="C6626" s="17">
        <v>20230101</v>
      </c>
      <c r="D6626" s="17">
        <v>22991231</v>
      </c>
      <c r="E6626" s="25">
        <v>19.079999999999998</v>
      </c>
    </row>
    <row r="6627" spans="1:5" x14ac:dyDescent="0.3">
      <c r="A6627" s="17" t="str">
        <f>"J9063"</f>
        <v>J9063</v>
      </c>
      <c r="B6627" s="5" t="s">
        <v>6633</v>
      </c>
      <c r="C6627" s="17">
        <v>20240101</v>
      </c>
      <c r="D6627" s="17">
        <v>22991231</v>
      </c>
      <c r="E6627" s="25">
        <v>62.76</v>
      </c>
    </row>
    <row r="6628" spans="1:5" ht="26" x14ac:dyDescent="0.3">
      <c r="A6628" s="17" t="str">
        <f>"J9064"</f>
        <v>J9064</v>
      </c>
      <c r="B6628" s="5" t="s">
        <v>6634</v>
      </c>
      <c r="C6628" s="17">
        <v>20240101</v>
      </c>
      <c r="D6628" s="17">
        <v>22991231</v>
      </c>
      <c r="E6628" s="25">
        <v>0</v>
      </c>
    </row>
    <row r="6629" spans="1:5" x14ac:dyDescent="0.3">
      <c r="A6629" s="17" t="str">
        <f>"J9065"</f>
        <v>J9065</v>
      </c>
      <c r="B6629" s="5" t="s">
        <v>6635</v>
      </c>
      <c r="C6629" s="17">
        <v>20230101</v>
      </c>
      <c r="D6629" s="17">
        <v>22991231</v>
      </c>
      <c r="E6629" s="25">
        <v>15.06</v>
      </c>
    </row>
    <row r="6630" spans="1:5" x14ac:dyDescent="0.3">
      <c r="A6630" s="31" t="s">
        <v>21</v>
      </c>
      <c r="B6630" s="32" t="s">
        <v>6636</v>
      </c>
      <c r="C6630" s="31">
        <v>20230101</v>
      </c>
      <c r="D6630" s="31">
        <v>20240331</v>
      </c>
      <c r="E6630" s="33">
        <v>19.25</v>
      </c>
    </row>
    <row r="6631" spans="1:5" x14ac:dyDescent="0.3">
      <c r="A6631" s="17" t="str">
        <f>"J9071"</f>
        <v>J9071</v>
      </c>
      <c r="B6631" s="5" t="s">
        <v>6637</v>
      </c>
      <c r="C6631" s="17">
        <v>20230101</v>
      </c>
      <c r="D6631" s="17">
        <v>22991231</v>
      </c>
      <c r="E6631" s="25">
        <v>1.71</v>
      </c>
    </row>
    <row r="6632" spans="1:5" x14ac:dyDescent="0.3">
      <c r="A6632" s="17" t="str">
        <f>"J9072"</f>
        <v>J9072</v>
      </c>
      <c r="B6632" s="5" t="s">
        <v>6638</v>
      </c>
      <c r="C6632" s="17">
        <v>20240101</v>
      </c>
      <c r="D6632" s="17">
        <v>22991231</v>
      </c>
      <c r="E6632" s="25">
        <v>3.59</v>
      </c>
    </row>
    <row r="6633" spans="1:5" x14ac:dyDescent="0.3">
      <c r="A6633" s="17" t="str">
        <f>"J9098"</f>
        <v>J9098</v>
      </c>
      <c r="B6633" s="5" t="s">
        <v>6639</v>
      </c>
      <c r="C6633" s="17">
        <v>20230101</v>
      </c>
      <c r="D6633" s="17">
        <v>22991231</v>
      </c>
      <c r="E6633" s="25">
        <v>0</v>
      </c>
    </row>
    <row r="6634" spans="1:5" x14ac:dyDescent="0.3">
      <c r="A6634" s="17" t="str">
        <f>"J9100"</f>
        <v>J9100</v>
      </c>
      <c r="B6634" s="5" t="s">
        <v>6640</v>
      </c>
      <c r="C6634" s="17">
        <v>20230101</v>
      </c>
      <c r="D6634" s="17">
        <v>22991231</v>
      </c>
      <c r="E6634" s="25">
        <v>0</v>
      </c>
    </row>
    <row r="6635" spans="1:5" x14ac:dyDescent="0.3">
      <c r="A6635" s="17" t="str">
        <f>"J9118"</f>
        <v>J9118</v>
      </c>
      <c r="B6635" s="5" t="s">
        <v>6641</v>
      </c>
      <c r="C6635" s="17">
        <v>20230101</v>
      </c>
      <c r="D6635" s="17">
        <v>22991231</v>
      </c>
      <c r="E6635" s="25">
        <v>0</v>
      </c>
    </row>
    <row r="6636" spans="1:5" x14ac:dyDescent="0.3">
      <c r="A6636" s="17" t="str">
        <f>"J9119"</f>
        <v>J9119</v>
      </c>
      <c r="B6636" s="5" t="s">
        <v>6642</v>
      </c>
      <c r="C6636" s="17">
        <v>20230101</v>
      </c>
      <c r="D6636" s="17">
        <v>22991231</v>
      </c>
      <c r="E6636" s="25">
        <v>26.23</v>
      </c>
    </row>
    <row r="6637" spans="1:5" x14ac:dyDescent="0.3">
      <c r="A6637" s="17" t="str">
        <f>"J9120"</f>
        <v>J9120</v>
      </c>
      <c r="B6637" s="5" t="s">
        <v>6643</v>
      </c>
      <c r="C6637" s="17">
        <v>20230101</v>
      </c>
      <c r="D6637" s="17">
        <v>22991231</v>
      </c>
      <c r="E6637" s="25">
        <v>638.9</v>
      </c>
    </row>
    <row r="6638" spans="1:5" x14ac:dyDescent="0.3">
      <c r="A6638" s="17" t="str">
        <f>"J9130"</f>
        <v>J9130</v>
      </c>
      <c r="B6638" s="5" t="s">
        <v>6644</v>
      </c>
      <c r="C6638" s="17">
        <v>20230101</v>
      </c>
      <c r="D6638" s="17">
        <v>22991231</v>
      </c>
      <c r="E6638" s="25">
        <v>0</v>
      </c>
    </row>
    <row r="6639" spans="1:5" ht="26" x14ac:dyDescent="0.3">
      <c r="A6639" s="17" t="str">
        <f>"J9144"</f>
        <v>J9144</v>
      </c>
      <c r="B6639" s="5" t="s">
        <v>6645</v>
      </c>
      <c r="C6639" s="17">
        <v>20230101</v>
      </c>
      <c r="D6639" s="17">
        <v>22991231</v>
      </c>
      <c r="E6639" s="25">
        <v>46.85</v>
      </c>
    </row>
    <row r="6640" spans="1:5" x14ac:dyDescent="0.3">
      <c r="A6640" s="17" t="str">
        <f>"J9145"</f>
        <v>J9145</v>
      </c>
      <c r="B6640" s="5" t="s">
        <v>6646</v>
      </c>
      <c r="C6640" s="17">
        <v>20230101</v>
      </c>
      <c r="D6640" s="17">
        <v>22991231</v>
      </c>
      <c r="E6640" s="25">
        <v>58.94</v>
      </c>
    </row>
    <row r="6641" spans="1:5" x14ac:dyDescent="0.3">
      <c r="A6641" s="17" t="str">
        <f>"J9150"</f>
        <v>J9150</v>
      </c>
      <c r="B6641" s="5" t="s">
        <v>6647</v>
      </c>
      <c r="C6641" s="17">
        <v>20230101</v>
      </c>
      <c r="D6641" s="17">
        <v>22991231</v>
      </c>
      <c r="E6641" s="25">
        <v>34.07</v>
      </c>
    </row>
    <row r="6642" spans="1:5" ht="26" x14ac:dyDescent="0.3">
      <c r="A6642" s="17" t="str">
        <f>"J9151"</f>
        <v>J9151</v>
      </c>
      <c r="B6642" s="5" t="s">
        <v>6648</v>
      </c>
      <c r="C6642" s="17">
        <v>20230101</v>
      </c>
      <c r="D6642" s="17">
        <v>22991231</v>
      </c>
      <c r="E6642" s="25">
        <v>0</v>
      </c>
    </row>
    <row r="6643" spans="1:5" ht="26" x14ac:dyDescent="0.3">
      <c r="A6643" s="17" t="str">
        <f>"J9153"</f>
        <v>J9153</v>
      </c>
      <c r="B6643" s="5" t="s">
        <v>6649</v>
      </c>
      <c r="C6643" s="17">
        <v>20230101</v>
      </c>
      <c r="D6643" s="17">
        <v>22991231</v>
      </c>
      <c r="E6643" s="25">
        <v>221.37</v>
      </c>
    </row>
    <row r="6644" spans="1:5" x14ac:dyDescent="0.3">
      <c r="A6644" s="17" t="str">
        <f>"J9155"</f>
        <v>J9155</v>
      </c>
      <c r="B6644" s="5" t="s">
        <v>6650</v>
      </c>
      <c r="C6644" s="17">
        <v>20230101</v>
      </c>
      <c r="D6644" s="17">
        <v>22991231</v>
      </c>
      <c r="E6644" s="25">
        <v>4</v>
      </c>
    </row>
    <row r="6645" spans="1:5" x14ac:dyDescent="0.3">
      <c r="A6645" s="17" t="str">
        <f>"J9165"</f>
        <v>J9165</v>
      </c>
      <c r="B6645" s="5" t="s">
        <v>6651</v>
      </c>
      <c r="C6645" s="17">
        <v>20230101</v>
      </c>
      <c r="D6645" s="17">
        <v>22991231</v>
      </c>
      <c r="E6645" s="25">
        <v>0</v>
      </c>
    </row>
    <row r="6646" spans="1:5" x14ac:dyDescent="0.3">
      <c r="A6646" s="17" t="str">
        <f>"J9171"</f>
        <v>J9171</v>
      </c>
      <c r="B6646" s="5" t="s">
        <v>6652</v>
      </c>
      <c r="C6646" s="17">
        <v>20230101</v>
      </c>
      <c r="D6646" s="17">
        <v>22991231</v>
      </c>
      <c r="E6646" s="25">
        <v>0</v>
      </c>
    </row>
    <row r="6647" spans="1:5" ht="26" x14ac:dyDescent="0.3">
      <c r="A6647" s="17" t="str">
        <f>"J9172"</f>
        <v>J9172</v>
      </c>
      <c r="B6647" s="5" t="s">
        <v>6653</v>
      </c>
      <c r="C6647" s="17">
        <v>20240101</v>
      </c>
      <c r="D6647" s="17">
        <v>22991231</v>
      </c>
      <c r="E6647" s="25">
        <v>0</v>
      </c>
    </row>
    <row r="6648" spans="1:5" x14ac:dyDescent="0.3">
      <c r="A6648" s="17" t="str">
        <f>"J9173"</f>
        <v>J9173</v>
      </c>
      <c r="B6648" s="5" t="s">
        <v>6654</v>
      </c>
      <c r="C6648" s="17">
        <v>20230101</v>
      </c>
      <c r="D6648" s="17">
        <v>22991231</v>
      </c>
      <c r="E6648" s="25">
        <v>77.09</v>
      </c>
    </row>
    <row r="6649" spans="1:5" x14ac:dyDescent="0.3">
      <c r="A6649" s="17" t="str">
        <f>"J9175"</f>
        <v>J9175</v>
      </c>
      <c r="B6649" s="5" t="s">
        <v>6655</v>
      </c>
      <c r="C6649" s="17">
        <v>20060101</v>
      </c>
      <c r="D6649" s="17">
        <v>22991231</v>
      </c>
      <c r="E6649" s="25">
        <v>0</v>
      </c>
    </row>
    <row r="6650" spans="1:5" x14ac:dyDescent="0.3">
      <c r="A6650" s="17" t="str">
        <f>"J9176"</f>
        <v>J9176</v>
      </c>
      <c r="B6650" s="5" t="s">
        <v>6656</v>
      </c>
      <c r="C6650" s="17">
        <v>20230101</v>
      </c>
      <c r="D6650" s="17">
        <v>22991231</v>
      </c>
      <c r="E6650" s="25">
        <v>7.05</v>
      </c>
    </row>
    <row r="6651" spans="1:5" x14ac:dyDescent="0.3">
      <c r="A6651" s="17" t="str">
        <f>"J9177"</f>
        <v>J9177</v>
      </c>
      <c r="B6651" s="5" t="s">
        <v>6657</v>
      </c>
      <c r="C6651" s="17">
        <v>20230101</v>
      </c>
      <c r="D6651" s="17">
        <v>22991231</v>
      </c>
      <c r="E6651" s="25">
        <v>33.46</v>
      </c>
    </row>
    <row r="6652" spans="1:5" x14ac:dyDescent="0.3">
      <c r="A6652" s="17" t="str">
        <f>"J9178"</f>
        <v>J9178</v>
      </c>
      <c r="B6652" s="5" t="s">
        <v>6658</v>
      </c>
      <c r="C6652" s="17">
        <v>20230101</v>
      </c>
      <c r="D6652" s="17">
        <v>22991231</v>
      </c>
      <c r="E6652" s="25">
        <v>0</v>
      </c>
    </row>
    <row r="6653" spans="1:5" x14ac:dyDescent="0.3">
      <c r="A6653" s="17" t="str">
        <f>"J9179"</f>
        <v>J9179</v>
      </c>
      <c r="B6653" s="5" t="s">
        <v>6659</v>
      </c>
      <c r="C6653" s="17">
        <v>20230101</v>
      </c>
      <c r="D6653" s="17">
        <v>22991231</v>
      </c>
      <c r="E6653" s="25">
        <v>128.01</v>
      </c>
    </row>
    <row r="6654" spans="1:5" x14ac:dyDescent="0.3">
      <c r="A6654" s="17" t="str">
        <f>"J9181"</f>
        <v>J9181</v>
      </c>
      <c r="B6654" s="5" t="s">
        <v>6660</v>
      </c>
      <c r="C6654" s="17">
        <v>20230101</v>
      </c>
      <c r="D6654" s="17">
        <v>22991231</v>
      </c>
      <c r="E6654" s="25">
        <v>0</v>
      </c>
    </row>
    <row r="6655" spans="1:5" x14ac:dyDescent="0.3">
      <c r="A6655" s="17" t="str">
        <f>"J9185"</f>
        <v>J9185</v>
      </c>
      <c r="B6655" s="5" t="s">
        <v>6661</v>
      </c>
      <c r="C6655" s="17">
        <v>20230101</v>
      </c>
      <c r="D6655" s="17">
        <v>22991231</v>
      </c>
      <c r="E6655" s="25">
        <v>166.17</v>
      </c>
    </row>
    <row r="6656" spans="1:5" x14ac:dyDescent="0.3">
      <c r="A6656" s="17" t="str">
        <f>"J9190"</f>
        <v>J9190</v>
      </c>
      <c r="B6656" s="5" t="s">
        <v>6662</v>
      </c>
      <c r="C6656" s="17">
        <v>20230101</v>
      </c>
      <c r="D6656" s="17">
        <v>22991231</v>
      </c>
      <c r="E6656" s="25">
        <v>0</v>
      </c>
    </row>
    <row r="6657" spans="1:5" ht="26" x14ac:dyDescent="0.3">
      <c r="A6657" s="17" t="str">
        <f>"J9196"</f>
        <v>J9196</v>
      </c>
      <c r="B6657" s="5" t="s">
        <v>6663</v>
      </c>
      <c r="C6657" s="17">
        <v>20240101</v>
      </c>
      <c r="D6657" s="17">
        <v>22991231</v>
      </c>
      <c r="E6657" s="25">
        <v>8.39</v>
      </c>
    </row>
    <row r="6658" spans="1:5" ht="26" x14ac:dyDescent="0.3">
      <c r="A6658" s="17" t="str">
        <f>"J9198"</f>
        <v>J9198</v>
      </c>
      <c r="B6658" s="5" t="s">
        <v>6664</v>
      </c>
      <c r="C6658" s="17">
        <v>20230101</v>
      </c>
      <c r="D6658" s="17">
        <v>22991231</v>
      </c>
      <c r="E6658" s="25">
        <v>38.47</v>
      </c>
    </row>
    <row r="6659" spans="1:5" x14ac:dyDescent="0.3">
      <c r="A6659" s="17" t="str">
        <f>"J9200"</f>
        <v>J9200</v>
      </c>
      <c r="B6659" s="5" t="s">
        <v>6665</v>
      </c>
      <c r="C6659" s="17">
        <v>20230101</v>
      </c>
      <c r="D6659" s="17">
        <v>22991231</v>
      </c>
      <c r="E6659" s="25">
        <v>3555.11</v>
      </c>
    </row>
    <row r="6660" spans="1:5" ht="26" x14ac:dyDescent="0.3">
      <c r="A6660" s="17" t="str">
        <f>"J9201"</f>
        <v>J9201</v>
      </c>
      <c r="B6660" s="5" t="s">
        <v>6666</v>
      </c>
      <c r="C6660" s="17">
        <v>20230101</v>
      </c>
      <c r="D6660" s="17">
        <v>22991231</v>
      </c>
      <c r="E6660" s="25">
        <v>0</v>
      </c>
    </row>
    <row r="6661" spans="1:5" x14ac:dyDescent="0.3">
      <c r="A6661" s="17" t="str">
        <f>"J9202"</f>
        <v>J9202</v>
      </c>
      <c r="B6661" s="5" t="s">
        <v>6667</v>
      </c>
      <c r="C6661" s="17">
        <v>20230101</v>
      </c>
      <c r="D6661" s="17">
        <v>22991231</v>
      </c>
      <c r="E6661" s="25">
        <v>581.70000000000005</v>
      </c>
    </row>
    <row r="6662" spans="1:5" x14ac:dyDescent="0.3">
      <c r="A6662" s="17" t="str">
        <f>"J9203"</f>
        <v>J9203</v>
      </c>
      <c r="B6662" s="5" t="s">
        <v>6668</v>
      </c>
      <c r="C6662" s="17">
        <v>20230101</v>
      </c>
      <c r="D6662" s="17">
        <v>22991231</v>
      </c>
      <c r="E6662" s="25">
        <v>216.13</v>
      </c>
    </row>
    <row r="6663" spans="1:5" x14ac:dyDescent="0.3">
      <c r="A6663" s="17" t="str">
        <f>"J9204"</f>
        <v>J9204</v>
      </c>
      <c r="B6663" s="5" t="s">
        <v>6669</v>
      </c>
      <c r="C6663" s="17">
        <v>20230101</v>
      </c>
      <c r="D6663" s="17">
        <v>22991231</v>
      </c>
      <c r="E6663" s="25">
        <v>223.67</v>
      </c>
    </row>
    <row r="6664" spans="1:5" x14ac:dyDescent="0.3">
      <c r="A6664" s="17" t="str">
        <f>"J9205"</f>
        <v>J9205</v>
      </c>
      <c r="B6664" s="5" t="s">
        <v>6670</v>
      </c>
      <c r="C6664" s="17">
        <v>20230101</v>
      </c>
      <c r="D6664" s="17">
        <v>22991231</v>
      </c>
      <c r="E6664" s="25">
        <v>59.24</v>
      </c>
    </row>
    <row r="6665" spans="1:5" x14ac:dyDescent="0.3">
      <c r="A6665" s="17" t="str">
        <f>"J9206"</f>
        <v>J9206</v>
      </c>
      <c r="B6665" s="5" t="s">
        <v>6671</v>
      </c>
      <c r="C6665" s="17">
        <v>20230101</v>
      </c>
      <c r="D6665" s="17">
        <v>22991231</v>
      </c>
      <c r="E6665" s="25">
        <v>0</v>
      </c>
    </row>
    <row r="6666" spans="1:5" x14ac:dyDescent="0.3">
      <c r="A6666" s="17" t="str">
        <f>"J9207"</f>
        <v>J9207</v>
      </c>
      <c r="B6666" s="5" t="s">
        <v>6672</v>
      </c>
      <c r="C6666" s="17">
        <v>20090101</v>
      </c>
      <c r="D6666" s="17">
        <v>22991231</v>
      </c>
      <c r="E6666" s="25">
        <v>122.33</v>
      </c>
    </row>
    <row r="6667" spans="1:5" x14ac:dyDescent="0.3">
      <c r="A6667" s="17" t="str">
        <f>"J9208"</f>
        <v>J9208</v>
      </c>
      <c r="B6667" s="5" t="s">
        <v>6673</v>
      </c>
      <c r="C6667" s="17">
        <v>20230101</v>
      </c>
      <c r="D6667" s="17">
        <v>22991231</v>
      </c>
      <c r="E6667" s="25">
        <v>0</v>
      </c>
    </row>
    <row r="6668" spans="1:5" x14ac:dyDescent="0.3">
      <c r="A6668" s="17" t="str">
        <f>"J9209"</f>
        <v>J9209</v>
      </c>
      <c r="B6668" s="5" t="s">
        <v>6674</v>
      </c>
      <c r="C6668" s="17">
        <v>20230101</v>
      </c>
      <c r="D6668" s="17">
        <v>22991231</v>
      </c>
      <c r="E6668" s="25">
        <v>0</v>
      </c>
    </row>
    <row r="6669" spans="1:5" x14ac:dyDescent="0.3">
      <c r="A6669" s="17" t="str">
        <f>"J9210"</f>
        <v>J9210</v>
      </c>
      <c r="B6669" s="5" t="s">
        <v>6675</v>
      </c>
      <c r="C6669" s="17">
        <v>20230101</v>
      </c>
      <c r="D6669" s="17">
        <v>22991231</v>
      </c>
      <c r="E6669" s="25">
        <v>358.81</v>
      </c>
    </row>
    <row r="6670" spans="1:5" x14ac:dyDescent="0.3">
      <c r="A6670" s="17" t="str">
        <f>"J9211"</f>
        <v>J9211</v>
      </c>
      <c r="B6670" s="5" t="s">
        <v>6676</v>
      </c>
      <c r="C6670" s="17">
        <v>20230101</v>
      </c>
      <c r="D6670" s="17">
        <v>22991231</v>
      </c>
      <c r="E6670" s="25">
        <v>0</v>
      </c>
    </row>
    <row r="6671" spans="1:5" ht="26" x14ac:dyDescent="0.3">
      <c r="A6671" s="17" t="str">
        <f>"J9212"</f>
        <v>J9212</v>
      </c>
      <c r="B6671" s="5" t="s">
        <v>6677</v>
      </c>
      <c r="C6671" s="17">
        <v>20230101</v>
      </c>
      <c r="D6671" s="17">
        <v>22991231</v>
      </c>
      <c r="E6671" s="25">
        <v>0</v>
      </c>
    </row>
    <row r="6672" spans="1:5" ht="26" x14ac:dyDescent="0.3">
      <c r="A6672" s="17" t="str">
        <f>"J9213"</f>
        <v>J9213</v>
      </c>
      <c r="B6672" s="5" t="s">
        <v>6678</v>
      </c>
      <c r="C6672" s="17">
        <v>20230101</v>
      </c>
      <c r="D6672" s="17">
        <v>22991231</v>
      </c>
      <c r="E6672" s="25">
        <v>0</v>
      </c>
    </row>
    <row r="6673" spans="1:5" ht="26" x14ac:dyDescent="0.3">
      <c r="A6673" s="17" t="str">
        <f>"J9214"</f>
        <v>J9214</v>
      </c>
      <c r="B6673" s="5" t="s">
        <v>6679</v>
      </c>
      <c r="C6673" s="17">
        <v>20230101</v>
      </c>
      <c r="D6673" s="17">
        <v>22991231</v>
      </c>
      <c r="E6673" s="25">
        <v>31.11</v>
      </c>
    </row>
    <row r="6674" spans="1:5" ht="26" x14ac:dyDescent="0.3">
      <c r="A6674" s="17" t="str">
        <f>"J9215"</f>
        <v>J9215</v>
      </c>
      <c r="B6674" s="5" t="s">
        <v>6680</v>
      </c>
      <c r="C6674" s="17">
        <v>20230101</v>
      </c>
      <c r="D6674" s="17">
        <v>22991231</v>
      </c>
      <c r="E6674" s="25">
        <v>0</v>
      </c>
    </row>
    <row r="6675" spans="1:5" x14ac:dyDescent="0.3">
      <c r="A6675" s="17" t="str">
        <f>"J9216"</f>
        <v>J9216</v>
      </c>
      <c r="B6675" s="5" t="s">
        <v>6681</v>
      </c>
      <c r="C6675" s="17">
        <v>20230101</v>
      </c>
      <c r="D6675" s="17">
        <v>22991231</v>
      </c>
      <c r="E6675" s="25">
        <v>0</v>
      </c>
    </row>
    <row r="6676" spans="1:5" ht="26" x14ac:dyDescent="0.3">
      <c r="A6676" s="17" t="str">
        <f>"J9217"</f>
        <v>J9217</v>
      </c>
      <c r="B6676" s="5" t="s">
        <v>6682</v>
      </c>
      <c r="C6676" s="17">
        <v>20230101</v>
      </c>
      <c r="D6676" s="17">
        <v>22991231</v>
      </c>
      <c r="E6676" s="25">
        <v>173.17</v>
      </c>
    </row>
    <row r="6677" spans="1:5" x14ac:dyDescent="0.3">
      <c r="A6677" s="17" t="str">
        <f>"J9218"</f>
        <v>J9218</v>
      </c>
      <c r="B6677" s="5" t="s">
        <v>6683</v>
      </c>
      <c r="C6677" s="17">
        <v>20230101</v>
      </c>
      <c r="D6677" s="17">
        <v>22991231</v>
      </c>
      <c r="E6677" s="25">
        <v>13.13</v>
      </c>
    </row>
    <row r="6678" spans="1:5" x14ac:dyDescent="0.3">
      <c r="A6678" s="17" t="str">
        <f>"J9219"</f>
        <v>J9219</v>
      </c>
      <c r="B6678" s="5" t="s">
        <v>6684</v>
      </c>
      <c r="C6678" s="17">
        <v>20230101</v>
      </c>
      <c r="D6678" s="17">
        <v>22991231</v>
      </c>
      <c r="E6678" s="25">
        <v>0</v>
      </c>
    </row>
    <row r="6679" spans="1:5" x14ac:dyDescent="0.3">
      <c r="A6679" s="17" t="str">
        <f>"J9223"</f>
        <v>J9223</v>
      </c>
      <c r="B6679" s="5" t="s">
        <v>6685</v>
      </c>
      <c r="C6679" s="17">
        <v>20230101</v>
      </c>
      <c r="D6679" s="17">
        <v>22991231</v>
      </c>
      <c r="E6679" s="25">
        <v>191.04</v>
      </c>
    </row>
    <row r="6680" spans="1:5" x14ac:dyDescent="0.3">
      <c r="A6680" s="17" t="str">
        <f>"J9225"</f>
        <v>J9225</v>
      </c>
      <c r="B6680" s="5" t="s">
        <v>6686</v>
      </c>
      <c r="C6680" s="17">
        <v>20060101</v>
      </c>
      <c r="D6680" s="17">
        <v>22991231</v>
      </c>
      <c r="E6680" s="25">
        <v>4934.58</v>
      </c>
    </row>
    <row r="6681" spans="1:5" x14ac:dyDescent="0.3">
      <c r="A6681" s="17" t="str">
        <f>"J9226"</f>
        <v>J9226</v>
      </c>
      <c r="B6681" s="5" t="s">
        <v>6687</v>
      </c>
      <c r="C6681" s="17">
        <v>20230101</v>
      </c>
      <c r="D6681" s="17">
        <v>22991231</v>
      </c>
      <c r="E6681" s="25">
        <v>42576.71</v>
      </c>
    </row>
    <row r="6682" spans="1:5" x14ac:dyDescent="0.3">
      <c r="A6682" s="17" t="str">
        <f>"J9227"</f>
        <v>J9227</v>
      </c>
      <c r="B6682" s="5" t="s">
        <v>6688</v>
      </c>
      <c r="C6682" s="17">
        <v>20230101</v>
      </c>
      <c r="D6682" s="17">
        <v>22991231</v>
      </c>
      <c r="E6682" s="25">
        <v>73.069999999999993</v>
      </c>
    </row>
    <row r="6683" spans="1:5" x14ac:dyDescent="0.3">
      <c r="A6683" s="17" t="str">
        <f>"J9228"</f>
        <v>J9228</v>
      </c>
      <c r="B6683" s="5" t="s">
        <v>6689</v>
      </c>
      <c r="C6683" s="17">
        <v>20230101</v>
      </c>
      <c r="D6683" s="17">
        <v>22991231</v>
      </c>
      <c r="E6683" s="25">
        <v>164.69</v>
      </c>
    </row>
    <row r="6684" spans="1:5" x14ac:dyDescent="0.3">
      <c r="A6684" s="17" t="str">
        <f>"J9229"</f>
        <v>J9229</v>
      </c>
      <c r="B6684" s="5" t="s">
        <v>6690</v>
      </c>
      <c r="C6684" s="17">
        <v>20230101</v>
      </c>
      <c r="D6684" s="17">
        <v>22991231</v>
      </c>
      <c r="E6684" s="25">
        <v>2464.4299999999998</v>
      </c>
    </row>
    <row r="6685" spans="1:5" ht="26" x14ac:dyDescent="0.3">
      <c r="A6685" s="17" t="str">
        <f>"J9230"</f>
        <v>J9230</v>
      </c>
      <c r="B6685" s="5" t="s">
        <v>6691</v>
      </c>
      <c r="C6685" s="17">
        <v>20230101</v>
      </c>
      <c r="D6685" s="17">
        <v>22991231</v>
      </c>
      <c r="E6685" s="25">
        <v>0</v>
      </c>
    </row>
    <row r="6686" spans="1:5" ht="26" x14ac:dyDescent="0.3">
      <c r="A6686" s="17" t="str">
        <f>"J9245"</f>
        <v>J9245</v>
      </c>
      <c r="B6686" s="5" t="s">
        <v>6692</v>
      </c>
      <c r="C6686" s="17">
        <v>20230101</v>
      </c>
      <c r="D6686" s="17">
        <v>22991231</v>
      </c>
      <c r="E6686" s="25">
        <v>141.38</v>
      </c>
    </row>
    <row r="6687" spans="1:5" x14ac:dyDescent="0.3">
      <c r="A6687" s="17" t="str">
        <f>"J9246"</f>
        <v>J9246</v>
      </c>
      <c r="B6687" s="5" t="s">
        <v>6693</v>
      </c>
      <c r="C6687" s="17">
        <v>20230101</v>
      </c>
      <c r="D6687" s="17">
        <v>22991231</v>
      </c>
      <c r="E6687" s="25">
        <v>15.75</v>
      </c>
    </row>
    <row r="6688" spans="1:5" x14ac:dyDescent="0.3">
      <c r="A6688" s="17" t="str">
        <f>"J9247"</f>
        <v>J9247</v>
      </c>
      <c r="B6688" s="5" t="s">
        <v>6694</v>
      </c>
      <c r="C6688" s="17">
        <v>20230101</v>
      </c>
      <c r="D6688" s="17">
        <v>22991231</v>
      </c>
      <c r="E6688" s="25">
        <v>480.92</v>
      </c>
    </row>
    <row r="6689" spans="1:5" x14ac:dyDescent="0.3">
      <c r="A6689" s="17" t="str">
        <f>"J9250"</f>
        <v>J9250</v>
      </c>
      <c r="B6689" s="5" t="s">
        <v>7130</v>
      </c>
      <c r="C6689" s="17">
        <v>20240101</v>
      </c>
      <c r="D6689" s="17">
        <v>20240331</v>
      </c>
      <c r="E6689" s="25">
        <v>0</v>
      </c>
    </row>
    <row r="6690" spans="1:5" ht="26" x14ac:dyDescent="0.3">
      <c r="A6690" s="17" t="str">
        <f>"J9255"</f>
        <v>J9255</v>
      </c>
      <c r="B6690" s="5" t="s">
        <v>6695</v>
      </c>
      <c r="C6690" s="17">
        <v>20240101</v>
      </c>
      <c r="D6690" s="17">
        <v>22991231</v>
      </c>
      <c r="E6690" s="25">
        <v>0</v>
      </c>
    </row>
    <row r="6691" spans="1:5" ht="39" x14ac:dyDescent="0.3">
      <c r="A6691" s="17" t="str">
        <f>"J9258"</f>
        <v>J9258</v>
      </c>
      <c r="B6691" s="5" t="s">
        <v>6696</v>
      </c>
      <c r="C6691" s="17">
        <v>20240101</v>
      </c>
      <c r="D6691" s="17">
        <v>22991231</v>
      </c>
      <c r="E6691" s="25">
        <v>0</v>
      </c>
    </row>
    <row r="6692" spans="1:5" ht="39" x14ac:dyDescent="0.3">
      <c r="A6692" s="17" t="str">
        <f>"J9259"</f>
        <v>J9259</v>
      </c>
      <c r="B6692" s="5" t="s">
        <v>6697</v>
      </c>
      <c r="C6692" s="17">
        <v>20240101</v>
      </c>
      <c r="D6692" s="17">
        <v>22991231</v>
      </c>
      <c r="E6692" s="25">
        <v>14.76</v>
      </c>
    </row>
    <row r="6693" spans="1:5" x14ac:dyDescent="0.3">
      <c r="A6693" s="17" t="str">
        <f>"J9260"</f>
        <v>J9260</v>
      </c>
      <c r="B6693" s="5" t="s">
        <v>6698</v>
      </c>
      <c r="C6693" s="17">
        <v>20230101</v>
      </c>
      <c r="D6693" s="17">
        <v>22991231</v>
      </c>
      <c r="E6693" s="25">
        <v>0</v>
      </c>
    </row>
    <row r="6694" spans="1:5" x14ac:dyDescent="0.3">
      <c r="A6694" s="17" t="str">
        <f>"J9261"</f>
        <v>J9261</v>
      </c>
      <c r="B6694" s="5" t="s">
        <v>6699</v>
      </c>
      <c r="C6694" s="17">
        <v>20230101</v>
      </c>
      <c r="D6694" s="17">
        <v>22991231</v>
      </c>
      <c r="E6694" s="25">
        <v>106</v>
      </c>
    </row>
    <row r="6695" spans="1:5" x14ac:dyDescent="0.3">
      <c r="A6695" s="17" t="str">
        <f>"J9262"</f>
        <v>J9262</v>
      </c>
      <c r="B6695" s="5" t="s">
        <v>6700</v>
      </c>
      <c r="C6695" s="17">
        <v>20230101</v>
      </c>
      <c r="D6695" s="17">
        <v>22991231</v>
      </c>
      <c r="E6695" s="25">
        <v>3.78</v>
      </c>
    </row>
    <row r="6696" spans="1:5" x14ac:dyDescent="0.3">
      <c r="A6696" s="17" t="str">
        <f>"J9263"</f>
        <v>J9263</v>
      </c>
      <c r="B6696" s="5" t="s">
        <v>6701</v>
      </c>
      <c r="C6696" s="17">
        <v>20230101</v>
      </c>
      <c r="D6696" s="17">
        <v>22991231</v>
      </c>
      <c r="E6696" s="25">
        <v>0</v>
      </c>
    </row>
    <row r="6697" spans="1:5" ht="26" x14ac:dyDescent="0.3">
      <c r="A6697" s="17" t="str">
        <f>"J9264"</f>
        <v>J9264</v>
      </c>
      <c r="B6697" s="5" t="s">
        <v>6702</v>
      </c>
      <c r="C6697" s="17">
        <v>20060101</v>
      </c>
      <c r="D6697" s="17">
        <v>22991231</v>
      </c>
      <c r="E6697" s="25">
        <v>13.65</v>
      </c>
    </row>
    <row r="6698" spans="1:5" x14ac:dyDescent="0.3">
      <c r="A6698" s="17" t="str">
        <f>"J9266"</f>
        <v>J9266</v>
      </c>
      <c r="B6698" s="5" t="s">
        <v>6703</v>
      </c>
      <c r="C6698" s="17">
        <v>20230101</v>
      </c>
      <c r="D6698" s="17">
        <v>22991231</v>
      </c>
      <c r="E6698" s="25">
        <v>24625.16</v>
      </c>
    </row>
    <row r="6699" spans="1:5" x14ac:dyDescent="0.3">
      <c r="A6699" s="17" t="str">
        <f>"J9267"</f>
        <v>J9267</v>
      </c>
      <c r="B6699" s="5" t="s">
        <v>6704</v>
      </c>
      <c r="C6699" s="17">
        <v>20230101</v>
      </c>
      <c r="D6699" s="17">
        <v>22991231</v>
      </c>
      <c r="E6699" s="25">
        <v>0</v>
      </c>
    </row>
    <row r="6700" spans="1:5" x14ac:dyDescent="0.3">
      <c r="A6700" s="17" t="str">
        <f>"J9268"</f>
        <v>J9268</v>
      </c>
      <c r="B6700" s="5" t="s">
        <v>6705</v>
      </c>
      <c r="C6700" s="17">
        <v>20230101</v>
      </c>
      <c r="D6700" s="17">
        <v>22991231</v>
      </c>
      <c r="E6700" s="25">
        <v>2171.1999999999998</v>
      </c>
    </row>
    <row r="6701" spans="1:5" x14ac:dyDescent="0.3">
      <c r="A6701" s="17" t="str">
        <f>"J9269"</f>
        <v>J9269</v>
      </c>
      <c r="B6701" s="5" t="s">
        <v>6706</v>
      </c>
      <c r="C6701" s="17">
        <v>20230101</v>
      </c>
      <c r="D6701" s="17">
        <v>22991231</v>
      </c>
      <c r="E6701" s="25">
        <v>310.95999999999998</v>
      </c>
    </row>
    <row r="6702" spans="1:5" x14ac:dyDescent="0.3">
      <c r="A6702" s="17" t="str">
        <f>"J9270"</f>
        <v>J9270</v>
      </c>
      <c r="B6702" s="5" t="s">
        <v>6707</v>
      </c>
      <c r="C6702" s="17">
        <v>20230101</v>
      </c>
      <c r="D6702" s="17">
        <v>22991231</v>
      </c>
      <c r="E6702" s="25">
        <v>0</v>
      </c>
    </row>
    <row r="6703" spans="1:5" x14ac:dyDescent="0.3">
      <c r="A6703" s="17" t="str">
        <f>"J9271"</f>
        <v>J9271</v>
      </c>
      <c r="B6703" s="5" t="s">
        <v>6708</v>
      </c>
      <c r="C6703" s="17">
        <v>20230101</v>
      </c>
      <c r="D6703" s="17">
        <v>22991231</v>
      </c>
      <c r="E6703" s="25">
        <v>53.23</v>
      </c>
    </row>
    <row r="6704" spans="1:5" x14ac:dyDescent="0.3">
      <c r="A6704" s="17" t="str">
        <f>"J9272"</f>
        <v>J9272</v>
      </c>
      <c r="B6704" s="5" t="s">
        <v>6709</v>
      </c>
      <c r="C6704" s="17">
        <v>20230101</v>
      </c>
      <c r="D6704" s="17">
        <v>22991231</v>
      </c>
      <c r="E6704" s="25">
        <v>222.8</v>
      </c>
    </row>
    <row r="6705" spans="1:5" x14ac:dyDescent="0.3">
      <c r="A6705" s="17" t="str">
        <f>"J9273"</f>
        <v>J9273</v>
      </c>
      <c r="B6705" s="5" t="s">
        <v>6710</v>
      </c>
      <c r="C6705" s="17">
        <v>20230101</v>
      </c>
      <c r="D6705" s="17">
        <v>22991231</v>
      </c>
      <c r="E6705" s="25">
        <v>160.76</v>
      </c>
    </row>
    <row r="6706" spans="1:5" x14ac:dyDescent="0.3">
      <c r="A6706" s="17" t="str">
        <f>"J9274"</f>
        <v>J9274</v>
      </c>
      <c r="B6706" s="5" t="s">
        <v>6711</v>
      </c>
      <c r="C6706" s="17">
        <v>20230101</v>
      </c>
      <c r="D6706" s="17">
        <v>22991231</v>
      </c>
      <c r="E6706" s="25">
        <v>199.56</v>
      </c>
    </row>
    <row r="6707" spans="1:5" x14ac:dyDescent="0.3">
      <c r="A6707" s="17" t="str">
        <f>"J9280"</f>
        <v>J9280</v>
      </c>
      <c r="B6707" s="5" t="s">
        <v>6712</v>
      </c>
      <c r="C6707" s="17">
        <v>20230101</v>
      </c>
      <c r="D6707" s="17">
        <v>22991231</v>
      </c>
      <c r="E6707" s="25">
        <v>60.51</v>
      </c>
    </row>
    <row r="6708" spans="1:5" x14ac:dyDescent="0.3">
      <c r="A6708" s="17" t="str">
        <f>"J9281"</f>
        <v>J9281</v>
      </c>
      <c r="B6708" s="5" t="s">
        <v>6713</v>
      </c>
      <c r="C6708" s="17">
        <v>20230101</v>
      </c>
      <c r="D6708" s="17">
        <v>22991231</v>
      </c>
      <c r="E6708" s="25">
        <v>287.26</v>
      </c>
    </row>
    <row r="6709" spans="1:5" x14ac:dyDescent="0.3">
      <c r="A6709" s="17" t="str">
        <f>"J9285"</f>
        <v>J9285</v>
      </c>
      <c r="B6709" s="5" t="s">
        <v>6714</v>
      </c>
      <c r="C6709" s="17">
        <v>20230101</v>
      </c>
      <c r="D6709" s="17">
        <v>22991231</v>
      </c>
      <c r="E6709" s="25">
        <v>0</v>
      </c>
    </row>
    <row r="6710" spans="1:5" x14ac:dyDescent="0.3">
      <c r="A6710" s="17" t="str">
        <f>"J9286"</f>
        <v>J9286</v>
      </c>
      <c r="B6710" s="5" t="s">
        <v>6715</v>
      </c>
      <c r="C6710" s="17">
        <v>20240101</v>
      </c>
      <c r="D6710" s="17">
        <v>22991231</v>
      </c>
      <c r="E6710" s="25">
        <v>2586.48</v>
      </c>
    </row>
    <row r="6711" spans="1:5" x14ac:dyDescent="0.3">
      <c r="A6711" s="17" t="str">
        <f>"J9293"</f>
        <v>J9293</v>
      </c>
      <c r="B6711" s="5" t="s">
        <v>6716</v>
      </c>
      <c r="C6711" s="17">
        <v>20230101</v>
      </c>
      <c r="D6711" s="17">
        <v>22991231</v>
      </c>
      <c r="E6711" s="25">
        <v>41.63</v>
      </c>
    </row>
    <row r="6712" spans="1:5" ht="26" x14ac:dyDescent="0.3">
      <c r="A6712" s="17" t="str">
        <f>"J9294"</f>
        <v>J9294</v>
      </c>
      <c r="B6712" s="5" t="s">
        <v>6717</v>
      </c>
      <c r="C6712" s="17">
        <v>20240101</v>
      </c>
      <c r="D6712" s="17">
        <v>22991231</v>
      </c>
      <c r="E6712" s="25">
        <v>10.08</v>
      </c>
    </row>
    <row r="6713" spans="1:5" x14ac:dyDescent="0.3">
      <c r="A6713" s="17" t="str">
        <f>"J9295"</f>
        <v>J9295</v>
      </c>
      <c r="B6713" s="5" t="s">
        <v>6718</v>
      </c>
      <c r="C6713" s="17">
        <v>20230101</v>
      </c>
      <c r="D6713" s="17">
        <v>22991231</v>
      </c>
      <c r="E6713" s="25">
        <v>5.48</v>
      </c>
    </row>
    <row r="6714" spans="1:5" ht="26" x14ac:dyDescent="0.3">
      <c r="A6714" s="17" t="str">
        <f>"J9296"</f>
        <v>J9296</v>
      </c>
      <c r="B6714" s="5" t="s">
        <v>6719</v>
      </c>
      <c r="C6714" s="17">
        <v>20240101</v>
      </c>
      <c r="D6714" s="17">
        <v>22991231</v>
      </c>
      <c r="E6714" s="25">
        <v>9.23</v>
      </c>
    </row>
    <row r="6715" spans="1:5" ht="26" x14ac:dyDescent="0.3">
      <c r="A6715" s="17" t="str">
        <f>"J9297"</f>
        <v>J9297</v>
      </c>
      <c r="B6715" s="5" t="s">
        <v>6720</v>
      </c>
      <c r="C6715" s="17">
        <v>20240101</v>
      </c>
      <c r="D6715" s="17">
        <v>22991231</v>
      </c>
      <c r="E6715" s="25">
        <v>1.24</v>
      </c>
    </row>
    <row r="6716" spans="1:5" ht="26" x14ac:dyDescent="0.3">
      <c r="A6716" s="17" t="str">
        <f>"J9298"</f>
        <v>J9298</v>
      </c>
      <c r="B6716" s="5" t="s">
        <v>6721</v>
      </c>
      <c r="C6716" s="17">
        <v>20230101</v>
      </c>
      <c r="D6716" s="17">
        <v>22991231</v>
      </c>
      <c r="E6716" s="25">
        <v>178.76</v>
      </c>
    </row>
    <row r="6717" spans="1:5" x14ac:dyDescent="0.3">
      <c r="A6717" s="17" t="str">
        <f>"J9299"</f>
        <v>J9299</v>
      </c>
      <c r="B6717" s="5" t="s">
        <v>6722</v>
      </c>
      <c r="C6717" s="17">
        <v>20230101</v>
      </c>
      <c r="D6717" s="17">
        <v>22991231</v>
      </c>
      <c r="E6717" s="25">
        <v>29.7</v>
      </c>
    </row>
    <row r="6718" spans="1:5" x14ac:dyDescent="0.3">
      <c r="A6718" s="17" t="str">
        <f>"J9301"</f>
        <v>J9301</v>
      </c>
      <c r="B6718" s="5" t="s">
        <v>6723</v>
      </c>
      <c r="C6718" s="17">
        <v>20230101</v>
      </c>
      <c r="D6718" s="17">
        <v>22991231</v>
      </c>
      <c r="E6718" s="25">
        <v>67.19</v>
      </c>
    </row>
    <row r="6719" spans="1:5" x14ac:dyDescent="0.3">
      <c r="A6719" s="17" t="str">
        <f>"J9302"</f>
        <v>J9302</v>
      </c>
      <c r="B6719" s="5" t="s">
        <v>6724</v>
      </c>
      <c r="C6719" s="17">
        <v>20230101</v>
      </c>
      <c r="D6719" s="17">
        <v>22991231</v>
      </c>
      <c r="E6719" s="25">
        <v>61.09</v>
      </c>
    </row>
    <row r="6720" spans="1:5" x14ac:dyDescent="0.3">
      <c r="A6720" s="17" t="str">
        <f>"J9303"</f>
        <v>J9303</v>
      </c>
      <c r="B6720" s="5" t="s">
        <v>6725</v>
      </c>
      <c r="C6720" s="17">
        <v>20230101</v>
      </c>
      <c r="D6720" s="17">
        <v>22991231</v>
      </c>
      <c r="E6720" s="25">
        <v>143.9</v>
      </c>
    </row>
    <row r="6721" spans="1:5" x14ac:dyDescent="0.3">
      <c r="A6721" s="17" t="str">
        <f>"J9304"</f>
        <v>J9304</v>
      </c>
      <c r="B6721" s="5" t="s">
        <v>6726</v>
      </c>
      <c r="C6721" s="17">
        <v>20230101</v>
      </c>
      <c r="D6721" s="17">
        <v>22991231</v>
      </c>
      <c r="E6721" s="25">
        <v>59.52</v>
      </c>
    </row>
    <row r="6722" spans="1:5" ht="26" x14ac:dyDescent="0.3">
      <c r="A6722" s="17" t="str">
        <f>"J9305"</f>
        <v>J9305</v>
      </c>
      <c r="B6722" s="5" t="s">
        <v>6727</v>
      </c>
      <c r="C6722" s="17">
        <v>20050101</v>
      </c>
      <c r="D6722" s="17">
        <v>22991231</v>
      </c>
      <c r="E6722" s="25">
        <v>4.17</v>
      </c>
    </row>
    <row r="6723" spans="1:5" x14ac:dyDescent="0.3">
      <c r="A6723" s="17" t="str">
        <f>"J9306"</f>
        <v>J9306</v>
      </c>
      <c r="B6723" s="5" t="s">
        <v>6728</v>
      </c>
      <c r="C6723" s="17">
        <v>20230101</v>
      </c>
      <c r="D6723" s="17">
        <v>22991231</v>
      </c>
      <c r="E6723" s="25">
        <v>14.74</v>
      </c>
    </row>
    <row r="6724" spans="1:5" x14ac:dyDescent="0.3">
      <c r="A6724" s="17" t="str">
        <f>"J9307"</f>
        <v>J9307</v>
      </c>
      <c r="B6724" s="5" t="s">
        <v>6729</v>
      </c>
      <c r="C6724" s="17">
        <v>20230101</v>
      </c>
      <c r="D6724" s="17">
        <v>22991231</v>
      </c>
      <c r="E6724" s="25">
        <v>276.17</v>
      </c>
    </row>
    <row r="6725" spans="1:5" x14ac:dyDescent="0.3">
      <c r="A6725" s="17" t="str">
        <f>"J9308"</f>
        <v>J9308</v>
      </c>
      <c r="B6725" s="5" t="s">
        <v>6730</v>
      </c>
      <c r="C6725" s="17">
        <v>20230101</v>
      </c>
      <c r="D6725" s="17">
        <v>22991231</v>
      </c>
      <c r="E6725" s="25">
        <v>67.09</v>
      </c>
    </row>
    <row r="6726" spans="1:5" x14ac:dyDescent="0.3">
      <c r="A6726" s="17" t="str">
        <f>"J9309"</f>
        <v>J9309</v>
      </c>
      <c r="B6726" s="5" t="s">
        <v>6731</v>
      </c>
      <c r="C6726" s="17">
        <v>20230101</v>
      </c>
      <c r="D6726" s="17">
        <v>22991231</v>
      </c>
      <c r="E6726" s="25">
        <v>118.72</v>
      </c>
    </row>
    <row r="6727" spans="1:5" x14ac:dyDescent="0.3">
      <c r="A6727" s="17" t="str">
        <f>"J9311"</f>
        <v>J9311</v>
      </c>
      <c r="B6727" s="5" t="s">
        <v>6732</v>
      </c>
      <c r="C6727" s="17">
        <v>20230101</v>
      </c>
      <c r="D6727" s="17">
        <v>22991231</v>
      </c>
      <c r="E6727" s="25">
        <v>35.729999999999997</v>
      </c>
    </row>
    <row r="6728" spans="1:5" x14ac:dyDescent="0.3">
      <c r="A6728" s="17" t="str">
        <f>"J9312"</f>
        <v>J9312</v>
      </c>
      <c r="B6728" s="5" t="s">
        <v>6733</v>
      </c>
      <c r="C6728" s="17">
        <v>20230101</v>
      </c>
      <c r="D6728" s="17">
        <v>22991231</v>
      </c>
      <c r="E6728" s="25">
        <v>75.650000000000006</v>
      </c>
    </row>
    <row r="6729" spans="1:5" ht="26" x14ac:dyDescent="0.3">
      <c r="A6729" s="17" t="str">
        <f>"J9313"</f>
        <v>J9313</v>
      </c>
      <c r="B6729" s="5" t="s">
        <v>6734</v>
      </c>
      <c r="C6729" s="17">
        <v>20230101</v>
      </c>
      <c r="D6729" s="17">
        <v>22991231</v>
      </c>
      <c r="E6729" s="25">
        <v>22.34</v>
      </c>
    </row>
    <row r="6730" spans="1:5" ht="26" x14ac:dyDescent="0.3">
      <c r="A6730" s="17" t="str">
        <f>"J9314"</f>
        <v>J9314</v>
      </c>
      <c r="B6730" s="5" t="s">
        <v>6735</v>
      </c>
      <c r="C6730" s="17">
        <v>20230101</v>
      </c>
      <c r="D6730" s="17">
        <v>22991231</v>
      </c>
      <c r="E6730" s="25">
        <v>19.059999999999999</v>
      </c>
    </row>
    <row r="6731" spans="1:5" ht="26" x14ac:dyDescent="0.3">
      <c r="A6731" s="17" t="str">
        <f>"J9316"</f>
        <v>J9316</v>
      </c>
      <c r="B6731" s="5" t="s">
        <v>6736</v>
      </c>
      <c r="C6731" s="17">
        <v>20230101</v>
      </c>
      <c r="D6731" s="17">
        <v>22991231</v>
      </c>
      <c r="E6731" s="25">
        <v>64.040000000000006</v>
      </c>
    </row>
    <row r="6732" spans="1:5" x14ac:dyDescent="0.3">
      <c r="A6732" s="17" t="str">
        <f>"J9317"</f>
        <v>J9317</v>
      </c>
      <c r="B6732" s="5" t="s">
        <v>6737</v>
      </c>
      <c r="C6732" s="17">
        <v>20230101</v>
      </c>
      <c r="D6732" s="17">
        <v>22991231</v>
      </c>
      <c r="E6732" s="25">
        <v>32.549999999999997</v>
      </c>
    </row>
    <row r="6733" spans="1:5" x14ac:dyDescent="0.3">
      <c r="A6733" s="17" t="str">
        <f>"J9318"</f>
        <v>J9318</v>
      </c>
      <c r="B6733" s="5" t="s">
        <v>6738</v>
      </c>
      <c r="C6733" s="17">
        <v>20230101</v>
      </c>
      <c r="D6733" s="17">
        <v>22991231</v>
      </c>
      <c r="E6733" s="25">
        <v>32.39</v>
      </c>
    </row>
    <row r="6734" spans="1:5" x14ac:dyDescent="0.3">
      <c r="A6734" s="17" t="str">
        <f>"J9319"</f>
        <v>J9319</v>
      </c>
      <c r="B6734" s="5" t="s">
        <v>6739</v>
      </c>
      <c r="C6734" s="17">
        <v>20230101</v>
      </c>
      <c r="D6734" s="17">
        <v>22991231</v>
      </c>
      <c r="E6734" s="25">
        <v>30.53</v>
      </c>
    </row>
    <row r="6735" spans="1:5" x14ac:dyDescent="0.3">
      <c r="A6735" s="17" t="str">
        <f>"J9320"</f>
        <v>J9320</v>
      </c>
      <c r="B6735" s="5" t="s">
        <v>6740</v>
      </c>
      <c r="C6735" s="17">
        <v>20230101</v>
      </c>
      <c r="D6735" s="17">
        <v>22991231</v>
      </c>
      <c r="E6735" s="25">
        <v>353.58</v>
      </c>
    </row>
    <row r="6736" spans="1:5" x14ac:dyDescent="0.3">
      <c r="A6736" s="17" t="str">
        <f>"J9321"</f>
        <v>J9321</v>
      </c>
      <c r="B6736" s="5" t="s">
        <v>6741</v>
      </c>
      <c r="C6736" s="17">
        <v>20240101</v>
      </c>
      <c r="D6736" s="17">
        <v>22991231</v>
      </c>
      <c r="E6736" s="25">
        <v>51.39</v>
      </c>
    </row>
    <row r="6737" spans="1:5" ht="26" x14ac:dyDescent="0.3">
      <c r="A6737" s="17" t="str">
        <f>"J9322"</f>
        <v>J9322</v>
      </c>
      <c r="B6737" s="5" t="s">
        <v>6742</v>
      </c>
      <c r="C6737" s="17">
        <v>20240101</v>
      </c>
      <c r="D6737" s="17">
        <v>22991231</v>
      </c>
      <c r="E6737" s="25">
        <v>0</v>
      </c>
    </row>
    <row r="6738" spans="1:5" x14ac:dyDescent="0.3">
      <c r="A6738" s="17" t="str">
        <f>"J9323"</f>
        <v>J9323</v>
      </c>
      <c r="B6738" s="5" t="s">
        <v>6743</v>
      </c>
      <c r="C6738" s="17">
        <v>20240101</v>
      </c>
      <c r="D6738" s="17">
        <v>22991231</v>
      </c>
      <c r="E6738" s="25">
        <v>5.74</v>
      </c>
    </row>
    <row r="6739" spans="1:5" x14ac:dyDescent="0.3">
      <c r="A6739" s="17" t="str">
        <f>"J9324"</f>
        <v>J9324</v>
      </c>
      <c r="B6739" s="5" t="s">
        <v>6744</v>
      </c>
      <c r="C6739" s="17">
        <v>20240101</v>
      </c>
      <c r="D6739" s="17">
        <v>22991231</v>
      </c>
      <c r="E6739" s="25">
        <v>0</v>
      </c>
    </row>
    <row r="6740" spans="1:5" ht="26" x14ac:dyDescent="0.3">
      <c r="A6740" s="17" t="str">
        <f>"J9325"</f>
        <v>J9325</v>
      </c>
      <c r="B6740" s="5" t="s">
        <v>6745</v>
      </c>
      <c r="C6740" s="17">
        <v>20230101</v>
      </c>
      <c r="D6740" s="17">
        <v>22991231</v>
      </c>
      <c r="E6740" s="25">
        <v>63.6</v>
      </c>
    </row>
    <row r="6741" spans="1:5" x14ac:dyDescent="0.3">
      <c r="A6741" s="17" t="str">
        <f>"J9328"</f>
        <v>J9328</v>
      </c>
      <c r="B6741" s="5" t="s">
        <v>6746</v>
      </c>
      <c r="C6741" s="17">
        <v>20230101</v>
      </c>
      <c r="D6741" s="17">
        <v>22991231</v>
      </c>
      <c r="E6741" s="25">
        <v>9.93</v>
      </c>
    </row>
    <row r="6742" spans="1:5" x14ac:dyDescent="0.3">
      <c r="A6742" s="17" t="str">
        <f>"J9330"</f>
        <v>J9330</v>
      </c>
      <c r="B6742" s="5" t="s">
        <v>6747</v>
      </c>
      <c r="C6742" s="17">
        <v>20090101</v>
      </c>
      <c r="D6742" s="17">
        <v>22991231</v>
      </c>
      <c r="E6742" s="25">
        <v>29.6</v>
      </c>
    </row>
    <row r="6743" spans="1:5" ht="26" x14ac:dyDescent="0.3">
      <c r="A6743" s="17" t="str">
        <f>"J9331"</f>
        <v>J9331</v>
      </c>
      <c r="B6743" s="5" t="s">
        <v>6748</v>
      </c>
      <c r="C6743" s="17">
        <v>20230101</v>
      </c>
      <c r="D6743" s="17">
        <v>22991231</v>
      </c>
      <c r="E6743" s="25">
        <v>104.39</v>
      </c>
    </row>
    <row r="6744" spans="1:5" x14ac:dyDescent="0.3">
      <c r="A6744" s="17" t="str">
        <f>"J9332"</f>
        <v>J9332</v>
      </c>
      <c r="B6744" s="5" t="s">
        <v>6749</v>
      </c>
      <c r="C6744" s="17">
        <v>20230101</v>
      </c>
      <c r="D6744" s="17">
        <v>22991231</v>
      </c>
      <c r="E6744" s="25">
        <v>30.64</v>
      </c>
    </row>
    <row r="6745" spans="1:5" x14ac:dyDescent="0.3">
      <c r="A6745" s="17" t="str">
        <f>"J9333"</f>
        <v>J9333</v>
      </c>
      <c r="B6745" s="5" t="s">
        <v>6750</v>
      </c>
      <c r="C6745" s="17">
        <v>20240101</v>
      </c>
      <c r="D6745" s="17">
        <v>22991231</v>
      </c>
      <c r="E6745" s="25">
        <v>21.26</v>
      </c>
    </row>
    <row r="6746" spans="1:5" ht="26" x14ac:dyDescent="0.3">
      <c r="A6746" s="17" t="str">
        <f>"J9334"</f>
        <v>J9334</v>
      </c>
      <c r="B6746" s="5" t="s">
        <v>6751</v>
      </c>
      <c r="C6746" s="17">
        <v>20240101</v>
      </c>
      <c r="D6746" s="17">
        <v>22991231</v>
      </c>
      <c r="E6746" s="25">
        <v>30.79</v>
      </c>
    </row>
    <row r="6747" spans="1:5" x14ac:dyDescent="0.3">
      <c r="A6747" s="17" t="str">
        <f>"J9340"</f>
        <v>J9340</v>
      </c>
      <c r="B6747" s="5" t="s">
        <v>6752</v>
      </c>
      <c r="C6747" s="17">
        <v>20230101</v>
      </c>
      <c r="D6747" s="17">
        <v>22991231</v>
      </c>
      <c r="E6747" s="25">
        <v>239.94</v>
      </c>
    </row>
    <row r="6748" spans="1:5" x14ac:dyDescent="0.3">
      <c r="A6748" s="17" t="str">
        <f>"J9345"</f>
        <v>J9345</v>
      </c>
      <c r="B6748" s="5" t="s">
        <v>6753</v>
      </c>
      <c r="C6748" s="17">
        <v>20240101</v>
      </c>
      <c r="D6748" s="17">
        <v>22991231</v>
      </c>
      <c r="E6748" s="25">
        <v>28.49</v>
      </c>
    </row>
    <row r="6749" spans="1:5" x14ac:dyDescent="0.3">
      <c r="A6749" s="17" t="str">
        <f>"J9347"</f>
        <v>J9347</v>
      </c>
      <c r="B6749" s="5" t="s">
        <v>6754</v>
      </c>
      <c r="C6749" s="17">
        <v>20240101</v>
      </c>
      <c r="D6749" s="17">
        <v>22991231</v>
      </c>
      <c r="E6749" s="25">
        <v>129.99</v>
      </c>
    </row>
    <row r="6750" spans="1:5" x14ac:dyDescent="0.3">
      <c r="A6750" s="17" t="str">
        <f>"J9348"</f>
        <v>J9348</v>
      </c>
      <c r="B6750" s="5" t="s">
        <v>6755</v>
      </c>
      <c r="C6750" s="17">
        <v>20230101</v>
      </c>
      <c r="D6750" s="17">
        <v>22991231</v>
      </c>
      <c r="E6750" s="25">
        <v>582.41999999999996</v>
      </c>
    </row>
    <row r="6751" spans="1:5" x14ac:dyDescent="0.3">
      <c r="A6751" s="17" t="str">
        <f>"J9349"</f>
        <v>J9349</v>
      </c>
      <c r="B6751" s="5" t="s">
        <v>6756</v>
      </c>
      <c r="C6751" s="17">
        <v>20230101</v>
      </c>
      <c r="D6751" s="17">
        <v>22991231</v>
      </c>
      <c r="E6751" s="25">
        <v>12.99</v>
      </c>
    </row>
    <row r="6752" spans="1:5" x14ac:dyDescent="0.3">
      <c r="A6752" s="17" t="str">
        <f>"J9350"</f>
        <v>J9350</v>
      </c>
      <c r="B6752" s="5" t="s">
        <v>6757</v>
      </c>
      <c r="C6752" s="17">
        <v>20240101</v>
      </c>
      <c r="D6752" s="17">
        <v>22991231</v>
      </c>
      <c r="E6752" s="25">
        <v>601.4</v>
      </c>
    </row>
    <row r="6753" spans="1:5" x14ac:dyDescent="0.3">
      <c r="A6753" s="17" t="str">
        <f>"J9351"</f>
        <v>J9351</v>
      </c>
      <c r="B6753" s="5" t="s">
        <v>6758</v>
      </c>
      <c r="C6753" s="17">
        <v>20230101</v>
      </c>
      <c r="D6753" s="17">
        <v>22991231</v>
      </c>
      <c r="E6753" s="25">
        <v>0</v>
      </c>
    </row>
    <row r="6754" spans="1:5" x14ac:dyDescent="0.3">
      <c r="A6754" s="17" t="str">
        <f>"J9352"</f>
        <v>J9352</v>
      </c>
      <c r="B6754" s="5" t="s">
        <v>6759</v>
      </c>
      <c r="C6754" s="17">
        <v>20230101</v>
      </c>
      <c r="D6754" s="17">
        <v>22991231</v>
      </c>
      <c r="E6754" s="25">
        <v>323.22000000000003</v>
      </c>
    </row>
    <row r="6755" spans="1:5" x14ac:dyDescent="0.3">
      <c r="A6755" s="17" t="str">
        <f>"J9353"</f>
        <v>J9353</v>
      </c>
      <c r="B6755" s="5" t="s">
        <v>6760</v>
      </c>
      <c r="C6755" s="17">
        <v>20230101</v>
      </c>
      <c r="D6755" s="17">
        <v>22991231</v>
      </c>
      <c r="E6755" s="25">
        <v>44.94</v>
      </c>
    </row>
    <row r="6756" spans="1:5" x14ac:dyDescent="0.3">
      <c r="A6756" s="17" t="str">
        <f>"J9354"</f>
        <v>J9354</v>
      </c>
      <c r="B6756" s="5" t="s">
        <v>6761</v>
      </c>
      <c r="C6756" s="17">
        <v>20230101</v>
      </c>
      <c r="D6756" s="17">
        <v>22991231</v>
      </c>
      <c r="E6756" s="25">
        <v>36.65</v>
      </c>
    </row>
    <row r="6757" spans="1:5" ht="26" x14ac:dyDescent="0.3">
      <c r="A6757" s="17" t="str">
        <f>"J9355"</f>
        <v>J9355</v>
      </c>
      <c r="B6757" s="5" t="s">
        <v>6762</v>
      </c>
      <c r="C6757" s="17">
        <v>20230101</v>
      </c>
      <c r="D6757" s="17">
        <v>22991231</v>
      </c>
      <c r="E6757" s="25">
        <v>76.86</v>
      </c>
    </row>
    <row r="6758" spans="1:5" ht="26" x14ac:dyDescent="0.3">
      <c r="A6758" s="17" t="str">
        <f>"J9356"</f>
        <v>J9356</v>
      </c>
      <c r="B6758" s="5" t="s">
        <v>6763</v>
      </c>
      <c r="C6758" s="17">
        <v>20230101</v>
      </c>
      <c r="D6758" s="17">
        <v>22991231</v>
      </c>
      <c r="E6758" s="25">
        <v>63.06</v>
      </c>
    </row>
    <row r="6759" spans="1:5" x14ac:dyDescent="0.3">
      <c r="A6759" s="17" t="str">
        <f>"J9357"</f>
        <v>J9357</v>
      </c>
      <c r="B6759" s="5" t="s">
        <v>6764</v>
      </c>
      <c r="C6759" s="17">
        <v>20230101</v>
      </c>
      <c r="D6759" s="17">
        <v>22991231</v>
      </c>
      <c r="E6759" s="25">
        <v>1302.68</v>
      </c>
    </row>
    <row r="6760" spans="1:5" x14ac:dyDescent="0.3">
      <c r="A6760" s="17" t="str">
        <f>"J9358"</f>
        <v>J9358</v>
      </c>
      <c r="B6760" s="5" t="s">
        <v>6765</v>
      </c>
      <c r="C6760" s="17">
        <v>20230101</v>
      </c>
      <c r="D6760" s="17">
        <v>22991231</v>
      </c>
      <c r="E6760" s="25">
        <v>26.02</v>
      </c>
    </row>
    <row r="6761" spans="1:5" x14ac:dyDescent="0.3">
      <c r="A6761" s="17" t="str">
        <f>"J9359"</f>
        <v>J9359</v>
      </c>
      <c r="B6761" s="5" t="s">
        <v>6766</v>
      </c>
      <c r="C6761" s="17">
        <v>20230101</v>
      </c>
      <c r="D6761" s="17">
        <v>22991231</v>
      </c>
      <c r="E6761" s="25">
        <v>191.63</v>
      </c>
    </row>
    <row r="6762" spans="1:5" x14ac:dyDescent="0.3">
      <c r="A6762" s="17" t="str">
        <f>"J9360"</f>
        <v>J9360</v>
      </c>
      <c r="B6762" s="5" t="s">
        <v>6767</v>
      </c>
      <c r="C6762" s="17">
        <v>20230101</v>
      </c>
      <c r="D6762" s="17">
        <v>22991231</v>
      </c>
      <c r="E6762" s="25">
        <v>0</v>
      </c>
    </row>
    <row r="6763" spans="1:5" x14ac:dyDescent="0.3">
      <c r="A6763" s="17" t="str">
        <f>"J9370"</f>
        <v>J9370</v>
      </c>
      <c r="B6763" s="5" t="s">
        <v>6768</v>
      </c>
      <c r="C6763" s="17">
        <v>20230101</v>
      </c>
      <c r="D6763" s="17">
        <v>22991231</v>
      </c>
      <c r="E6763" s="25">
        <v>0</v>
      </c>
    </row>
    <row r="6764" spans="1:5" ht="26" x14ac:dyDescent="0.3">
      <c r="A6764" s="31" t="str">
        <f>"J9371"</f>
        <v>J9371</v>
      </c>
      <c r="B6764" s="32" t="s">
        <v>6769</v>
      </c>
      <c r="C6764" s="31">
        <v>20230101</v>
      </c>
      <c r="D6764" s="31">
        <v>20240630</v>
      </c>
      <c r="E6764" s="33">
        <v>3267.36</v>
      </c>
    </row>
    <row r="6765" spans="1:5" x14ac:dyDescent="0.3">
      <c r="A6765" s="17" t="str">
        <f>"J9380"</f>
        <v>J9380</v>
      </c>
      <c r="B6765" s="5" t="s">
        <v>6770</v>
      </c>
      <c r="C6765" s="17">
        <v>20240101</v>
      </c>
      <c r="D6765" s="17">
        <v>22991231</v>
      </c>
      <c r="E6765" s="25">
        <v>29.47</v>
      </c>
    </row>
    <row r="6766" spans="1:5" x14ac:dyDescent="0.3">
      <c r="A6766" s="17" t="str">
        <f>"J9381"</f>
        <v>J9381</v>
      </c>
      <c r="B6766" s="5" t="s">
        <v>6771</v>
      </c>
      <c r="C6766" s="17">
        <v>20240101</v>
      </c>
      <c r="D6766" s="17">
        <v>22991231</v>
      </c>
      <c r="E6766" s="25">
        <v>34.630000000000003</v>
      </c>
    </row>
    <row r="6767" spans="1:5" x14ac:dyDescent="0.3">
      <c r="A6767" s="17" t="str">
        <f>"J9390"</f>
        <v>J9390</v>
      </c>
      <c r="B6767" s="5" t="s">
        <v>6772</v>
      </c>
      <c r="C6767" s="17">
        <v>20230101</v>
      </c>
      <c r="D6767" s="17">
        <v>22991231</v>
      </c>
      <c r="E6767" s="25">
        <v>0</v>
      </c>
    </row>
    <row r="6768" spans="1:5" ht="26" x14ac:dyDescent="0.3">
      <c r="A6768" s="17" t="str">
        <f>"J9393"</f>
        <v>J9393</v>
      </c>
      <c r="B6768" s="5" t="s">
        <v>6773</v>
      </c>
      <c r="C6768" s="17">
        <v>20230101</v>
      </c>
      <c r="D6768" s="17">
        <v>22991231</v>
      </c>
      <c r="E6768" s="25">
        <v>20.25</v>
      </c>
    </row>
    <row r="6769" spans="1:5" ht="26" x14ac:dyDescent="0.3">
      <c r="A6769" s="17" t="str">
        <f>"J9394"</f>
        <v>J9394</v>
      </c>
      <c r="B6769" s="5" t="s">
        <v>6774</v>
      </c>
      <c r="C6769" s="17">
        <v>20230101</v>
      </c>
      <c r="D6769" s="17">
        <v>22991231</v>
      </c>
      <c r="E6769" s="25">
        <v>50.62</v>
      </c>
    </row>
    <row r="6770" spans="1:5" x14ac:dyDescent="0.3">
      <c r="A6770" s="17" t="str">
        <f>"J9395"</f>
        <v>J9395</v>
      </c>
      <c r="B6770" s="5" t="s">
        <v>6775</v>
      </c>
      <c r="C6770" s="17">
        <v>20230101</v>
      </c>
      <c r="D6770" s="17">
        <v>22991231</v>
      </c>
      <c r="E6770" s="25">
        <v>8.07</v>
      </c>
    </row>
    <row r="6771" spans="1:5" x14ac:dyDescent="0.3">
      <c r="A6771" s="17" t="str">
        <f>"J9400"</f>
        <v>J9400</v>
      </c>
      <c r="B6771" s="5" t="s">
        <v>6776</v>
      </c>
      <c r="C6771" s="17">
        <v>20230101</v>
      </c>
      <c r="D6771" s="17">
        <v>22991231</v>
      </c>
      <c r="E6771" s="25">
        <v>6.95</v>
      </c>
    </row>
    <row r="6772" spans="1:5" x14ac:dyDescent="0.3">
      <c r="A6772" s="17" t="str">
        <f>"J9600"</f>
        <v>J9600</v>
      </c>
      <c r="B6772" s="5" t="s">
        <v>6777</v>
      </c>
      <c r="C6772" s="17">
        <v>20230101</v>
      </c>
      <c r="D6772" s="17">
        <v>22991231</v>
      </c>
      <c r="E6772" s="25">
        <v>21804.32</v>
      </c>
    </row>
    <row r="6773" spans="1:5" x14ac:dyDescent="0.3">
      <c r="A6773" s="17" t="str">
        <f>"J9999"</f>
        <v>J9999</v>
      </c>
      <c r="B6773" s="5" t="s">
        <v>6778</v>
      </c>
      <c r="C6773" s="17">
        <v>20230101</v>
      </c>
      <c r="D6773" s="17">
        <v>22991231</v>
      </c>
      <c r="E6773" s="25">
        <v>0</v>
      </c>
    </row>
    <row r="6774" spans="1:5" ht="26" x14ac:dyDescent="0.3">
      <c r="A6774" s="17" t="str">
        <f>"K0601"</f>
        <v>K0601</v>
      </c>
      <c r="B6774" s="5" t="s">
        <v>6779</v>
      </c>
      <c r="C6774" s="17">
        <v>20040101</v>
      </c>
      <c r="D6774" s="17">
        <v>22991231</v>
      </c>
      <c r="E6774" s="24" t="s">
        <v>7128</v>
      </c>
    </row>
    <row r="6775" spans="1:5" ht="26" x14ac:dyDescent="0.3">
      <c r="A6775" s="17" t="str">
        <f>"K0602"</f>
        <v>K0602</v>
      </c>
      <c r="B6775" s="5" t="s">
        <v>6780</v>
      </c>
      <c r="C6775" s="17">
        <v>20040101</v>
      </c>
      <c r="D6775" s="17">
        <v>22991231</v>
      </c>
      <c r="E6775" s="24" t="s">
        <v>7128</v>
      </c>
    </row>
    <row r="6776" spans="1:5" ht="26" x14ac:dyDescent="0.3">
      <c r="A6776" s="17" t="str">
        <f>"K0603"</f>
        <v>K0603</v>
      </c>
      <c r="B6776" s="5" t="s">
        <v>6781</v>
      </c>
      <c r="C6776" s="17">
        <v>20040101</v>
      </c>
      <c r="D6776" s="17">
        <v>22991231</v>
      </c>
      <c r="E6776" s="24" t="s">
        <v>7128</v>
      </c>
    </row>
    <row r="6777" spans="1:5" ht="26" x14ac:dyDescent="0.3">
      <c r="A6777" s="17" t="str">
        <f>"K0604"</f>
        <v>K0604</v>
      </c>
      <c r="B6777" s="5" t="s">
        <v>6782</v>
      </c>
      <c r="C6777" s="17">
        <v>20040101</v>
      </c>
      <c r="D6777" s="17">
        <v>22991231</v>
      </c>
      <c r="E6777" s="24" t="s">
        <v>7128</v>
      </c>
    </row>
    <row r="6778" spans="1:5" ht="26" x14ac:dyDescent="0.3">
      <c r="A6778" s="17" t="str">
        <f>"K0605"</f>
        <v>K0605</v>
      </c>
      <c r="B6778" s="5" t="s">
        <v>6783</v>
      </c>
      <c r="C6778" s="17">
        <v>20040101</v>
      </c>
      <c r="D6778" s="17">
        <v>22991231</v>
      </c>
      <c r="E6778" s="24" t="s">
        <v>7128</v>
      </c>
    </row>
    <row r="6779" spans="1:5" ht="26" x14ac:dyDescent="0.3">
      <c r="A6779" s="17" t="str">
        <f>"K0607"</f>
        <v>K0607</v>
      </c>
      <c r="B6779" s="5" t="s">
        <v>6784</v>
      </c>
      <c r="C6779" s="17">
        <v>20040101</v>
      </c>
      <c r="D6779" s="17">
        <v>22991231</v>
      </c>
      <c r="E6779" s="24" t="s">
        <v>7128</v>
      </c>
    </row>
    <row r="6780" spans="1:5" ht="26" x14ac:dyDescent="0.3">
      <c r="A6780" s="17" t="str">
        <f>"K0608"</f>
        <v>K0608</v>
      </c>
      <c r="B6780" s="5" t="s">
        <v>6785</v>
      </c>
      <c r="C6780" s="17">
        <v>20040101</v>
      </c>
      <c r="D6780" s="17">
        <v>22991231</v>
      </c>
      <c r="E6780" s="24" t="s">
        <v>7128</v>
      </c>
    </row>
    <row r="6781" spans="1:5" ht="26" x14ac:dyDescent="0.3">
      <c r="A6781" s="17" t="str">
        <f>"K0609"</f>
        <v>K0609</v>
      </c>
      <c r="B6781" s="5" t="s">
        <v>6786</v>
      </c>
      <c r="C6781" s="17">
        <v>20040101</v>
      </c>
      <c r="D6781" s="17">
        <v>22991231</v>
      </c>
      <c r="E6781" s="24" t="s">
        <v>7128</v>
      </c>
    </row>
    <row r="6782" spans="1:5" ht="26" x14ac:dyDescent="0.3">
      <c r="A6782" s="17" t="str">
        <f>"L0861"</f>
        <v>L0861</v>
      </c>
      <c r="B6782" s="5" t="s">
        <v>6787</v>
      </c>
      <c r="C6782" s="17">
        <v>20040101</v>
      </c>
      <c r="D6782" s="17">
        <v>22991231</v>
      </c>
      <c r="E6782" s="24" t="s">
        <v>7128</v>
      </c>
    </row>
    <row r="6783" spans="1:5" ht="39" x14ac:dyDescent="0.3">
      <c r="A6783" s="17" t="str">
        <f>"L1001"</f>
        <v>L1001</v>
      </c>
      <c r="B6783" s="5" t="s">
        <v>6788</v>
      </c>
      <c r="C6783" s="17">
        <v>20070101</v>
      </c>
      <c r="D6783" s="17">
        <v>22991231</v>
      </c>
      <c r="E6783" s="24" t="s">
        <v>7128</v>
      </c>
    </row>
    <row r="6784" spans="1:5" ht="52" x14ac:dyDescent="0.3">
      <c r="A6784" s="17" t="str">
        <f>"L3031"</f>
        <v>L3031</v>
      </c>
      <c r="B6784" s="5" t="s">
        <v>6789</v>
      </c>
      <c r="C6784" s="17">
        <v>20040101</v>
      </c>
      <c r="D6784" s="17">
        <v>22991231</v>
      </c>
      <c r="E6784" s="24" t="s">
        <v>7128</v>
      </c>
    </row>
    <row r="6785" spans="1:5" x14ac:dyDescent="0.3">
      <c r="A6785" s="17" t="str">
        <f>"L8600"</f>
        <v>L8600</v>
      </c>
      <c r="B6785" s="5" t="s">
        <v>6790</v>
      </c>
      <c r="C6785" s="17">
        <v>20230101</v>
      </c>
      <c r="D6785" s="17">
        <v>22991231</v>
      </c>
      <c r="E6785" s="25">
        <v>0</v>
      </c>
    </row>
    <row r="6786" spans="1:5" ht="39" x14ac:dyDescent="0.3">
      <c r="A6786" s="17" t="str">
        <f>"L8603"</f>
        <v>L8603</v>
      </c>
      <c r="B6786" s="5" t="s">
        <v>6791</v>
      </c>
      <c r="C6786" s="17">
        <v>20230101</v>
      </c>
      <c r="D6786" s="17">
        <v>22991231</v>
      </c>
      <c r="E6786" s="25">
        <v>0</v>
      </c>
    </row>
    <row r="6787" spans="1:5" ht="39" x14ac:dyDescent="0.3">
      <c r="A6787" s="17" t="str">
        <f>"L8604"</f>
        <v>L8604</v>
      </c>
      <c r="B6787" s="5" t="s">
        <v>6792</v>
      </c>
      <c r="C6787" s="17">
        <v>20230101</v>
      </c>
      <c r="D6787" s="17">
        <v>22991231</v>
      </c>
      <c r="E6787" s="25">
        <v>0</v>
      </c>
    </row>
    <row r="6788" spans="1:5" ht="39" x14ac:dyDescent="0.3">
      <c r="A6788" s="17" t="str">
        <f>"L8605"</f>
        <v>L8605</v>
      </c>
      <c r="B6788" s="5" t="s">
        <v>6793</v>
      </c>
      <c r="C6788" s="17">
        <v>20230101</v>
      </c>
      <c r="D6788" s="17">
        <v>22991231</v>
      </c>
      <c r="E6788" s="25">
        <v>0</v>
      </c>
    </row>
    <row r="6789" spans="1:5" ht="39" x14ac:dyDescent="0.3">
      <c r="A6789" s="17" t="str">
        <f>"L8606"</f>
        <v>L8606</v>
      </c>
      <c r="B6789" s="5" t="s">
        <v>6794</v>
      </c>
      <c r="C6789" s="17">
        <v>20230101</v>
      </c>
      <c r="D6789" s="17">
        <v>22991231</v>
      </c>
      <c r="E6789" s="25">
        <v>0</v>
      </c>
    </row>
    <row r="6790" spans="1:5" ht="39" x14ac:dyDescent="0.3">
      <c r="A6790" s="17" t="str">
        <f>"L8607"</f>
        <v>L8607</v>
      </c>
      <c r="B6790" s="5" t="s">
        <v>6795</v>
      </c>
      <c r="C6790" s="17">
        <v>20230101</v>
      </c>
      <c r="D6790" s="17">
        <v>22991231</v>
      </c>
      <c r="E6790" s="25">
        <v>0</v>
      </c>
    </row>
    <row r="6791" spans="1:5" ht="39" x14ac:dyDescent="0.3">
      <c r="A6791" s="17" t="str">
        <f>"L8608"</f>
        <v>L8608</v>
      </c>
      <c r="B6791" s="5" t="s">
        <v>6796</v>
      </c>
      <c r="C6791" s="17">
        <v>20240101</v>
      </c>
      <c r="D6791" s="17">
        <v>22991231</v>
      </c>
      <c r="E6791" s="25">
        <v>0</v>
      </c>
    </row>
    <row r="6792" spans="1:5" x14ac:dyDescent="0.3">
      <c r="A6792" s="17" t="str">
        <f>"L8609"</f>
        <v>L8609</v>
      </c>
      <c r="B6792" s="5" t="s">
        <v>6797</v>
      </c>
      <c r="C6792" s="17">
        <v>20230101</v>
      </c>
      <c r="D6792" s="17">
        <v>22991231</v>
      </c>
      <c r="E6792" s="25">
        <v>0</v>
      </c>
    </row>
    <row r="6793" spans="1:5" x14ac:dyDescent="0.3">
      <c r="A6793" s="17" t="str">
        <f>"L8610"</f>
        <v>L8610</v>
      </c>
      <c r="B6793" s="5" t="s">
        <v>6798</v>
      </c>
      <c r="C6793" s="17">
        <v>20230101</v>
      </c>
      <c r="D6793" s="17">
        <v>22991231</v>
      </c>
      <c r="E6793" s="25">
        <v>0</v>
      </c>
    </row>
    <row r="6794" spans="1:5" x14ac:dyDescent="0.3">
      <c r="A6794" s="17" t="str">
        <f>"L8612"</f>
        <v>L8612</v>
      </c>
      <c r="B6794" s="5" t="s">
        <v>6799</v>
      </c>
      <c r="C6794" s="17">
        <v>20230101</v>
      </c>
      <c r="D6794" s="17">
        <v>22991231</v>
      </c>
      <c r="E6794" s="25">
        <v>0</v>
      </c>
    </row>
    <row r="6795" spans="1:5" x14ac:dyDescent="0.3">
      <c r="A6795" s="17" t="str">
        <f>"L8613"</f>
        <v>L8613</v>
      </c>
      <c r="B6795" s="5" t="s">
        <v>6800</v>
      </c>
      <c r="C6795" s="17">
        <v>20230101</v>
      </c>
      <c r="D6795" s="17">
        <v>22991231</v>
      </c>
      <c r="E6795" s="25">
        <v>0</v>
      </c>
    </row>
    <row r="6796" spans="1:5" ht="26" x14ac:dyDescent="0.3">
      <c r="A6796" s="17" t="str">
        <f>"L8614"</f>
        <v>L8614</v>
      </c>
      <c r="B6796" s="5" t="s">
        <v>6801</v>
      </c>
      <c r="C6796" s="17">
        <v>20230101</v>
      </c>
      <c r="D6796" s="17">
        <v>22991231</v>
      </c>
      <c r="E6796" s="25">
        <v>0</v>
      </c>
    </row>
    <row r="6797" spans="1:5" x14ac:dyDescent="0.3">
      <c r="A6797" s="17" t="str">
        <f>"L8630"</f>
        <v>L8630</v>
      </c>
      <c r="B6797" s="5" t="s">
        <v>6802</v>
      </c>
      <c r="C6797" s="17">
        <v>20230101</v>
      </c>
      <c r="D6797" s="17">
        <v>22991231</v>
      </c>
      <c r="E6797" s="25">
        <v>0</v>
      </c>
    </row>
    <row r="6798" spans="1:5" ht="65" x14ac:dyDescent="0.3">
      <c r="A6798" s="17" t="str">
        <f>"L8631"</f>
        <v>L8631</v>
      </c>
      <c r="B6798" s="5" t="s">
        <v>6803</v>
      </c>
      <c r="C6798" s="17">
        <v>20040101</v>
      </c>
      <c r="D6798" s="17">
        <v>22991231</v>
      </c>
      <c r="E6798" s="25">
        <v>0</v>
      </c>
    </row>
    <row r="6799" spans="1:5" x14ac:dyDescent="0.3">
      <c r="A6799" s="17" t="str">
        <f>"L8641"</f>
        <v>L8641</v>
      </c>
      <c r="B6799" s="5" t="s">
        <v>6804</v>
      </c>
      <c r="C6799" s="17">
        <v>20230101</v>
      </c>
      <c r="D6799" s="17">
        <v>22991231</v>
      </c>
      <c r="E6799" s="25">
        <v>0</v>
      </c>
    </row>
    <row r="6800" spans="1:5" x14ac:dyDescent="0.3">
      <c r="A6800" s="17" t="str">
        <f>"L8642"</f>
        <v>L8642</v>
      </c>
      <c r="B6800" s="5" t="s">
        <v>6805</v>
      </c>
      <c r="C6800" s="17">
        <v>20230101</v>
      </c>
      <c r="D6800" s="17">
        <v>22991231</v>
      </c>
      <c r="E6800" s="25">
        <v>0</v>
      </c>
    </row>
    <row r="6801" spans="1:5" ht="26" x14ac:dyDescent="0.3">
      <c r="A6801" s="17" t="str">
        <f>"L8658"</f>
        <v>L8658</v>
      </c>
      <c r="B6801" s="5" t="s">
        <v>6806</v>
      </c>
      <c r="C6801" s="17">
        <v>20230101</v>
      </c>
      <c r="D6801" s="17">
        <v>22991231</v>
      </c>
      <c r="E6801" s="25">
        <v>0</v>
      </c>
    </row>
    <row r="6802" spans="1:5" ht="52" x14ac:dyDescent="0.3">
      <c r="A6802" s="17" t="str">
        <f>"L8659"</f>
        <v>L8659</v>
      </c>
      <c r="B6802" s="5" t="s">
        <v>6807</v>
      </c>
      <c r="C6802" s="17">
        <v>20040101</v>
      </c>
      <c r="D6802" s="17">
        <v>22991231</v>
      </c>
      <c r="E6802" s="25">
        <v>0</v>
      </c>
    </row>
    <row r="6803" spans="1:5" x14ac:dyDescent="0.3">
      <c r="A6803" s="17" t="str">
        <f>"L8670"</f>
        <v>L8670</v>
      </c>
      <c r="B6803" s="5" t="s">
        <v>6808</v>
      </c>
      <c r="C6803" s="17">
        <v>20230101</v>
      </c>
      <c r="D6803" s="17">
        <v>22991231</v>
      </c>
      <c r="E6803" s="25">
        <v>0</v>
      </c>
    </row>
    <row r="6804" spans="1:5" ht="26" x14ac:dyDescent="0.3">
      <c r="A6804" s="17" t="str">
        <f>"L8678"</f>
        <v>L8678</v>
      </c>
      <c r="B6804" s="5" t="s">
        <v>6809</v>
      </c>
      <c r="C6804" s="17">
        <v>20240101</v>
      </c>
      <c r="D6804" s="17">
        <v>22991231</v>
      </c>
      <c r="E6804" s="25">
        <v>0</v>
      </c>
    </row>
    <row r="6805" spans="1:5" ht="26" x14ac:dyDescent="0.3">
      <c r="A6805" s="17" t="str">
        <f>"L8679"</f>
        <v>L8679</v>
      </c>
      <c r="B6805" s="5" t="s">
        <v>6810</v>
      </c>
      <c r="C6805" s="17">
        <v>20230101</v>
      </c>
      <c r="D6805" s="17">
        <v>22991231</v>
      </c>
      <c r="E6805" s="25">
        <v>0</v>
      </c>
    </row>
    <row r="6806" spans="1:5" x14ac:dyDescent="0.3">
      <c r="A6806" s="17" t="str">
        <f>"L8680"</f>
        <v>L8680</v>
      </c>
      <c r="B6806" s="5" t="s">
        <v>6811</v>
      </c>
      <c r="C6806" s="17">
        <v>20100501</v>
      </c>
      <c r="D6806" s="17">
        <v>22991231</v>
      </c>
      <c r="E6806" s="24" t="s">
        <v>7128</v>
      </c>
    </row>
    <row r="6807" spans="1:5" ht="39" x14ac:dyDescent="0.3">
      <c r="A6807" s="17" t="str">
        <f>"L8681"</f>
        <v>L8681</v>
      </c>
      <c r="B6807" s="5" t="s">
        <v>6812</v>
      </c>
      <c r="C6807" s="17">
        <v>20160101</v>
      </c>
      <c r="D6807" s="17">
        <v>22991231</v>
      </c>
      <c r="E6807" s="24" t="s">
        <v>7128</v>
      </c>
    </row>
    <row r="6808" spans="1:5" ht="26" x14ac:dyDescent="0.3">
      <c r="A6808" s="17" t="str">
        <f>"L8682"</f>
        <v>L8682</v>
      </c>
      <c r="B6808" s="5" t="s">
        <v>6813</v>
      </c>
      <c r="C6808" s="17">
        <v>20230101</v>
      </c>
      <c r="D6808" s="17">
        <v>22991231</v>
      </c>
      <c r="E6808" s="25">
        <v>0</v>
      </c>
    </row>
    <row r="6809" spans="1:5" ht="39" x14ac:dyDescent="0.3">
      <c r="A6809" s="17" t="str">
        <f>"L8686"</f>
        <v>L8686</v>
      </c>
      <c r="B6809" s="5" t="s">
        <v>6814</v>
      </c>
      <c r="C6809" s="17">
        <v>20160101</v>
      </c>
      <c r="D6809" s="17">
        <v>22991231</v>
      </c>
      <c r="E6809" s="24" t="s">
        <v>7128</v>
      </c>
    </row>
    <row r="6810" spans="1:5" ht="26" x14ac:dyDescent="0.3">
      <c r="A6810" s="17" t="str">
        <f>"L8690"</f>
        <v>L8690</v>
      </c>
      <c r="B6810" s="5" t="s">
        <v>6815</v>
      </c>
      <c r="C6810" s="17">
        <v>20230101</v>
      </c>
      <c r="D6810" s="17">
        <v>22991231</v>
      </c>
      <c r="E6810" s="25">
        <v>0</v>
      </c>
    </row>
    <row r="6811" spans="1:5" x14ac:dyDescent="0.3">
      <c r="A6811" s="17" t="str">
        <f>"L8699"</f>
        <v>L8699</v>
      </c>
      <c r="B6811" s="5" t="s">
        <v>6816</v>
      </c>
      <c r="C6811" s="17">
        <v>20030201</v>
      </c>
      <c r="D6811" s="17">
        <v>22991231</v>
      </c>
      <c r="E6811" s="25">
        <v>0</v>
      </c>
    </row>
    <row r="6812" spans="1:5" ht="39" x14ac:dyDescent="0.3">
      <c r="A6812" s="17" t="str">
        <f>"L9900"</f>
        <v>L9900</v>
      </c>
      <c r="B6812" s="5" t="s">
        <v>6817</v>
      </c>
      <c r="C6812" s="17">
        <v>20000101</v>
      </c>
      <c r="D6812" s="17">
        <v>22991231</v>
      </c>
      <c r="E6812" s="25">
        <v>0</v>
      </c>
    </row>
    <row r="6813" spans="1:5" ht="78" x14ac:dyDescent="0.3">
      <c r="A6813" s="17" t="str">
        <f>"M0201"</f>
        <v>M0201</v>
      </c>
      <c r="B6813" s="5" t="s">
        <v>6818</v>
      </c>
      <c r="C6813" s="17">
        <v>20220101</v>
      </c>
      <c r="D6813" s="17">
        <v>22991231</v>
      </c>
      <c r="E6813" s="24" t="s">
        <v>7128</v>
      </c>
    </row>
    <row r="6814" spans="1:5" ht="117" x14ac:dyDescent="0.3">
      <c r="A6814" s="17" t="str">
        <f>"M0249"</f>
        <v>M0249</v>
      </c>
      <c r="B6814" s="5" t="s">
        <v>6819</v>
      </c>
      <c r="C6814" s="17">
        <v>20211001</v>
      </c>
      <c r="D6814" s="17">
        <v>22991231</v>
      </c>
      <c r="E6814" s="24" t="s">
        <v>7128</v>
      </c>
    </row>
    <row r="6815" spans="1:5" ht="117" x14ac:dyDescent="0.3">
      <c r="A6815" s="17" t="str">
        <f>"M0250"</f>
        <v>M0250</v>
      </c>
      <c r="B6815" s="5" t="s">
        <v>6820</v>
      </c>
      <c r="C6815" s="17">
        <v>20211001</v>
      </c>
      <c r="D6815" s="17">
        <v>22991231</v>
      </c>
      <c r="E6815" s="24" t="s">
        <v>7128</v>
      </c>
    </row>
    <row r="6816" spans="1:5" x14ac:dyDescent="0.3">
      <c r="A6816" s="17" t="str">
        <f>"P9034"</f>
        <v>P9034</v>
      </c>
      <c r="B6816" s="5" t="s">
        <v>6821</v>
      </c>
      <c r="C6816" s="17">
        <v>20100101</v>
      </c>
      <c r="D6816" s="17">
        <v>22991231</v>
      </c>
      <c r="E6816" s="24" t="s">
        <v>7128</v>
      </c>
    </row>
    <row r="6817" spans="1:5" x14ac:dyDescent="0.3">
      <c r="A6817" s="17" t="str">
        <f>"P9041"</f>
        <v>P9041</v>
      </c>
      <c r="B6817" s="5" t="s">
        <v>6822</v>
      </c>
      <c r="C6817" s="17">
        <v>20230101</v>
      </c>
      <c r="D6817" s="17">
        <v>22991231</v>
      </c>
      <c r="E6817" s="25">
        <v>10.14</v>
      </c>
    </row>
    <row r="6818" spans="1:5" x14ac:dyDescent="0.3">
      <c r="A6818" s="17" t="str">
        <f>"P9045"</f>
        <v>P9045</v>
      </c>
      <c r="B6818" s="5" t="s">
        <v>6823</v>
      </c>
      <c r="C6818" s="17">
        <v>20230101</v>
      </c>
      <c r="D6818" s="17">
        <v>22991231</v>
      </c>
      <c r="E6818" s="25">
        <v>50.7</v>
      </c>
    </row>
    <row r="6819" spans="1:5" x14ac:dyDescent="0.3">
      <c r="A6819" s="17" t="str">
        <f>"P9046"</f>
        <v>P9046</v>
      </c>
      <c r="B6819" s="5" t="s">
        <v>6824</v>
      </c>
      <c r="C6819" s="17">
        <v>20230101</v>
      </c>
      <c r="D6819" s="17">
        <v>22991231</v>
      </c>
      <c r="E6819" s="25">
        <v>20.28</v>
      </c>
    </row>
    <row r="6820" spans="1:5" x14ac:dyDescent="0.3">
      <c r="A6820" s="17" t="str">
        <f>"P9047"</f>
        <v>P9047</v>
      </c>
      <c r="B6820" s="5" t="s">
        <v>6825</v>
      </c>
      <c r="C6820" s="17">
        <v>20230101</v>
      </c>
      <c r="D6820" s="17">
        <v>22991231</v>
      </c>
      <c r="E6820" s="25">
        <v>50.7</v>
      </c>
    </row>
    <row r="6821" spans="1:5" x14ac:dyDescent="0.3">
      <c r="A6821" s="17" t="str">
        <f>"P9050"</f>
        <v>P9050</v>
      </c>
      <c r="B6821" s="5" t="s">
        <v>6826</v>
      </c>
      <c r="C6821" s="17">
        <v>20230101</v>
      </c>
      <c r="D6821" s="17">
        <v>22991231</v>
      </c>
      <c r="E6821" s="25">
        <v>0</v>
      </c>
    </row>
    <row r="6822" spans="1:5" x14ac:dyDescent="0.3">
      <c r="A6822" s="17" t="str">
        <f>"Q0035"</f>
        <v>Q0035</v>
      </c>
      <c r="B6822" s="5" t="s">
        <v>6827</v>
      </c>
      <c r="C6822" s="17">
        <v>20240101</v>
      </c>
      <c r="D6822" s="17">
        <v>22991231</v>
      </c>
      <c r="E6822" s="25">
        <v>0</v>
      </c>
    </row>
    <row r="6823" spans="1:5" x14ac:dyDescent="0.3">
      <c r="A6823" s="17" t="str">
        <f>"Q0092"</f>
        <v>Q0092</v>
      </c>
      <c r="B6823" s="5" t="s">
        <v>6828</v>
      </c>
      <c r="C6823" s="17">
        <v>20240101</v>
      </c>
      <c r="D6823" s="17">
        <v>22991231</v>
      </c>
      <c r="E6823" s="25">
        <v>0</v>
      </c>
    </row>
    <row r="6824" spans="1:5" ht="26" x14ac:dyDescent="0.3">
      <c r="A6824" s="17" t="str">
        <f>"Q0138"</f>
        <v>Q0138</v>
      </c>
      <c r="B6824" s="5" t="s">
        <v>6829</v>
      </c>
      <c r="C6824" s="17">
        <v>20230101</v>
      </c>
      <c r="D6824" s="17">
        <v>22991231</v>
      </c>
      <c r="E6824" s="25">
        <v>0.34</v>
      </c>
    </row>
    <row r="6825" spans="1:5" ht="26" x14ac:dyDescent="0.3">
      <c r="A6825" s="17" t="str">
        <f>"Q0139"</f>
        <v>Q0139</v>
      </c>
      <c r="B6825" s="5" t="s">
        <v>6830</v>
      </c>
      <c r="C6825" s="17">
        <v>20230101</v>
      </c>
      <c r="D6825" s="17">
        <v>22991231</v>
      </c>
      <c r="E6825" s="25">
        <v>0.34</v>
      </c>
    </row>
    <row r="6826" spans="1:5" ht="65" x14ac:dyDescent="0.3">
      <c r="A6826" s="17" t="str">
        <f>"Q0161"</f>
        <v>Q0161</v>
      </c>
      <c r="B6826" s="5" t="s">
        <v>6831</v>
      </c>
      <c r="C6826" s="17">
        <v>20230101</v>
      </c>
      <c r="D6826" s="17">
        <v>22991231</v>
      </c>
      <c r="E6826" s="25">
        <v>0</v>
      </c>
    </row>
    <row r="6827" spans="1:5" ht="65" x14ac:dyDescent="0.3">
      <c r="A6827" s="17" t="str">
        <f>"Q0162"</f>
        <v>Q0162</v>
      </c>
      <c r="B6827" s="5" t="s">
        <v>6832</v>
      </c>
      <c r="C6827" s="17">
        <v>20230101</v>
      </c>
      <c r="D6827" s="17">
        <v>22991231</v>
      </c>
      <c r="E6827" s="25">
        <v>0</v>
      </c>
    </row>
    <row r="6828" spans="1:5" ht="65" x14ac:dyDescent="0.3">
      <c r="A6828" s="17" t="str">
        <f>"Q0163"</f>
        <v>Q0163</v>
      </c>
      <c r="B6828" s="5" t="s">
        <v>6833</v>
      </c>
      <c r="C6828" s="17">
        <v>20230101</v>
      </c>
      <c r="D6828" s="17">
        <v>22991231</v>
      </c>
      <c r="E6828" s="25">
        <v>0</v>
      </c>
    </row>
    <row r="6829" spans="1:5" ht="65" x14ac:dyDescent="0.3">
      <c r="A6829" s="17" t="str">
        <f>"Q0164"</f>
        <v>Q0164</v>
      </c>
      <c r="B6829" s="5" t="s">
        <v>6834</v>
      </c>
      <c r="C6829" s="17">
        <v>20230101</v>
      </c>
      <c r="D6829" s="17">
        <v>22991231</v>
      </c>
      <c r="E6829" s="25">
        <v>0</v>
      </c>
    </row>
    <row r="6830" spans="1:5" ht="65" x14ac:dyDescent="0.3">
      <c r="A6830" s="17" t="str">
        <f>"Q0166"</f>
        <v>Q0166</v>
      </c>
      <c r="B6830" s="5" t="s">
        <v>6835</v>
      </c>
      <c r="C6830" s="17">
        <v>20230101</v>
      </c>
      <c r="D6830" s="17">
        <v>22991231</v>
      </c>
      <c r="E6830" s="25">
        <v>0</v>
      </c>
    </row>
    <row r="6831" spans="1:5" ht="65" x14ac:dyDescent="0.3">
      <c r="A6831" s="17" t="str">
        <f>"Q0167"</f>
        <v>Q0167</v>
      </c>
      <c r="B6831" s="5" t="s">
        <v>6836</v>
      </c>
      <c r="C6831" s="17">
        <v>20230101</v>
      </c>
      <c r="D6831" s="17">
        <v>22991231</v>
      </c>
      <c r="E6831" s="25">
        <v>0</v>
      </c>
    </row>
    <row r="6832" spans="1:5" ht="65" x14ac:dyDescent="0.3">
      <c r="A6832" s="17" t="str">
        <f>"Q0169"</f>
        <v>Q0169</v>
      </c>
      <c r="B6832" s="5" t="s">
        <v>6837</v>
      </c>
      <c r="C6832" s="17">
        <v>20230101</v>
      </c>
      <c r="D6832" s="17">
        <v>22991231</v>
      </c>
      <c r="E6832" s="25">
        <v>0</v>
      </c>
    </row>
    <row r="6833" spans="1:5" ht="65" x14ac:dyDescent="0.3">
      <c r="A6833" s="17" t="str">
        <f>"Q0173"</f>
        <v>Q0173</v>
      </c>
      <c r="B6833" s="5" t="s">
        <v>6838</v>
      </c>
      <c r="C6833" s="17">
        <v>20230101</v>
      </c>
      <c r="D6833" s="17">
        <v>22991231</v>
      </c>
      <c r="E6833" s="25">
        <v>0</v>
      </c>
    </row>
    <row r="6834" spans="1:5" ht="65" x14ac:dyDescent="0.3">
      <c r="A6834" s="17" t="str">
        <f>"Q0174"</f>
        <v>Q0174</v>
      </c>
      <c r="B6834" s="5" t="s">
        <v>6839</v>
      </c>
      <c r="C6834" s="17">
        <v>20230101</v>
      </c>
      <c r="D6834" s="17">
        <v>22991231</v>
      </c>
      <c r="E6834" s="25">
        <v>0</v>
      </c>
    </row>
    <row r="6835" spans="1:5" ht="65" x14ac:dyDescent="0.3">
      <c r="A6835" s="17" t="str">
        <f>"Q0175"</f>
        <v>Q0175</v>
      </c>
      <c r="B6835" s="5" t="s">
        <v>6840</v>
      </c>
      <c r="C6835" s="17">
        <v>20230101</v>
      </c>
      <c r="D6835" s="17">
        <v>22991231</v>
      </c>
      <c r="E6835" s="25">
        <v>0</v>
      </c>
    </row>
    <row r="6836" spans="1:5" ht="65" x14ac:dyDescent="0.3">
      <c r="A6836" s="17" t="str">
        <f>"Q0177"</f>
        <v>Q0177</v>
      </c>
      <c r="B6836" s="5" t="s">
        <v>6841</v>
      </c>
      <c r="C6836" s="17">
        <v>20230101</v>
      </c>
      <c r="D6836" s="17">
        <v>22991231</v>
      </c>
      <c r="E6836" s="25">
        <v>0</v>
      </c>
    </row>
    <row r="6837" spans="1:5" ht="65" x14ac:dyDescent="0.3">
      <c r="A6837" s="17" t="str">
        <f>"Q0180"</f>
        <v>Q0180</v>
      </c>
      <c r="B6837" s="5" t="s">
        <v>6842</v>
      </c>
      <c r="C6837" s="17">
        <v>20230101</v>
      </c>
      <c r="D6837" s="17">
        <v>22991231</v>
      </c>
      <c r="E6837" s="25">
        <v>0</v>
      </c>
    </row>
    <row r="6838" spans="1:5" ht="65" x14ac:dyDescent="0.3">
      <c r="A6838" s="17" t="str">
        <f>"Q0181"</f>
        <v>Q0181</v>
      </c>
      <c r="B6838" s="5" t="s">
        <v>6843</v>
      </c>
      <c r="C6838" s="17">
        <v>20230101</v>
      </c>
      <c r="D6838" s="17">
        <v>22991231</v>
      </c>
      <c r="E6838" s="25">
        <v>0</v>
      </c>
    </row>
    <row r="6839" spans="1:5" ht="195" x14ac:dyDescent="0.3">
      <c r="A6839" s="17" t="str">
        <f>"Q0220"</f>
        <v>Q0220</v>
      </c>
      <c r="B6839" s="5" t="s">
        <v>6844</v>
      </c>
      <c r="C6839" s="17">
        <v>20240101</v>
      </c>
      <c r="D6839" s="17">
        <v>22991231</v>
      </c>
      <c r="E6839" s="25">
        <v>0</v>
      </c>
    </row>
    <row r="6840" spans="1:5" ht="195" x14ac:dyDescent="0.3">
      <c r="A6840" s="17" t="str">
        <f>"Q0221"</f>
        <v>Q0221</v>
      </c>
      <c r="B6840" s="5" t="s">
        <v>6845</v>
      </c>
      <c r="C6840" s="17">
        <v>20240101</v>
      </c>
      <c r="D6840" s="17">
        <v>22991231</v>
      </c>
      <c r="E6840" s="25">
        <v>0</v>
      </c>
    </row>
    <row r="6841" spans="1:5" x14ac:dyDescent="0.3">
      <c r="A6841" s="17" t="str">
        <f>"Q0222"</f>
        <v>Q0222</v>
      </c>
      <c r="B6841" s="5" t="s">
        <v>6846</v>
      </c>
      <c r="C6841" s="17">
        <v>20240101</v>
      </c>
      <c r="D6841" s="17">
        <v>22991231</v>
      </c>
      <c r="E6841" s="25">
        <v>0</v>
      </c>
    </row>
    <row r="6842" spans="1:5" x14ac:dyDescent="0.3">
      <c r="A6842" s="17" t="str">
        <f>"Q0240"</f>
        <v>Q0240</v>
      </c>
      <c r="B6842" s="5" t="s">
        <v>6847</v>
      </c>
      <c r="C6842" s="17">
        <v>20230101</v>
      </c>
      <c r="D6842" s="17">
        <v>22991231</v>
      </c>
      <c r="E6842" s="25">
        <v>0</v>
      </c>
    </row>
    <row r="6843" spans="1:5" x14ac:dyDescent="0.3">
      <c r="A6843" s="17" t="str">
        <f>"Q0243"</f>
        <v>Q0243</v>
      </c>
      <c r="B6843" s="5" t="s">
        <v>6848</v>
      </c>
      <c r="C6843" s="17">
        <v>20230101</v>
      </c>
      <c r="D6843" s="17">
        <v>22991231</v>
      </c>
      <c r="E6843" s="25">
        <v>0</v>
      </c>
    </row>
    <row r="6844" spans="1:5" x14ac:dyDescent="0.3">
      <c r="A6844" s="17" t="str">
        <f>"Q0244"</f>
        <v>Q0244</v>
      </c>
      <c r="B6844" s="5" t="s">
        <v>6849</v>
      </c>
      <c r="C6844" s="17">
        <v>20230101</v>
      </c>
      <c r="D6844" s="17">
        <v>22991231</v>
      </c>
      <c r="E6844" s="25">
        <v>0</v>
      </c>
    </row>
    <row r="6845" spans="1:5" ht="26" x14ac:dyDescent="0.3">
      <c r="A6845" s="17" t="str">
        <f>"Q0245"</f>
        <v>Q0245</v>
      </c>
      <c r="B6845" s="5" t="s">
        <v>6850</v>
      </c>
      <c r="C6845" s="17">
        <v>20230101</v>
      </c>
      <c r="D6845" s="17">
        <v>22991231</v>
      </c>
      <c r="E6845" s="25">
        <v>0</v>
      </c>
    </row>
    <row r="6846" spans="1:5" x14ac:dyDescent="0.3">
      <c r="A6846" s="17" t="str">
        <f>"Q0247"</f>
        <v>Q0247</v>
      </c>
      <c r="B6846" s="5" t="s">
        <v>6851</v>
      </c>
      <c r="C6846" s="17">
        <v>20230101</v>
      </c>
      <c r="D6846" s="17">
        <v>22991231</v>
      </c>
      <c r="E6846" s="25">
        <v>0</v>
      </c>
    </row>
    <row r="6847" spans="1:5" ht="91" x14ac:dyDescent="0.3">
      <c r="A6847" s="17" t="str">
        <f>"Q0249"</f>
        <v>Q0249</v>
      </c>
      <c r="B6847" s="5" t="s">
        <v>6852</v>
      </c>
      <c r="C6847" s="17">
        <v>20230101</v>
      </c>
      <c r="D6847" s="17">
        <v>22991231</v>
      </c>
      <c r="E6847" s="25">
        <v>0</v>
      </c>
    </row>
    <row r="6848" spans="1:5" x14ac:dyDescent="0.3">
      <c r="A6848" s="17" t="str">
        <f>"Q0515"</f>
        <v>Q0515</v>
      </c>
      <c r="B6848" s="5" t="s">
        <v>6853</v>
      </c>
      <c r="C6848" s="17">
        <v>20230101</v>
      </c>
      <c r="D6848" s="17">
        <v>22991231</v>
      </c>
      <c r="E6848" s="25">
        <v>0</v>
      </c>
    </row>
    <row r="6849" spans="1:5" ht="26" x14ac:dyDescent="0.3">
      <c r="A6849" s="17" t="str">
        <f>"Q2004"</f>
        <v>Q2004</v>
      </c>
      <c r="B6849" s="5" t="s">
        <v>6854</v>
      </c>
      <c r="C6849" s="17">
        <v>20230101</v>
      </c>
      <c r="D6849" s="17">
        <v>22991231</v>
      </c>
      <c r="E6849" s="25">
        <v>140.33000000000001</v>
      </c>
    </row>
    <row r="6850" spans="1:5" ht="26" x14ac:dyDescent="0.3">
      <c r="A6850" s="17" t="str">
        <f>"Q2009"</f>
        <v>Q2009</v>
      </c>
      <c r="B6850" s="5" t="s">
        <v>6855</v>
      </c>
      <c r="C6850" s="17">
        <v>20230101</v>
      </c>
      <c r="D6850" s="17">
        <v>22991231</v>
      </c>
      <c r="E6850" s="25">
        <v>4.58</v>
      </c>
    </row>
    <row r="6851" spans="1:5" x14ac:dyDescent="0.3">
      <c r="A6851" s="17" t="str">
        <f>"Q2017"</f>
        <v>Q2017</v>
      </c>
      <c r="B6851" s="5" t="s">
        <v>6856</v>
      </c>
      <c r="C6851" s="17">
        <v>20230101</v>
      </c>
      <c r="D6851" s="17">
        <v>22991231</v>
      </c>
      <c r="E6851" s="25">
        <v>0</v>
      </c>
    </row>
    <row r="6852" spans="1:5" x14ac:dyDescent="0.3">
      <c r="A6852" s="17" t="str">
        <f>"Q2026"</f>
        <v>Q2026</v>
      </c>
      <c r="B6852" s="5" t="s">
        <v>6857</v>
      </c>
      <c r="C6852" s="17">
        <v>20230101</v>
      </c>
      <c r="D6852" s="17">
        <v>22991231</v>
      </c>
      <c r="E6852" s="25">
        <v>285.33</v>
      </c>
    </row>
    <row r="6853" spans="1:5" x14ac:dyDescent="0.3">
      <c r="A6853" s="17" t="str">
        <f>"Q2028"</f>
        <v>Q2028</v>
      </c>
      <c r="B6853" s="5" t="s">
        <v>6858</v>
      </c>
      <c r="C6853" s="17">
        <v>20230101</v>
      </c>
      <c r="D6853" s="17">
        <v>22991231</v>
      </c>
      <c r="E6853" s="25">
        <v>1.34</v>
      </c>
    </row>
    <row r="6854" spans="1:5" ht="26" x14ac:dyDescent="0.3">
      <c r="A6854" s="17" t="str">
        <f>"Q2034"</f>
        <v>Q2034</v>
      </c>
      <c r="B6854" s="5" t="s">
        <v>6859</v>
      </c>
      <c r="C6854" s="17">
        <v>20230101</v>
      </c>
      <c r="D6854" s="17">
        <v>22991231</v>
      </c>
      <c r="E6854" s="25">
        <v>0</v>
      </c>
    </row>
    <row r="6855" spans="1:5" ht="39" x14ac:dyDescent="0.3">
      <c r="A6855" s="17" t="str">
        <f>"Q2035"</f>
        <v>Q2035</v>
      </c>
      <c r="B6855" s="5" t="s">
        <v>6860</v>
      </c>
      <c r="C6855" s="17">
        <v>20230101</v>
      </c>
      <c r="D6855" s="17">
        <v>22991231</v>
      </c>
      <c r="E6855" s="25">
        <v>0</v>
      </c>
    </row>
    <row r="6856" spans="1:5" ht="39" x14ac:dyDescent="0.3">
      <c r="A6856" s="17" t="str">
        <f>"Q2036"</f>
        <v>Q2036</v>
      </c>
      <c r="B6856" s="5" t="s">
        <v>6861</v>
      </c>
      <c r="C6856" s="17">
        <v>20230101</v>
      </c>
      <c r="D6856" s="17">
        <v>22991231</v>
      </c>
      <c r="E6856" s="25">
        <v>0</v>
      </c>
    </row>
    <row r="6857" spans="1:5" ht="39" x14ac:dyDescent="0.3">
      <c r="A6857" s="17" t="str">
        <f>"Q2037"</f>
        <v>Q2037</v>
      </c>
      <c r="B6857" s="5" t="s">
        <v>6862</v>
      </c>
      <c r="C6857" s="17">
        <v>20230101</v>
      </c>
      <c r="D6857" s="17">
        <v>22991231</v>
      </c>
      <c r="E6857" s="25">
        <v>0</v>
      </c>
    </row>
    <row r="6858" spans="1:5" ht="39" x14ac:dyDescent="0.3">
      <c r="A6858" s="17" t="str">
        <f>"Q2038"</f>
        <v>Q2038</v>
      </c>
      <c r="B6858" s="5" t="s">
        <v>6863</v>
      </c>
      <c r="C6858" s="17">
        <v>20230101</v>
      </c>
      <c r="D6858" s="17">
        <v>22991231</v>
      </c>
      <c r="E6858" s="25">
        <v>0</v>
      </c>
    </row>
    <row r="6859" spans="1:5" x14ac:dyDescent="0.3">
      <c r="A6859" s="17" t="str">
        <f>"Q2039"</f>
        <v>Q2039</v>
      </c>
      <c r="B6859" s="5" t="s">
        <v>6864</v>
      </c>
      <c r="C6859" s="17">
        <v>20230101</v>
      </c>
      <c r="D6859" s="17">
        <v>22991231</v>
      </c>
      <c r="E6859" s="25">
        <v>0</v>
      </c>
    </row>
    <row r="6860" spans="1:5" ht="52" x14ac:dyDescent="0.3">
      <c r="A6860" s="17" t="str">
        <f>"Q2043"</f>
        <v>Q2043</v>
      </c>
      <c r="B6860" s="5" t="s">
        <v>6865</v>
      </c>
      <c r="C6860" s="17">
        <v>20230101</v>
      </c>
      <c r="D6860" s="17">
        <v>22991231</v>
      </c>
      <c r="E6860" s="25">
        <v>51030.47</v>
      </c>
    </row>
    <row r="6861" spans="1:5" ht="26" x14ac:dyDescent="0.3">
      <c r="A6861" s="17" t="str">
        <f>"Q2049"</f>
        <v>Q2049</v>
      </c>
      <c r="B6861" s="5" t="s">
        <v>6866</v>
      </c>
      <c r="C6861" s="17">
        <v>20230101</v>
      </c>
      <c r="D6861" s="17">
        <v>22991231</v>
      </c>
      <c r="E6861" s="25">
        <v>373.86</v>
      </c>
    </row>
    <row r="6862" spans="1:5" ht="26" x14ac:dyDescent="0.3">
      <c r="A6862" s="17" t="str">
        <f>"Q2050"</f>
        <v>Q2050</v>
      </c>
      <c r="B6862" s="5" t="s">
        <v>6867</v>
      </c>
      <c r="C6862" s="17">
        <v>20230101</v>
      </c>
      <c r="D6862" s="17">
        <v>22991231</v>
      </c>
      <c r="E6862" s="25">
        <v>81.650000000000006</v>
      </c>
    </row>
    <row r="6863" spans="1:5" ht="26" x14ac:dyDescent="0.3">
      <c r="A6863" s="17" t="str">
        <f>"Q3027"</f>
        <v>Q3027</v>
      </c>
      <c r="B6863" s="5" t="s">
        <v>6868</v>
      </c>
      <c r="C6863" s="17">
        <v>20230101</v>
      </c>
      <c r="D6863" s="17">
        <v>22991231</v>
      </c>
      <c r="E6863" s="25">
        <v>51.28</v>
      </c>
    </row>
    <row r="6864" spans="1:5" x14ac:dyDescent="0.3">
      <c r="A6864" s="17" t="str">
        <f>"Q3031"</f>
        <v>Q3031</v>
      </c>
      <c r="B6864" s="5" t="s">
        <v>6869</v>
      </c>
      <c r="C6864" s="17">
        <v>20230101</v>
      </c>
      <c r="D6864" s="17">
        <v>22991231</v>
      </c>
      <c r="E6864" s="25">
        <v>0</v>
      </c>
    </row>
    <row r="6865" spans="1:5" x14ac:dyDescent="0.3">
      <c r="A6865" s="17" t="str">
        <f>"Q4100"</f>
        <v>Q4100</v>
      </c>
      <c r="B6865" s="5" t="s">
        <v>6870</v>
      </c>
      <c r="C6865" s="17">
        <v>20090101</v>
      </c>
      <c r="D6865" s="17">
        <v>22991231</v>
      </c>
      <c r="E6865" s="25">
        <v>0</v>
      </c>
    </row>
    <row r="6866" spans="1:5" x14ac:dyDescent="0.3">
      <c r="A6866" s="17" t="str">
        <f>"Q4101"</f>
        <v>Q4101</v>
      </c>
      <c r="B6866" s="5" t="s">
        <v>6871</v>
      </c>
      <c r="C6866" s="17">
        <v>20090101</v>
      </c>
      <c r="D6866" s="17">
        <v>22991231</v>
      </c>
      <c r="E6866" s="25">
        <v>0</v>
      </c>
    </row>
    <row r="6867" spans="1:5" x14ac:dyDescent="0.3">
      <c r="A6867" s="17" t="str">
        <f>"Q4102"</f>
        <v>Q4102</v>
      </c>
      <c r="B6867" s="5" t="s">
        <v>6872</v>
      </c>
      <c r="C6867" s="17">
        <v>20090101</v>
      </c>
      <c r="D6867" s="17">
        <v>22991231</v>
      </c>
      <c r="E6867" s="25">
        <v>0</v>
      </c>
    </row>
    <row r="6868" spans="1:5" x14ac:dyDescent="0.3">
      <c r="A6868" s="17" t="str">
        <f>"Q4103"</f>
        <v>Q4103</v>
      </c>
      <c r="B6868" s="5" t="s">
        <v>6873</v>
      </c>
      <c r="C6868" s="17">
        <v>20090101</v>
      </c>
      <c r="D6868" s="17">
        <v>22991231</v>
      </c>
      <c r="E6868" s="25">
        <v>0</v>
      </c>
    </row>
    <row r="6869" spans="1:5" ht="26" x14ac:dyDescent="0.3">
      <c r="A6869" s="17" t="str">
        <f>"Q4104"</f>
        <v>Q4104</v>
      </c>
      <c r="B6869" s="5" t="s">
        <v>6874</v>
      </c>
      <c r="C6869" s="17">
        <v>20090101</v>
      </c>
      <c r="D6869" s="17">
        <v>22991231</v>
      </c>
      <c r="E6869" s="25">
        <v>0</v>
      </c>
    </row>
    <row r="6870" spans="1:5" ht="39" x14ac:dyDescent="0.3">
      <c r="A6870" s="17" t="str">
        <f>"Q4105"</f>
        <v>Q4105</v>
      </c>
      <c r="B6870" s="5" t="s">
        <v>6875</v>
      </c>
      <c r="C6870" s="17">
        <v>20090101</v>
      </c>
      <c r="D6870" s="17">
        <v>22991231</v>
      </c>
      <c r="E6870" s="25">
        <v>0</v>
      </c>
    </row>
    <row r="6871" spans="1:5" x14ac:dyDescent="0.3">
      <c r="A6871" s="17" t="str">
        <f>"Q4106"</f>
        <v>Q4106</v>
      </c>
      <c r="B6871" s="5" t="s">
        <v>6876</v>
      </c>
      <c r="C6871" s="17">
        <v>20090101</v>
      </c>
      <c r="D6871" s="17">
        <v>22991231</v>
      </c>
      <c r="E6871" s="25">
        <v>0</v>
      </c>
    </row>
    <row r="6872" spans="1:5" x14ac:dyDescent="0.3">
      <c r="A6872" s="17" t="str">
        <f>"Q4107"</f>
        <v>Q4107</v>
      </c>
      <c r="B6872" s="5" t="s">
        <v>6877</v>
      </c>
      <c r="C6872" s="17">
        <v>20090101</v>
      </c>
      <c r="D6872" s="17">
        <v>22991231</v>
      </c>
      <c r="E6872" s="25">
        <v>0</v>
      </c>
    </row>
    <row r="6873" spans="1:5" x14ac:dyDescent="0.3">
      <c r="A6873" s="17" t="str">
        <f>"Q4108"</f>
        <v>Q4108</v>
      </c>
      <c r="B6873" s="5" t="s">
        <v>6878</v>
      </c>
      <c r="C6873" s="17">
        <v>20090101</v>
      </c>
      <c r="D6873" s="17">
        <v>22991231</v>
      </c>
      <c r="E6873" s="25">
        <v>0</v>
      </c>
    </row>
    <row r="6874" spans="1:5" x14ac:dyDescent="0.3">
      <c r="A6874" s="17" t="str">
        <f>"Q4110"</f>
        <v>Q4110</v>
      </c>
      <c r="B6874" s="5" t="s">
        <v>6879</v>
      </c>
      <c r="C6874" s="17">
        <v>20090101</v>
      </c>
      <c r="D6874" s="17">
        <v>22991231</v>
      </c>
      <c r="E6874" s="25">
        <v>0</v>
      </c>
    </row>
    <row r="6875" spans="1:5" x14ac:dyDescent="0.3">
      <c r="A6875" s="17" t="str">
        <f>"Q4111"</f>
        <v>Q4111</v>
      </c>
      <c r="B6875" s="5" t="s">
        <v>6880</v>
      </c>
      <c r="C6875" s="17">
        <v>20090101</v>
      </c>
      <c r="D6875" s="17">
        <v>22991231</v>
      </c>
      <c r="E6875" s="25">
        <v>0</v>
      </c>
    </row>
    <row r="6876" spans="1:5" x14ac:dyDescent="0.3">
      <c r="A6876" s="17" t="str">
        <f>"Q4112"</f>
        <v>Q4112</v>
      </c>
      <c r="B6876" s="5" t="s">
        <v>6881</v>
      </c>
      <c r="C6876" s="17">
        <v>20090101</v>
      </c>
      <c r="D6876" s="17">
        <v>22991231</v>
      </c>
      <c r="E6876" s="25">
        <v>0</v>
      </c>
    </row>
    <row r="6877" spans="1:5" x14ac:dyDescent="0.3">
      <c r="A6877" s="17" t="str">
        <f>"Q4113"</f>
        <v>Q4113</v>
      </c>
      <c r="B6877" s="5" t="s">
        <v>6882</v>
      </c>
      <c r="C6877" s="17">
        <v>20090101</v>
      </c>
      <c r="D6877" s="17">
        <v>22991231</v>
      </c>
      <c r="E6877" s="25">
        <v>0</v>
      </c>
    </row>
    <row r="6878" spans="1:5" x14ac:dyDescent="0.3">
      <c r="A6878" s="17" t="str">
        <f>"Q4114"</f>
        <v>Q4114</v>
      </c>
      <c r="B6878" s="5" t="s">
        <v>6883</v>
      </c>
      <c r="C6878" s="17">
        <v>20090101</v>
      </c>
      <c r="D6878" s="17">
        <v>22991231</v>
      </c>
      <c r="E6878" s="25">
        <v>0</v>
      </c>
    </row>
    <row r="6879" spans="1:5" x14ac:dyDescent="0.3">
      <c r="A6879" s="17" t="str">
        <f>"Q4115"</f>
        <v>Q4115</v>
      </c>
      <c r="B6879" s="5" t="s">
        <v>6884</v>
      </c>
      <c r="C6879" s="17">
        <v>20100101</v>
      </c>
      <c r="D6879" s="17">
        <v>22991231</v>
      </c>
      <c r="E6879" s="25">
        <v>0</v>
      </c>
    </row>
    <row r="6880" spans="1:5" x14ac:dyDescent="0.3">
      <c r="A6880" s="17" t="str">
        <f>"Q4116"</f>
        <v>Q4116</v>
      </c>
      <c r="B6880" s="5" t="s">
        <v>6885</v>
      </c>
      <c r="C6880" s="17">
        <v>20100101</v>
      </c>
      <c r="D6880" s="17">
        <v>22991231</v>
      </c>
      <c r="E6880" s="25">
        <v>0</v>
      </c>
    </row>
    <row r="6881" spans="1:5" x14ac:dyDescent="0.3">
      <c r="A6881" s="17" t="str">
        <f>"Q4117"</f>
        <v>Q4117</v>
      </c>
      <c r="B6881" s="5" t="s">
        <v>6886</v>
      </c>
      <c r="C6881" s="17">
        <v>20230101</v>
      </c>
      <c r="D6881" s="17">
        <v>22991231</v>
      </c>
      <c r="E6881" s="25">
        <v>0</v>
      </c>
    </row>
    <row r="6882" spans="1:5" x14ac:dyDescent="0.3">
      <c r="A6882" s="17" t="str">
        <f>"Q4118"</f>
        <v>Q4118</v>
      </c>
      <c r="B6882" s="5" t="s">
        <v>6887</v>
      </c>
      <c r="C6882" s="17">
        <v>20230101</v>
      </c>
      <c r="D6882" s="17">
        <v>22991231</v>
      </c>
      <c r="E6882" s="25">
        <v>0</v>
      </c>
    </row>
    <row r="6883" spans="1:5" x14ac:dyDescent="0.3">
      <c r="A6883" s="17" t="str">
        <f>"Q4121"</f>
        <v>Q4121</v>
      </c>
      <c r="B6883" s="5" t="s">
        <v>6888</v>
      </c>
      <c r="C6883" s="17">
        <v>20230101</v>
      </c>
      <c r="D6883" s="17">
        <v>22991231</v>
      </c>
      <c r="E6883" s="25">
        <v>0</v>
      </c>
    </row>
    <row r="6884" spans="1:5" ht="26" x14ac:dyDescent="0.3">
      <c r="A6884" s="17" t="str">
        <f>"Q4122"</f>
        <v>Q4122</v>
      </c>
      <c r="B6884" s="5" t="s">
        <v>6889</v>
      </c>
      <c r="C6884" s="17">
        <v>20230101</v>
      </c>
      <c r="D6884" s="17">
        <v>22991231</v>
      </c>
      <c r="E6884" s="25">
        <v>0</v>
      </c>
    </row>
    <row r="6885" spans="1:5" x14ac:dyDescent="0.3">
      <c r="A6885" s="17" t="str">
        <f>"Q4123"</f>
        <v>Q4123</v>
      </c>
      <c r="B6885" s="5" t="s">
        <v>6890</v>
      </c>
      <c r="C6885" s="17">
        <v>20230101</v>
      </c>
      <c r="D6885" s="17">
        <v>22991231</v>
      </c>
      <c r="E6885" s="25">
        <v>0</v>
      </c>
    </row>
    <row r="6886" spans="1:5" ht="26" x14ac:dyDescent="0.3">
      <c r="A6886" s="17" t="str">
        <f>"Q4124"</f>
        <v>Q4124</v>
      </c>
      <c r="B6886" s="5" t="s">
        <v>6891</v>
      </c>
      <c r="C6886" s="17">
        <v>20230101</v>
      </c>
      <c r="D6886" s="17">
        <v>22991231</v>
      </c>
      <c r="E6886" s="25">
        <v>0</v>
      </c>
    </row>
    <row r="6887" spans="1:5" x14ac:dyDescent="0.3">
      <c r="A6887" s="17" t="str">
        <f>"Q4125"</f>
        <v>Q4125</v>
      </c>
      <c r="B6887" s="5" t="s">
        <v>6892</v>
      </c>
      <c r="C6887" s="17">
        <v>20230101</v>
      </c>
      <c r="D6887" s="17">
        <v>22991231</v>
      </c>
      <c r="E6887" s="25">
        <v>0</v>
      </c>
    </row>
    <row r="6888" spans="1:5" ht="26" x14ac:dyDescent="0.3">
      <c r="A6888" s="17" t="str">
        <f>"Q4126"</f>
        <v>Q4126</v>
      </c>
      <c r="B6888" s="5" t="s">
        <v>6893</v>
      </c>
      <c r="C6888" s="17">
        <v>20230101</v>
      </c>
      <c r="D6888" s="17">
        <v>22991231</v>
      </c>
      <c r="E6888" s="25">
        <v>0</v>
      </c>
    </row>
    <row r="6889" spans="1:5" x14ac:dyDescent="0.3">
      <c r="A6889" s="17" t="str">
        <f>"Q4127"</f>
        <v>Q4127</v>
      </c>
      <c r="B6889" s="5" t="s">
        <v>6894</v>
      </c>
      <c r="C6889" s="17">
        <v>20230101</v>
      </c>
      <c r="D6889" s="17">
        <v>22991231</v>
      </c>
      <c r="E6889" s="25">
        <v>0</v>
      </c>
    </row>
    <row r="6890" spans="1:5" x14ac:dyDescent="0.3">
      <c r="A6890" s="17" t="str">
        <f>"Q4128"</f>
        <v>Q4128</v>
      </c>
      <c r="B6890" s="5" t="s">
        <v>6895</v>
      </c>
      <c r="C6890" s="17">
        <v>20230101</v>
      </c>
      <c r="D6890" s="17">
        <v>22991231</v>
      </c>
      <c r="E6890" s="25">
        <v>0</v>
      </c>
    </row>
    <row r="6891" spans="1:5" x14ac:dyDescent="0.3">
      <c r="A6891" s="17" t="str">
        <f>"Q4130"</f>
        <v>Q4130</v>
      </c>
      <c r="B6891" s="5" t="s">
        <v>6896</v>
      </c>
      <c r="C6891" s="17">
        <v>20230101</v>
      </c>
      <c r="D6891" s="17">
        <v>22991231</v>
      </c>
      <c r="E6891" s="25">
        <v>0</v>
      </c>
    </row>
    <row r="6892" spans="1:5" ht="26" x14ac:dyDescent="0.3">
      <c r="A6892" s="17" t="str">
        <f>"Q4132"</f>
        <v>Q4132</v>
      </c>
      <c r="B6892" s="5" t="s">
        <v>6897</v>
      </c>
      <c r="C6892" s="17">
        <v>20230101</v>
      </c>
      <c r="D6892" s="17">
        <v>22991231</v>
      </c>
      <c r="E6892" s="25">
        <v>0</v>
      </c>
    </row>
    <row r="6893" spans="1:5" ht="26" x14ac:dyDescent="0.3">
      <c r="A6893" s="17" t="str">
        <f>"Q4133"</f>
        <v>Q4133</v>
      </c>
      <c r="B6893" s="5" t="s">
        <v>6898</v>
      </c>
      <c r="C6893" s="17">
        <v>20230101</v>
      </c>
      <c r="D6893" s="17">
        <v>22991231</v>
      </c>
      <c r="E6893" s="25">
        <v>0</v>
      </c>
    </row>
    <row r="6894" spans="1:5" x14ac:dyDescent="0.3">
      <c r="A6894" s="17" t="str">
        <f>"Q4134"</f>
        <v>Q4134</v>
      </c>
      <c r="B6894" s="5" t="s">
        <v>6899</v>
      </c>
      <c r="C6894" s="17">
        <v>20230101</v>
      </c>
      <c r="D6894" s="17">
        <v>22991231</v>
      </c>
      <c r="E6894" s="25">
        <v>0</v>
      </c>
    </row>
    <row r="6895" spans="1:5" x14ac:dyDescent="0.3">
      <c r="A6895" s="17" t="str">
        <f>"Q4135"</f>
        <v>Q4135</v>
      </c>
      <c r="B6895" s="5" t="s">
        <v>6900</v>
      </c>
      <c r="C6895" s="17">
        <v>20230101</v>
      </c>
      <c r="D6895" s="17">
        <v>22991231</v>
      </c>
      <c r="E6895" s="25">
        <v>0</v>
      </c>
    </row>
    <row r="6896" spans="1:5" x14ac:dyDescent="0.3">
      <c r="A6896" s="17" t="str">
        <f>"Q4136"</f>
        <v>Q4136</v>
      </c>
      <c r="B6896" s="5" t="s">
        <v>6901</v>
      </c>
      <c r="C6896" s="17">
        <v>20230101</v>
      </c>
      <c r="D6896" s="17">
        <v>22991231</v>
      </c>
      <c r="E6896" s="25">
        <v>0</v>
      </c>
    </row>
    <row r="6897" spans="1:5" ht="26" x14ac:dyDescent="0.3">
      <c r="A6897" s="17" t="str">
        <f>"Q4137"</f>
        <v>Q4137</v>
      </c>
      <c r="B6897" s="5" t="s">
        <v>6902</v>
      </c>
      <c r="C6897" s="17">
        <v>20230101</v>
      </c>
      <c r="D6897" s="17">
        <v>22991231</v>
      </c>
      <c r="E6897" s="25">
        <v>0</v>
      </c>
    </row>
    <row r="6898" spans="1:5" x14ac:dyDescent="0.3">
      <c r="A6898" s="17" t="str">
        <f>"Q4138"</f>
        <v>Q4138</v>
      </c>
      <c r="B6898" s="5" t="s">
        <v>6903</v>
      </c>
      <c r="C6898" s="17">
        <v>20230101</v>
      </c>
      <c r="D6898" s="17">
        <v>22991231</v>
      </c>
      <c r="E6898" s="25">
        <v>0</v>
      </c>
    </row>
    <row r="6899" spans="1:5" x14ac:dyDescent="0.3">
      <c r="A6899" s="17" t="str">
        <f>"Q4139"</f>
        <v>Q4139</v>
      </c>
      <c r="B6899" s="5" t="s">
        <v>6904</v>
      </c>
      <c r="C6899" s="17">
        <v>20230101</v>
      </c>
      <c r="D6899" s="17">
        <v>22991231</v>
      </c>
      <c r="E6899" s="25">
        <v>0</v>
      </c>
    </row>
    <row r="6900" spans="1:5" x14ac:dyDescent="0.3">
      <c r="A6900" s="17" t="str">
        <f>"Q4140"</f>
        <v>Q4140</v>
      </c>
      <c r="B6900" s="5" t="s">
        <v>6905</v>
      </c>
      <c r="C6900" s="17">
        <v>20230101</v>
      </c>
      <c r="D6900" s="17">
        <v>22991231</v>
      </c>
      <c r="E6900" s="25">
        <v>0</v>
      </c>
    </row>
    <row r="6901" spans="1:5" x14ac:dyDescent="0.3">
      <c r="A6901" s="17" t="str">
        <f>"Q4141"</f>
        <v>Q4141</v>
      </c>
      <c r="B6901" s="5" t="s">
        <v>6906</v>
      </c>
      <c r="C6901" s="17">
        <v>20230101</v>
      </c>
      <c r="D6901" s="17">
        <v>22991231</v>
      </c>
      <c r="E6901" s="25">
        <v>0</v>
      </c>
    </row>
    <row r="6902" spans="1:5" ht="26" x14ac:dyDescent="0.3">
      <c r="A6902" s="17" t="str">
        <f>"Q4142"</f>
        <v>Q4142</v>
      </c>
      <c r="B6902" s="5" t="s">
        <v>6907</v>
      </c>
      <c r="C6902" s="17">
        <v>20230101</v>
      </c>
      <c r="D6902" s="17">
        <v>22991231</v>
      </c>
      <c r="E6902" s="25">
        <v>0</v>
      </c>
    </row>
    <row r="6903" spans="1:5" x14ac:dyDescent="0.3">
      <c r="A6903" s="17" t="str">
        <f>"Q4143"</f>
        <v>Q4143</v>
      </c>
      <c r="B6903" s="5" t="s">
        <v>6908</v>
      </c>
      <c r="C6903" s="17">
        <v>20230101</v>
      </c>
      <c r="D6903" s="17">
        <v>22991231</v>
      </c>
      <c r="E6903" s="25">
        <v>0</v>
      </c>
    </row>
    <row r="6904" spans="1:5" x14ac:dyDescent="0.3">
      <c r="A6904" s="17" t="str">
        <f>"Q4145"</f>
        <v>Q4145</v>
      </c>
      <c r="B6904" s="5" t="s">
        <v>6909</v>
      </c>
      <c r="C6904" s="17">
        <v>20230101</v>
      </c>
      <c r="D6904" s="17">
        <v>22991231</v>
      </c>
      <c r="E6904" s="25">
        <v>0</v>
      </c>
    </row>
    <row r="6905" spans="1:5" x14ac:dyDescent="0.3">
      <c r="A6905" s="17" t="str">
        <f>"Q4146"</f>
        <v>Q4146</v>
      </c>
      <c r="B6905" s="5" t="s">
        <v>6910</v>
      </c>
      <c r="C6905" s="17">
        <v>20230101</v>
      </c>
      <c r="D6905" s="17">
        <v>22991231</v>
      </c>
      <c r="E6905" s="25">
        <v>0</v>
      </c>
    </row>
    <row r="6906" spans="1:5" ht="26" x14ac:dyDescent="0.3">
      <c r="A6906" s="17" t="str">
        <f>"Q4147"</f>
        <v>Q4147</v>
      </c>
      <c r="B6906" s="5" t="s">
        <v>6911</v>
      </c>
      <c r="C6906" s="17">
        <v>20230101</v>
      </c>
      <c r="D6906" s="17">
        <v>22991231</v>
      </c>
      <c r="E6906" s="25">
        <v>0</v>
      </c>
    </row>
    <row r="6907" spans="1:5" ht="26" x14ac:dyDescent="0.3">
      <c r="A6907" s="17" t="str">
        <f>"Q4148"</f>
        <v>Q4148</v>
      </c>
      <c r="B6907" s="5" t="s">
        <v>6912</v>
      </c>
      <c r="C6907" s="17">
        <v>20230101</v>
      </c>
      <c r="D6907" s="17">
        <v>22991231</v>
      </c>
      <c r="E6907" s="25">
        <v>0</v>
      </c>
    </row>
    <row r="6908" spans="1:5" x14ac:dyDescent="0.3">
      <c r="A6908" s="17" t="str">
        <f>"Q4149"</f>
        <v>Q4149</v>
      </c>
      <c r="B6908" s="5" t="s">
        <v>6913</v>
      </c>
      <c r="C6908" s="17">
        <v>20230101</v>
      </c>
      <c r="D6908" s="17">
        <v>22991231</v>
      </c>
      <c r="E6908" s="25">
        <v>0</v>
      </c>
    </row>
    <row r="6909" spans="1:5" x14ac:dyDescent="0.3">
      <c r="A6909" s="17" t="str">
        <f>"Q4150"</f>
        <v>Q4150</v>
      </c>
      <c r="B6909" s="5" t="s">
        <v>6914</v>
      </c>
      <c r="C6909" s="17">
        <v>20230101</v>
      </c>
      <c r="D6909" s="17">
        <v>22991231</v>
      </c>
      <c r="E6909" s="25">
        <v>0</v>
      </c>
    </row>
    <row r="6910" spans="1:5" x14ac:dyDescent="0.3">
      <c r="A6910" s="17" t="str">
        <f>"Q4151"</f>
        <v>Q4151</v>
      </c>
      <c r="B6910" s="5" t="s">
        <v>6915</v>
      </c>
      <c r="C6910" s="17">
        <v>20230101</v>
      </c>
      <c r="D6910" s="17">
        <v>22991231</v>
      </c>
      <c r="E6910" s="25">
        <v>0</v>
      </c>
    </row>
    <row r="6911" spans="1:5" x14ac:dyDescent="0.3">
      <c r="A6911" s="17" t="str">
        <f>"Q4152"</f>
        <v>Q4152</v>
      </c>
      <c r="B6911" s="5" t="s">
        <v>6916</v>
      </c>
      <c r="C6911" s="17">
        <v>20230101</v>
      </c>
      <c r="D6911" s="17">
        <v>22991231</v>
      </c>
      <c r="E6911" s="25">
        <v>0</v>
      </c>
    </row>
    <row r="6912" spans="1:5" x14ac:dyDescent="0.3">
      <c r="A6912" s="17" t="str">
        <f>"Q4153"</f>
        <v>Q4153</v>
      </c>
      <c r="B6912" s="5" t="s">
        <v>6917</v>
      </c>
      <c r="C6912" s="17">
        <v>20230101</v>
      </c>
      <c r="D6912" s="17">
        <v>22991231</v>
      </c>
      <c r="E6912" s="25">
        <v>0</v>
      </c>
    </row>
    <row r="6913" spans="1:5" x14ac:dyDescent="0.3">
      <c r="A6913" s="17" t="str">
        <f>"Q4154"</f>
        <v>Q4154</v>
      </c>
      <c r="B6913" s="5" t="s">
        <v>6918</v>
      </c>
      <c r="C6913" s="17">
        <v>20230101</v>
      </c>
      <c r="D6913" s="17">
        <v>22991231</v>
      </c>
      <c r="E6913" s="25">
        <v>0</v>
      </c>
    </row>
    <row r="6914" spans="1:5" x14ac:dyDescent="0.3">
      <c r="A6914" s="17" t="str">
        <f>"Q4155"</f>
        <v>Q4155</v>
      </c>
      <c r="B6914" s="5" t="s">
        <v>6919</v>
      </c>
      <c r="C6914" s="17">
        <v>20230101</v>
      </c>
      <c r="D6914" s="17">
        <v>22991231</v>
      </c>
      <c r="E6914" s="25">
        <v>0</v>
      </c>
    </row>
    <row r="6915" spans="1:5" x14ac:dyDescent="0.3">
      <c r="A6915" s="17" t="str">
        <f>"Q4156"</f>
        <v>Q4156</v>
      </c>
      <c r="B6915" s="5" t="s">
        <v>6920</v>
      </c>
      <c r="C6915" s="17">
        <v>20230101</v>
      </c>
      <c r="D6915" s="17">
        <v>22991231</v>
      </c>
      <c r="E6915" s="25">
        <v>0</v>
      </c>
    </row>
    <row r="6916" spans="1:5" x14ac:dyDescent="0.3">
      <c r="A6916" s="17" t="str">
        <f>"Q4157"</f>
        <v>Q4157</v>
      </c>
      <c r="B6916" s="5" t="s">
        <v>6921</v>
      </c>
      <c r="C6916" s="17">
        <v>20230101</v>
      </c>
      <c r="D6916" s="17">
        <v>22991231</v>
      </c>
      <c r="E6916" s="25">
        <v>0</v>
      </c>
    </row>
    <row r="6917" spans="1:5" x14ac:dyDescent="0.3">
      <c r="A6917" s="17" t="str">
        <f>"Q4158"</f>
        <v>Q4158</v>
      </c>
      <c r="B6917" s="5" t="s">
        <v>6922</v>
      </c>
      <c r="C6917" s="17">
        <v>20230101</v>
      </c>
      <c r="D6917" s="17">
        <v>22991231</v>
      </c>
      <c r="E6917" s="25">
        <v>0</v>
      </c>
    </row>
    <row r="6918" spans="1:5" x14ac:dyDescent="0.3">
      <c r="A6918" s="17" t="str">
        <f>"Q4159"</f>
        <v>Q4159</v>
      </c>
      <c r="B6918" s="5" t="s">
        <v>6923</v>
      </c>
      <c r="C6918" s="17">
        <v>20230101</v>
      </c>
      <c r="D6918" s="17">
        <v>22991231</v>
      </c>
      <c r="E6918" s="25">
        <v>0</v>
      </c>
    </row>
    <row r="6919" spans="1:5" x14ac:dyDescent="0.3">
      <c r="A6919" s="17" t="str">
        <f>"Q4160"</f>
        <v>Q4160</v>
      </c>
      <c r="B6919" s="5" t="s">
        <v>6924</v>
      </c>
      <c r="C6919" s="17">
        <v>20230101</v>
      </c>
      <c r="D6919" s="17">
        <v>22991231</v>
      </c>
      <c r="E6919" s="25">
        <v>0</v>
      </c>
    </row>
    <row r="6920" spans="1:5" ht="26" x14ac:dyDescent="0.3">
      <c r="A6920" s="17" t="str">
        <f>"Q4161"</f>
        <v>Q4161</v>
      </c>
      <c r="B6920" s="5" t="s">
        <v>6925</v>
      </c>
      <c r="C6920" s="17">
        <v>20230101</v>
      </c>
      <c r="D6920" s="17">
        <v>22991231</v>
      </c>
      <c r="E6920" s="25">
        <v>0</v>
      </c>
    </row>
    <row r="6921" spans="1:5" x14ac:dyDescent="0.3">
      <c r="A6921" s="17" t="str">
        <f>"Q4162"</f>
        <v>Q4162</v>
      </c>
      <c r="B6921" s="5" t="s">
        <v>6926</v>
      </c>
      <c r="C6921" s="17">
        <v>20230101</v>
      </c>
      <c r="D6921" s="17">
        <v>22991231</v>
      </c>
      <c r="E6921" s="25">
        <v>0</v>
      </c>
    </row>
    <row r="6922" spans="1:5" x14ac:dyDescent="0.3">
      <c r="A6922" s="17" t="str">
        <f>"Q4163"</f>
        <v>Q4163</v>
      </c>
      <c r="B6922" s="5" t="s">
        <v>6927</v>
      </c>
      <c r="C6922" s="17">
        <v>20230101</v>
      </c>
      <c r="D6922" s="17">
        <v>22991231</v>
      </c>
      <c r="E6922" s="25">
        <v>0</v>
      </c>
    </row>
    <row r="6923" spans="1:5" x14ac:dyDescent="0.3">
      <c r="A6923" s="17" t="str">
        <f>"Q4164"</f>
        <v>Q4164</v>
      </c>
      <c r="B6923" s="5" t="s">
        <v>6928</v>
      </c>
      <c r="C6923" s="17">
        <v>20230101</v>
      </c>
      <c r="D6923" s="17">
        <v>22991231</v>
      </c>
      <c r="E6923" s="25">
        <v>0</v>
      </c>
    </row>
    <row r="6924" spans="1:5" x14ac:dyDescent="0.3">
      <c r="A6924" s="17" t="str">
        <f>"Q4165"</f>
        <v>Q4165</v>
      </c>
      <c r="B6924" s="5" t="s">
        <v>6929</v>
      </c>
      <c r="C6924" s="17">
        <v>20230101</v>
      </c>
      <c r="D6924" s="17">
        <v>22991231</v>
      </c>
      <c r="E6924" s="25">
        <v>0</v>
      </c>
    </row>
    <row r="6925" spans="1:5" x14ac:dyDescent="0.3">
      <c r="A6925" s="17" t="str">
        <f>"Q4166"</f>
        <v>Q4166</v>
      </c>
      <c r="B6925" s="5" t="s">
        <v>6930</v>
      </c>
      <c r="C6925" s="17">
        <v>20230101</v>
      </c>
      <c r="D6925" s="17">
        <v>22991231</v>
      </c>
      <c r="E6925" s="25">
        <v>0</v>
      </c>
    </row>
    <row r="6926" spans="1:5" x14ac:dyDescent="0.3">
      <c r="A6926" s="17" t="str">
        <f>"Q4167"</f>
        <v>Q4167</v>
      </c>
      <c r="B6926" s="5" t="s">
        <v>6931</v>
      </c>
      <c r="C6926" s="17">
        <v>20230101</v>
      </c>
      <c r="D6926" s="17">
        <v>22991231</v>
      </c>
      <c r="E6926" s="25">
        <v>0</v>
      </c>
    </row>
    <row r="6927" spans="1:5" x14ac:dyDescent="0.3">
      <c r="A6927" s="17" t="str">
        <f>"Q4168"</f>
        <v>Q4168</v>
      </c>
      <c r="B6927" s="5" t="s">
        <v>6932</v>
      </c>
      <c r="C6927" s="17">
        <v>20230101</v>
      </c>
      <c r="D6927" s="17">
        <v>22991231</v>
      </c>
      <c r="E6927" s="25">
        <v>0</v>
      </c>
    </row>
    <row r="6928" spans="1:5" x14ac:dyDescent="0.3">
      <c r="A6928" s="17" t="str">
        <f>"Q4169"</f>
        <v>Q4169</v>
      </c>
      <c r="B6928" s="5" t="s">
        <v>6933</v>
      </c>
      <c r="C6928" s="17">
        <v>20230101</v>
      </c>
      <c r="D6928" s="17">
        <v>22991231</v>
      </c>
      <c r="E6928" s="25">
        <v>0</v>
      </c>
    </row>
    <row r="6929" spans="1:5" x14ac:dyDescent="0.3">
      <c r="A6929" s="17" t="str">
        <f>"Q4170"</f>
        <v>Q4170</v>
      </c>
      <c r="B6929" s="5" t="s">
        <v>6934</v>
      </c>
      <c r="C6929" s="17">
        <v>20230101</v>
      </c>
      <c r="D6929" s="17">
        <v>22991231</v>
      </c>
      <c r="E6929" s="25">
        <v>0</v>
      </c>
    </row>
    <row r="6930" spans="1:5" x14ac:dyDescent="0.3">
      <c r="A6930" s="17" t="str">
        <f>"Q4171"</f>
        <v>Q4171</v>
      </c>
      <c r="B6930" s="5" t="s">
        <v>6935</v>
      </c>
      <c r="C6930" s="17">
        <v>20230101</v>
      </c>
      <c r="D6930" s="17">
        <v>22991231</v>
      </c>
      <c r="E6930" s="25">
        <v>0</v>
      </c>
    </row>
    <row r="6931" spans="1:5" ht="26" x14ac:dyDescent="0.3">
      <c r="A6931" s="17" t="str">
        <f>"Q4173"</f>
        <v>Q4173</v>
      </c>
      <c r="B6931" s="5" t="s">
        <v>6936</v>
      </c>
      <c r="C6931" s="17">
        <v>20230101</v>
      </c>
      <c r="D6931" s="17">
        <v>22991231</v>
      </c>
      <c r="E6931" s="25">
        <v>0</v>
      </c>
    </row>
    <row r="6932" spans="1:5" x14ac:dyDescent="0.3">
      <c r="A6932" s="17" t="str">
        <f>"Q4174"</f>
        <v>Q4174</v>
      </c>
      <c r="B6932" s="5" t="s">
        <v>6937</v>
      </c>
      <c r="C6932" s="17">
        <v>20230101</v>
      </c>
      <c r="D6932" s="17">
        <v>22991231</v>
      </c>
      <c r="E6932" s="25">
        <v>0</v>
      </c>
    </row>
    <row r="6933" spans="1:5" x14ac:dyDescent="0.3">
      <c r="A6933" s="17" t="str">
        <f>"Q4175"</f>
        <v>Q4175</v>
      </c>
      <c r="B6933" s="5" t="s">
        <v>6938</v>
      </c>
      <c r="C6933" s="17">
        <v>20230101</v>
      </c>
      <c r="D6933" s="17">
        <v>22991231</v>
      </c>
      <c r="E6933" s="25">
        <v>0</v>
      </c>
    </row>
    <row r="6934" spans="1:5" x14ac:dyDescent="0.3">
      <c r="A6934" s="17" t="str">
        <f>"Q4176"</f>
        <v>Q4176</v>
      </c>
      <c r="B6934" s="5" t="s">
        <v>6939</v>
      </c>
      <c r="C6934" s="17">
        <v>20230101</v>
      </c>
      <c r="D6934" s="17">
        <v>22991231</v>
      </c>
      <c r="E6934" s="25">
        <v>0</v>
      </c>
    </row>
    <row r="6935" spans="1:5" x14ac:dyDescent="0.3">
      <c r="A6935" s="17" t="str">
        <f>"Q4177"</f>
        <v>Q4177</v>
      </c>
      <c r="B6935" s="5" t="s">
        <v>6940</v>
      </c>
      <c r="C6935" s="17">
        <v>20230101</v>
      </c>
      <c r="D6935" s="17">
        <v>22991231</v>
      </c>
      <c r="E6935" s="25">
        <v>0</v>
      </c>
    </row>
    <row r="6936" spans="1:5" x14ac:dyDescent="0.3">
      <c r="A6936" s="17" t="str">
        <f>"Q4178"</f>
        <v>Q4178</v>
      </c>
      <c r="B6936" s="5" t="s">
        <v>6941</v>
      </c>
      <c r="C6936" s="17">
        <v>20230101</v>
      </c>
      <c r="D6936" s="17">
        <v>22991231</v>
      </c>
      <c r="E6936" s="25">
        <v>0</v>
      </c>
    </row>
    <row r="6937" spans="1:5" x14ac:dyDescent="0.3">
      <c r="A6937" s="17" t="str">
        <f>"Q4179"</f>
        <v>Q4179</v>
      </c>
      <c r="B6937" s="5" t="s">
        <v>6942</v>
      </c>
      <c r="C6937" s="17">
        <v>20230101</v>
      </c>
      <c r="D6937" s="17">
        <v>22991231</v>
      </c>
      <c r="E6937" s="25">
        <v>0</v>
      </c>
    </row>
    <row r="6938" spans="1:5" x14ac:dyDescent="0.3">
      <c r="A6938" s="17" t="str">
        <f>"Q4180"</f>
        <v>Q4180</v>
      </c>
      <c r="B6938" s="5" t="s">
        <v>6943</v>
      </c>
      <c r="C6938" s="17">
        <v>20230101</v>
      </c>
      <c r="D6938" s="17">
        <v>22991231</v>
      </c>
      <c r="E6938" s="25">
        <v>0</v>
      </c>
    </row>
    <row r="6939" spans="1:5" x14ac:dyDescent="0.3">
      <c r="A6939" s="17" t="str">
        <f>"Q4181"</f>
        <v>Q4181</v>
      </c>
      <c r="B6939" s="5" t="s">
        <v>6944</v>
      </c>
      <c r="C6939" s="17">
        <v>20230101</v>
      </c>
      <c r="D6939" s="17">
        <v>22991231</v>
      </c>
      <c r="E6939" s="25">
        <v>0</v>
      </c>
    </row>
    <row r="6940" spans="1:5" x14ac:dyDescent="0.3">
      <c r="A6940" s="17" t="str">
        <f>"Q4182"</f>
        <v>Q4182</v>
      </c>
      <c r="B6940" s="5" t="s">
        <v>6945</v>
      </c>
      <c r="C6940" s="17">
        <v>20230101</v>
      </c>
      <c r="D6940" s="17">
        <v>22991231</v>
      </c>
      <c r="E6940" s="25">
        <v>0</v>
      </c>
    </row>
    <row r="6941" spans="1:5" x14ac:dyDescent="0.3">
      <c r="A6941" s="17" t="str">
        <f>"Q4183"</f>
        <v>Q4183</v>
      </c>
      <c r="B6941" s="5" t="s">
        <v>6946</v>
      </c>
      <c r="C6941" s="17">
        <v>20230101</v>
      </c>
      <c r="D6941" s="17">
        <v>22991231</v>
      </c>
      <c r="E6941" s="25">
        <v>0</v>
      </c>
    </row>
    <row r="6942" spans="1:5" x14ac:dyDescent="0.3">
      <c r="A6942" s="17" t="str">
        <f>"Q4184"</f>
        <v>Q4184</v>
      </c>
      <c r="B6942" s="5" t="s">
        <v>6947</v>
      </c>
      <c r="C6942" s="17">
        <v>20230101</v>
      </c>
      <c r="D6942" s="17">
        <v>22991231</v>
      </c>
      <c r="E6942" s="25">
        <v>0</v>
      </c>
    </row>
    <row r="6943" spans="1:5" ht="26" x14ac:dyDescent="0.3">
      <c r="A6943" s="17" t="str">
        <f>"Q4185"</f>
        <v>Q4185</v>
      </c>
      <c r="B6943" s="5" t="s">
        <v>6948</v>
      </c>
      <c r="C6943" s="17">
        <v>20230101</v>
      </c>
      <c r="D6943" s="17">
        <v>22991231</v>
      </c>
      <c r="E6943" s="25">
        <v>0</v>
      </c>
    </row>
    <row r="6944" spans="1:5" x14ac:dyDescent="0.3">
      <c r="A6944" s="17" t="str">
        <f>"Q4186"</f>
        <v>Q4186</v>
      </c>
      <c r="B6944" s="5" t="s">
        <v>6949</v>
      </c>
      <c r="C6944" s="17">
        <v>20230101</v>
      </c>
      <c r="D6944" s="17">
        <v>22991231</v>
      </c>
      <c r="E6944" s="25">
        <v>0</v>
      </c>
    </row>
    <row r="6945" spans="1:5" x14ac:dyDescent="0.3">
      <c r="A6945" s="17" t="str">
        <f>"Q4187"</f>
        <v>Q4187</v>
      </c>
      <c r="B6945" s="5" t="s">
        <v>6950</v>
      </c>
      <c r="C6945" s="17">
        <v>20230101</v>
      </c>
      <c r="D6945" s="17">
        <v>22991231</v>
      </c>
      <c r="E6945" s="25">
        <v>0</v>
      </c>
    </row>
    <row r="6946" spans="1:5" x14ac:dyDescent="0.3">
      <c r="A6946" s="17" t="str">
        <f>"Q4188"</f>
        <v>Q4188</v>
      </c>
      <c r="B6946" s="5" t="s">
        <v>6951</v>
      </c>
      <c r="C6946" s="17">
        <v>20230101</v>
      </c>
      <c r="D6946" s="17">
        <v>22991231</v>
      </c>
      <c r="E6946" s="25">
        <v>0</v>
      </c>
    </row>
    <row r="6947" spans="1:5" x14ac:dyDescent="0.3">
      <c r="A6947" s="17" t="str">
        <f>"Q4189"</f>
        <v>Q4189</v>
      </c>
      <c r="B6947" s="5" t="s">
        <v>6952</v>
      </c>
      <c r="C6947" s="17">
        <v>20230101</v>
      </c>
      <c r="D6947" s="17">
        <v>22991231</v>
      </c>
      <c r="E6947" s="25">
        <v>0</v>
      </c>
    </row>
    <row r="6948" spans="1:5" x14ac:dyDescent="0.3">
      <c r="A6948" s="17" t="str">
        <f>"Q4190"</f>
        <v>Q4190</v>
      </c>
      <c r="B6948" s="5" t="s">
        <v>6953</v>
      </c>
      <c r="C6948" s="17">
        <v>20230101</v>
      </c>
      <c r="D6948" s="17">
        <v>22991231</v>
      </c>
      <c r="E6948" s="25">
        <v>0</v>
      </c>
    </row>
    <row r="6949" spans="1:5" x14ac:dyDescent="0.3">
      <c r="A6949" s="17" t="str">
        <f>"Q4191"</f>
        <v>Q4191</v>
      </c>
      <c r="B6949" s="5" t="s">
        <v>6954</v>
      </c>
      <c r="C6949" s="17">
        <v>20230101</v>
      </c>
      <c r="D6949" s="17">
        <v>22991231</v>
      </c>
      <c r="E6949" s="25">
        <v>0</v>
      </c>
    </row>
    <row r="6950" spans="1:5" x14ac:dyDescent="0.3">
      <c r="A6950" s="17" t="str">
        <f>"Q4192"</f>
        <v>Q4192</v>
      </c>
      <c r="B6950" s="5" t="s">
        <v>6955</v>
      </c>
      <c r="C6950" s="17">
        <v>20230101</v>
      </c>
      <c r="D6950" s="17">
        <v>22991231</v>
      </c>
      <c r="E6950" s="25">
        <v>0</v>
      </c>
    </row>
    <row r="6951" spans="1:5" x14ac:dyDescent="0.3">
      <c r="A6951" s="17" t="str">
        <f>"Q4193"</f>
        <v>Q4193</v>
      </c>
      <c r="B6951" s="5" t="s">
        <v>6956</v>
      </c>
      <c r="C6951" s="17">
        <v>20230101</v>
      </c>
      <c r="D6951" s="17">
        <v>22991231</v>
      </c>
      <c r="E6951" s="25">
        <v>0</v>
      </c>
    </row>
    <row r="6952" spans="1:5" x14ac:dyDescent="0.3">
      <c r="A6952" s="17" t="str">
        <f>"Q4194"</f>
        <v>Q4194</v>
      </c>
      <c r="B6952" s="5" t="s">
        <v>6957</v>
      </c>
      <c r="C6952" s="17">
        <v>20230101</v>
      </c>
      <c r="D6952" s="17">
        <v>22991231</v>
      </c>
      <c r="E6952" s="25">
        <v>0</v>
      </c>
    </row>
    <row r="6953" spans="1:5" x14ac:dyDescent="0.3">
      <c r="A6953" s="17" t="str">
        <f>"Q4195"</f>
        <v>Q4195</v>
      </c>
      <c r="B6953" s="5" t="s">
        <v>6958</v>
      </c>
      <c r="C6953" s="17">
        <v>20230101</v>
      </c>
      <c r="D6953" s="17">
        <v>22991231</v>
      </c>
      <c r="E6953" s="25">
        <v>0</v>
      </c>
    </row>
    <row r="6954" spans="1:5" x14ac:dyDescent="0.3">
      <c r="A6954" s="17" t="str">
        <f>"Q4196"</f>
        <v>Q4196</v>
      </c>
      <c r="B6954" s="5" t="s">
        <v>6959</v>
      </c>
      <c r="C6954" s="17">
        <v>20230101</v>
      </c>
      <c r="D6954" s="17">
        <v>22991231</v>
      </c>
      <c r="E6954" s="25">
        <v>0</v>
      </c>
    </row>
    <row r="6955" spans="1:5" x14ac:dyDescent="0.3">
      <c r="A6955" s="17" t="str">
        <f>"Q4197"</f>
        <v>Q4197</v>
      </c>
      <c r="B6955" s="5" t="s">
        <v>6960</v>
      </c>
      <c r="C6955" s="17">
        <v>20230101</v>
      </c>
      <c r="D6955" s="17">
        <v>22991231</v>
      </c>
      <c r="E6955" s="25">
        <v>0</v>
      </c>
    </row>
    <row r="6956" spans="1:5" ht="26" x14ac:dyDescent="0.3">
      <c r="A6956" s="17" t="str">
        <f>"Q4198"</f>
        <v>Q4198</v>
      </c>
      <c r="B6956" s="5" t="s">
        <v>6961</v>
      </c>
      <c r="C6956" s="17">
        <v>20230101</v>
      </c>
      <c r="D6956" s="17">
        <v>22991231</v>
      </c>
      <c r="E6956" s="25">
        <v>0</v>
      </c>
    </row>
    <row r="6957" spans="1:5" x14ac:dyDescent="0.3">
      <c r="A6957" s="17" t="str">
        <f>"Q4199"</f>
        <v>Q4199</v>
      </c>
      <c r="B6957" s="5" t="s">
        <v>6962</v>
      </c>
      <c r="C6957" s="17">
        <v>20230101</v>
      </c>
      <c r="D6957" s="17">
        <v>22991231</v>
      </c>
      <c r="E6957" s="25">
        <v>0</v>
      </c>
    </row>
    <row r="6958" spans="1:5" x14ac:dyDescent="0.3">
      <c r="A6958" s="17" t="str">
        <f>"Q4200"</f>
        <v>Q4200</v>
      </c>
      <c r="B6958" s="5" t="s">
        <v>6963</v>
      </c>
      <c r="C6958" s="17">
        <v>20230101</v>
      </c>
      <c r="D6958" s="17">
        <v>22991231</v>
      </c>
      <c r="E6958" s="25">
        <v>0</v>
      </c>
    </row>
    <row r="6959" spans="1:5" x14ac:dyDescent="0.3">
      <c r="A6959" s="17" t="str">
        <f>"Q4201"</f>
        <v>Q4201</v>
      </c>
      <c r="B6959" s="5" t="s">
        <v>6964</v>
      </c>
      <c r="C6959" s="17">
        <v>20230101</v>
      </c>
      <c r="D6959" s="17">
        <v>22991231</v>
      </c>
      <c r="E6959" s="25">
        <v>0</v>
      </c>
    </row>
    <row r="6960" spans="1:5" x14ac:dyDescent="0.3">
      <c r="A6960" s="17" t="str">
        <f>"Q4202"</f>
        <v>Q4202</v>
      </c>
      <c r="B6960" s="5" t="s">
        <v>6965</v>
      </c>
      <c r="C6960" s="17">
        <v>20230101</v>
      </c>
      <c r="D6960" s="17">
        <v>22991231</v>
      </c>
      <c r="E6960" s="25">
        <v>0</v>
      </c>
    </row>
    <row r="6961" spans="1:5" x14ac:dyDescent="0.3">
      <c r="A6961" s="17" t="str">
        <f>"Q4203"</f>
        <v>Q4203</v>
      </c>
      <c r="B6961" s="5" t="s">
        <v>6966</v>
      </c>
      <c r="C6961" s="17">
        <v>20230101</v>
      </c>
      <c r="D6961" s="17">
        <v>22991231</v>
      </c>
      <c r="E6961" s="25">
        <v>0</v>
      </c>
    </row>
    <row r="6962" spans="1:5" x14ac:dyDescent="0.3">
      <c r="A6962" s="17" t="str">
        <f>"Q4204"</f>
        <v>Q4204</v>
      </c>
      <c r="B6962" s="5" t="s">
        <v>6967</v>
      </c>
      <c r="C6962" s="17">
        <v>20230101</v>
      </c>
      <c r="D6962" s="17">
        <v>22991231</v>
      </c>
      <c r="E6962" s="25">
        <v>0</v>
      </c>
    </row>
    <row r="6963" spans="1:5" ht="26" x14ac:dyDescent="0.3">
      <c r="A6963" s="17" t="str">
        <f>"Q4205"</f>
        <v>Q4205</v>
      </c>
      <c r="B6963" s="5" t="s">
        <v>6968</v>
      </c>
      <c r="C6963" s="17">
        <v>20230101</v>
      </c>
      <c r="D6963" s="17">
        <v>22991231</v>
      </c>
      <c r="E6963" s="25">
        <v>0</v>
      </c>
    </row>
    <row r="6964" spans="1:5" x14ac:dyDescent="0.3">
      <c r="A6964" s="17" t="str">
        <f>"Q4206"</f>
        <v>Q4206</v>
      </c>
      <c r="B6964" s="5" t="s">
        <v>6969</v>
      </c>
      <c r="C6964" s="17">
        <v>20230101</v>
      </c>
      <c r="D6964" s="17">
        <v>22991231</v>
      </c>
      <c r="E6964" s="25">
        <v>0</v>
      </c>
    </row>
    <row r="6965" spans="1:5" x14ac:dyDescent="0.3">
      <c r="A6965" s="17" t="str">
        <f>"Q4208"</f>
        <v>Q4208</v>
      </c>
      <c r="B6965" s="5" t="s">
        <v>6970</v>
      </c>
      <c r="C6965" s="17">
        <v>20230101</v>
      </c>
      <c r="D6965" s="17">
        <v>22991231</v>
      </c>
      <c r="E6965" s="25">
        <v>0</v>
      </c>
    </row>
    <row r="6966" spans="1:5" x14ac:dyDescent="0.3">
      <c r="A6966" s="17" t="str">
        <f>"Q4209"</f>
        <v>Q4209</v>
      </c>
      <c r="B6966" s="5" t="s">
        <v>6971</v>
      </c>
      <c r="C6966" s="17">
        <v>20230101</v>
      </c>
      <c r="D6966" s="17">
        <v>22991231</v>
      </c>
      <c r="E6966" s="25">
        <v>0</v>
      </c>
    </row>
    <row r="6967" spans="1:5" ht="26" x14ac:dyDescent="0.3">
      <c r="A6967" s="17" t="s">
        <v>22</v>
      </c>
      <c r="B6967" s="5" t="s">
        <v>6972</v>
      </c>
      <c r="C6967" s="17">
        <v>20230101</v>
      </c>
      <c r="D6967" s="17">
        <v>20240630</v>
      </c>
      <c r="E6967" s="25">
        <v>0</v>
      </c>
    </row>
    <row r="6968" spans="1:5" ht="26" x14ac:dyDescent="0.3">
      <c r="A6968" s="17" t="str">
        <f>"Q4211"</f>
        <v>Q4211</v>
      </c>
      <c r="B6968" s="5" t="s">
        <v>6973</v>
      </c>
      <c r="C6968" s="17">
        <v>20230101</v>
      </c>
      <c r="D6968" s="17">
        <v>22991231</v>
      </c>
      <c r="E6968" s="25">
        <v>0</v>
      </c>
    </row>
    <row r="6969" spans="1:5" x14ac:dyDescent="0.3">
      <c r="A6969" s="17" t="str">
        <f>"Q4212"</f>
        <v>Q4212</v>
      </c>
      <c r="B6969" s="5" t="s">
        <v>6974</v>
      </c>
      <c r="C6969" s="17">
        <v>20240101</v>
      </c>
      <c r="D6969" s="17">
        <v>22991231</v>
      </c>
      <c r="E6969" s="25">
        <v>0</v>
      </c>
    </row>
    <row r="6970" spans="1:5" x14ac:dyDescent="0.3">
      <c r="A6970" s="17" t="str">
        <f>"Q4213"</f>
        <v>Q4213</v>
      </c>
      <c r="B6970" s="5" t="s">
        <v>6975</v>
      </c>
      <c r="C6970" s="17">
        <v>20240101</v>
      </c>
      <c r="D6970" s="17">
        <v>22991231</v>
      </c>
      <c r="E6970" s="25">
        <v>0</v>
      </c>
    </row>
    <row r="6971" spans="1:5" x14ac:dyDescent="0.3">
      <c r="A6971" s="17" t="str">
        <f>"Q4214"</f>
        <v>Q4214</v>
      </c>
      <c r="B6971" s="5" t="s">
        <v>6976</v>
      </c>
      <c r="C6971" s="17">
        <v>20230101</v>
      </c>
      <c r="D6971" s="17">
        <v>22991231</v>
      </c>
      <c r="E6971" s="25">
        <v>0</v>
      </c>
    </row>
    <row r="6972" spans="1:5" x14ac:dyDescent="0.3">
      <c r="A6972" s="17" t="str">
        <f>"Q4215"</f>
        <v>Q4215</v>
      </c>
      <c r="B6972" s="5" t="s">
        <v>6977</v>
      </c>
      <c r="C6972" s="17">
        <v>20240101</v>
      </c>
      <c r="D6972" s="17">
        <v>22991231</v>
      </c>
      <c r="E6972" s="25">
        <v>0</v>
      </c>
    </row>
    <row r="6973" spans="1:5" x14ac:dyDescent="0.3">
      <c r="A6973" s="17" t="str">
        <f>"Q4216"</f>
        <v>Q4216</v>
      </c>
      <c r="B6973" s="5" t="s">
        <v>6978</v>
      </c>
      <c r="C6973" s="17">
        <v>20230101</v>
      </c>
      <c r="D6973" s="17">
        <v>22991231</v>
      </c>
      <c r="E6973" s="25">
        <v>0</v>
      </c>
    </row>
    <row r="6974" spans="1:5" ht="39" x14ac:dyDescent="0.3">
      <c r="A6974" s="17" t="str">
        <f>"Q4217"</f>
        <v>Q4217</v>
      </c>
      <c r="B6974" s="5" t="s">
        <v>6979</v>
      </c>
      <c r="C6974" s="17">
        <v>20230101</v>
      </c>
      <c r="D6974" s="17">
        <v>22991231</v>
      </c>
      <c r="E6974" s="25">
        <v>0</v>
      </c>
    </row>
    <row r="6975" spans="1:5" x14ac:dyDescent="0.3">
      <c r="A6975" s="17" t="str">
        <f>"Q4218"</f>
        <v>Q4218</v>
      </c>
      <c r="B6975" s="5" t="s">
        <v>6980</v>
      </c>
      <c r="C6975" s="17">
        <v>20230101</v>
      </c>
      <c r="D6975" s="17">
        <v>22991231</v>
      </c>
      <c r="E6975" s="25">
        <v>0</v>
      </c>
    </row>
    <row r="6976" spans="1:5" x14ac:dyDescent="0.3">
      <c r="A6976" s="17" t="str">
        <f>"Q4219"</f>
        <v>Q4219</v>
      </c>
      <c r="B6976" s="5" t="s">
        <v>6981</v>
      </c>
      <c r="C6976" s="17">
        <v>20230101</v>
      </c>
      <c r="D6976" s="17">
        <v>22991231</v>
      </c>
      <c r="E6976" s="25">
        <v>0</v>
      </c>
    </row>
    <row r="6977" spans="1:5" x14ac:dyDescent="0.3">
      <c r="A6977" s="17" t="str">
        <f>"Q4220"</f>
        <v>Q4220</v>
      </c>
      <c r="B6977" s="5" t="s">
        <v>6982</v>
      </c>
      <c r="C6977" s="17">
        <v>20230101</v>
      </c>
      <c r="D6977" s="17">
        <v>22991231</v>
      </c>
      <c r="E6977" s="25">
        <v>0</v>
      </c>
    </row>
    <row r="6978" spans="1:5" x14ac:dyDescent="0.3">
      <c r="A6978" s="17" t="str">
        <f>"Q4221"</f>
        <v>Q4221</v>
      </c>
      <c r="B6978" s="5" t="s">
        <v>6983</v>
      </c>
      <c r="C6978" s="17">
        <v>20230101</v>
      </c>
      <c r="D6978" s="17">
        <v>22991231</v>
      </c>
      <c r="E6978" s="25">
        <v>0</v>
      </c>
    </row>
    <row r="6979" spans="1:5" x14ac:dyDescent="0.3">
      <c r="A6979" s="17" t="str">
        <f>"Q4222"</f>
        <v>Q4222</v>
      </c>
      <c r="B6979" s="5" t="s">
        <v>6984</v>
      </c>
      <c r="C6979" s="17">
        <v>20230101</v>
      </c>
      <c r="D6979" s="17">
        <v>22991231</v>
      </c>
      <c r="E6979" s="25">
        <v>0</v>
      </c>
    </row>
    <row r="6980" spans="1:5" ht="26" x14ac:dyDescent="0.3">
      <c r="A6980" s="17" t="str">
        <f>"Q4224"</f>
        <v>Q4224</v>
      </c>
      <c r="B6980" s="5" t="s">
        <v>6985</v>
      </c>
      <c r="C6980" s="17">
        <v>20230101</v>
      </c>
      <c r="D6980" s="17">
        <v>22991231</v>
      </c>
      <c r="E6980" s="25">
        <v>0</v>
      </c>
    </row>
    <row r="6981" spans="1:5" ht="26" x14ac:dyDescent="0.3">
      <c r="A6981" s="17" t="str">
        <f>"Q4225"</f>
        <v>Q4225</v>
      </c>
      <c r="B6981" s="5" t="s">
        <v>6986</v>
      </c>
      <c r="C6981" s="17">
        <v>20230101</v>
      </c>
      <c r="D6981" s="17">
        <v>22991231</v>
      </c>
      <c r="E6981" s="25">
        <v>0</v>
      </c>
    </row>
    <row r="6982" spans="1:5" ht="26" x14ac:dyDescent="0.3">
      <c r="A6982" s="17" t="str">
        <f>"Q4226"</f>
        <v>Q4226</v>
      </c>
      <c r="B6982" s="5" t="s">
        <v>6987</v>
      </c>
      <c r="C6982" s="17">
        <v>20230101</v>
      </c>
      <c r="D6982" s="17">
        <v>22991231</v>
      </c>
      <c r="E6982" s="25">
        <v>0</v>
      </c>
    </row>
    <row r="6983" spans="1:5" x14ac:dyDescent="0.3">
      <c r="A6983" s="17" t="str">
        <f>"Q4227"</f>
        <v>Q4227</v>
      </c>
      <c r="B6983" s="5" t="s">
        <v>6988</v>
      </c>
      <c r="C6983" s="17">
        <v>20230101</v>
      </c>
      <c r="D6983" s="17">
        <v>22991231</v>
      </c>
      <c r="E6983" s="25">
        <v>0</v>
      </c>
    </row>
    <row r="6984" spans="1:5" ht="26" x14ac:dyDescent="0.3">
      <c r="A6984" s="17" t="str">
        <f>"Q4229"</f>
        <v>Q4229</v>
      </c>
      <c r="B6984" s="5" t="s">
        <v>6989</v>
      </c>
      <c r="C6984" s="17">
        <v>20230101</v>
      </c>
      <c r="D6984" s="17">
        <v>22991231</v>
      </c>
      <c r="E6984" s="25">
        <v>0</v>
      </c>
    </row>
    <row r="6985" spans="1:5" x14ac:dyDescent="0.3">
      <c r="A6985" s="17" t="str">
        <f>"Q4230"</f>
        <v>Q4230</v>
      </c>
      <c r="B6985" s="5" t="s">
        <v>6990</v>
      </c>
      <c r="C6985" s="17">
        <v>20230101</v>
      </c>
      <c r="D6985" s="17">
        <v>22991231</v>
      </c>
      <c r="E6985" s="25">
        <v>0</v>
      </c>
    </row>
    <row r="6986" spans="1:5" x14ac:dyDescent="0.3">
      <c r="A6986" s="17" t="str">
        <f>"Q4231"</f>
        <v>Q4231</v>
      </c>
      <c r="B6986" s="5" t="s">
        <v>6991</v>
      </c>
      <c r="C6986" s="17">
        <v>20230101</v>
      </c>
      <c r="D6986" s="17">
        <v>22991231</v>
      </c>
      <c r="E6986" s="25">
        <v>0</v>
      </c>
    </row>
    <row r="6987" spans="1:5" x14ac:dyDescent="0.3">
      <c r="A6987" s="17" t="str">
        <f>"Q4232"</f>
        <v>Q4232</v>
      </c>
      <c r="B6987" s="5" t="s">
        <v>6992</v>
      </c>
      <c r="C6987" s="17">
        <v>20230101</v>
      </c>
      <c r="D6987" s="17">
        <v>22991231</v>
      </c>
      <c r="E6987" s="25">
        <v>0</v>
      </c>
    </row>
    <row r="6988" spans="1:5" x14ac:dyDescent="0.3">
      <c r="A6988" s="17" t="str">
        <f>"Q4233"</f>
        <v>Q4233</v>
      </c>
      <c r="B6988" s="5" t="s">
        <v>6993</v>
      </c>
      <c r="C6988" s="17">
        <v>20230101</v>
      </c>
      <c r="D6988" s="17">
        <v>22991231</v>
      </c>
      <c r="E6988" s="25">
        <v>0</v>
      </c>
    </row>
    <row r="6989" spans="1:5" x14ac:dyDescent="0.3">
      <c r="A6989" s="17" t="str">
        <f>"Q4234"</f>
        <v>Q4234</v>
      </c>
      <c r="B6989" s="5" t="s">
        <v>6994</v>
      </c>
      <c r="C6989" s="17">
        <v>20230101</v>
      </c>
      <c r="D6989" s="17">
        <v>22991231</v>
      </c>
      <c r="E6989" s="25">
        <v>0</v>
      </c>
    </row>
    <row r="6990" spans="1:5" x14ac:dyDescent="0.3">
      <c r="A6990" s="17" t="str">
        <f>"Q4235"</f>
        <v>Q4235</v>
      </c>
      <c r="B6990" s="5" t="s">
        <v>6995</v>
      </c>
      <c r="C6990" s="17">
        <v>20230101</v>
      </c>
      <c r="D6990" s="17">
        <v>22991231</v>
      </c>
      <c r="E6990" s="25">
        <v>0</v>
      </c>
    </row>
    <row r="6991" spans="1:5" x14ac:dyDescent="0.3">
      <c r="A6991" s="17" t="str">
        <f>"Q4236"</f>
        <v>Q4236</v>
      </c>
      <c r="B6991" s="5" t="s">
        <v>6996</v>
      </c>
      <c r="C6991" s="17">
        <v>20230101</v>
      </c>
      <c r="D6991" s="17">
        <v>22991231</v>
      </c>
      <c r="E6991" s="25">
        <v>0</v>
      </c>
    </row>
    <row r="6992" spans="1:5" x14ac:dyDescent="0.3">
      <c r="A6992" s="17" t="str">
        <f>"Q4237"</f>
        <v>Q4237</v>
      </c>
      <c r="B6992" s="5" t="s">
        <v>6997</v>
      </c>
      <c r="C6992" s="17">
        <v>20230101</v>
      </c>
      <c r="D6992" s="17">
        <v>22991231</v>
      </c>
      <c r="E6992" s="25">
        <v>0</v>
      </c>
    </row>
    <row r="6993" spans="1:5" x14ac:dyDescent="0.3">
      <c r="A6993" s="17" t="str">
        <f>"Q4238"</f>
        <v>Q4238</v>
      </c>
      <c r="B6993" s="5" t="s">
        <v>6998</v>
      </c>
      <c r="C6993" s="17">
        <v>20230101</v>
      </c>
      <c r="D6993" s="17">
        <v>22991231</v>
      </c>
      <c r="E6993" s="25">
        <v>0</v>
      </c>
    </row>
    <row r="6994" spans="1:5" ht="26" x14ac:dyDescent="0.3">
      <c r="A6994" s="17" t="str">
        <f>"Q4239"</f>
        <v>Q4239</v>
      </c>
      <c r="B6994" s="5" t="s">
        <v>6999</v>
      </c>
      <c r="C6994" s="17">
        <v>20230101</v>
      </c>
      <c r="D6994" s="17">
        <v>22991231</v>
      </c>
      <c r="E6994" s="25">
        <v>0</v>
      </c>
    </row>
    <row r="6995" spans="1:5" x14ac:dyDescent="0.3">
      <c r="A6995" s="17" t="str">
        <f>"Q4240"</f>
        <v>Q4240</v>
      </c>
      <c r="B6995" s="5" t="s">
        <v>7000</v>
      </c>
      <c r="C6995" s="17">
        <v>20230101</v>
      </c>
      <c r="D6995" s="17">
        <v>22991231</v>
      </c>
      <c r="E6995" s="25">
        <v>0</v>
      </c>
    </row>
    <row r="6996" spans="1:5" x14ac:dyDescent="0.3">
      <c r="A6996" s="17" t="str">
        <f>"Q4241"</f>
        <v>Q4241</v>
      </c>
      <c r="B6996" s="5" t="s">
        <v>7001</v>
      </c>
      <c r="C6996" s="17">
        <v>20230101</v>
      </c>
      <c r="D6996" s="17">
        <v>22991231</v>
      </c>
      <c r="E6996" s="25">
        <v>0</v>
      </c>
    </row>
    <row r="6997" spans="1:5" x14ac:dyDescent="0.3">
      <c r="A6997" s="17" t="str">
        <f>"Q4242"</f>
        <v>Q4242</v>
      </c>
      <c r="B6997" s="5" t="s">
        <v>7002</v>
      </c>
      <c r="C6997" s="17">
        <v>20230101</v>
      </c>
      <c r="D6997" s="17">
        <v>22991231</v>
      </c>
      <c r="E6997" s="25">
        <v>0</v>
      </c>
    </row>
    <row r="6998" spans="1:5" x14ac:dyDescent="0.3">
      <c r="A6998" s="17" t="s">
        <v>23</v>
      </c>
      <c r="B6998" s="5" t="s">
        <v>7003</v>
      </c>
      <c r="C6998" s="17">
        <v>20230101</v>
      </c>
      <c r="D6998" s="17">
        <v>20240331</v>
      </c>
      <c r="E6998" s="25">
        <v>0</v>
      </c>
    </row>
    <row r="6999" spans="1:5" x14ac:dyDescent="0.3">
      <c r="A6999" s="17" t="str">
        <f>"Q4245"</f>
        <v>Q4245</v>
      </c>
      <c r="B6999" s="5" t="s">
        <v>7004</v>
      </c>
      <c r="C6999" s="17">
        <v>20230101</v>
      </c>
      <c r="D6999" s="17">
        <v>22991231</v>
      </c>
      <c r="E6999" s="25">
        <v>0</v>
      </c>
    </row>
    <row r="7000" spans="1:5" x14ac:dyDescent="0.3">
      <c r="A7000" s="17" t="str">
        <f>"Q4246"</f>
        <v>Q4246</v>
      </c>
      <c r="B7000" s="5" t="s">
        <v>7005</v>
      </c>
      <c r="C7000" s="17">
        <v>20230101</v>
      </c>
      <c r="D7000" s="17">
        <v>22991231</v>
      </c>
      <c r="E7000" s="25">
        <v>0</v>
      </c>
    </row>
    <row r="7001" spans="1:5" x14ac:dyDescent="0.3">
      <c r="A7001" s="17" t="str">
        <f>"Q4247"</f>
        <v>Q4247</v>
      </c>
      <c r="B7001" s="5" t="s">
        <v>7006</v>
      </c>
      <c r="C7001" s="17">
        <v>20230101</v>
      </c>
      <c r="D7001" s="17">
        <v>22991231</v>
      </c>
      <c r="E7001" s="25">
        <v>0</v>
      </c>
    </row>
    <row r="7002" spans="1:5" ht="26" x14ac:dyDescent="0.3">
      <c r="A7002" s="17" t="str">
        <f>"Q4248"</f>
        <v>Q4248</v>
      </c>
      <c r="B7002" s="5" t="s">
        <v>7007</v>
      </c>
      <c r="C7002" s="17">
        <v>20230101</v>
      </c>
      <c r="D7002" s="17">
        <v>22991231</v>
      </c>
      <c r="E7002" s="25">
        <v>0</v>
      </c>
    </row>
    <row r="7003" spans="1:5" ht="26" x14ac:dyDescent="0.3">
      <c r="A7003" s="17" t="str">
        <f>"Q4249"</f>
        <v>Q4249</v>
      </c>
      <c r="B7003" s="5" t="s">
        <v>7008</v>
      </c>
      <c r="C7003" s="17">
        <v>20230101</v>
      </c>
      <c r="D7003" s="17">
        <v>22991231</v>
      </c>
      <c r="E7003" s="25">
        <v>0</v>
      </c>
    </row>
    <row r="7004" spans="1:5" x14ac:dyDescent="0.3">
      <c r="A7004" s="17" t="str">
        <f>"Q4250"</f>
        <v>Q4250</v>
      </c>
      <c r="B7004" s="5" t="s">
        <v>7009</v>
      </c>
      <c r="C7004" s="17">
        <v>20230101</v>
      </c>
      <c r="D7004" s="17">
        <v>22991231</v>
      </c>
      <c r="E7004" s="25">
        <v>0</v>
      </c>
    </row>
    <row r="7005" spans="1:5" x14ac:dyDescent="0.3">
      <c r="A7005" s="17" t="str">
        <f>"Q4251"</f>
        <v>Q4251</v>
      </c>
      <c r="B7005" s="5" t="s">
        <v>7010</v>
      </c>
      <c r="C7005" s="17">
        <v>20230101</v>
      </c>
      <c r="D7005" s="17">
        <v>22991231</v>
      </c>
      <c r="E7005" s="25">
        <v>0</v>
      </c>
    </row>
    <row r="7006" spans="1:5" x14ac:dyDescent="0.3">
      <c r="A7006" s="17" t="str">
        <f>"Q4252"</f>
        <v>Q4252</v>
      </c>
      <c r="B7006" s="5" t="s">
        <v>7011</v>
      </c>
      <c r="C7006" s="17">
        <v>20230101</v>
      </c>
      <c r="D7006" s="17">
        <v>22991231</v>
      </c>
      <c r="E7006" s="25">
        <v>0</v>
      </c>
    </row>
    <row r="7007" spans="1:5" ht="26" x14ac:dyDescent="0.3">
      <c r="A7007" s="17" t="str">
        <f>"Q4253"</f>
        <v>Q4253</v>
      </c>
      <c r="B7007" s="5" t="s">
        <v>7012</v>
      </c>
      <c r="C7007" s="17">
        <v>20230101</v>
      </c>
      <c r="D7007" s="17">
        <v>22991231</v>
      </c>
      <c r="E7007" s="25">
        <v>0</v>
      </c>
    </row>
    <row r="7008" spans="1:5" x14ac:dyDescent="0.3">
      <c r="A7008" s="17" t="str">
        <f>"Q4254"</f>
        <v>Q4254</v>
      </c>
      <c r="B7008" s="5" t="s">
        <v>7013</v>
      </c>
      <c r="C7008" s="17">
        <v>20230101</v>
      </c>
      <c r="D7008" s="17">
        <v>22991231</v>
      </c>
      <c r="E7008" s="25">
        <v>0</v>
      </c>
    </row>
    <row r="7009" spans="1:5" ht="26" x14ac:dyDescent="0.3">
      <c r="A7009" s="17" t="str">
        <f>"Q4255"</f>
        <v>Q4255</v>
      </c>
      <c r="B7009" s="5" t="s">
        <v>7014</v>
      </c>
      <c r="C7009" s="17">
        <v>20230101</v>
      </c>
      <c r="D7009" s="17">
        <v>22991231</v>
      </c>
      <c r="E7009" s="25">
        <v>0</v>
      </c>
    </row>
    <row r="7010" spans="1:5" x14ac:dyDescent="0.3">
      <c r="A7010" s="17" t="str">
        <f>"Q4256"</f>
        <v>Q4256</v>
      </c>
      <c r="B7010" s="5" t="s">
        <v>7015</v>
      </c>
      <c r="C7010" s="17">
        <v>20230101</v>
      </c>
      <c r="D7010" s="17">
        <v>22991231</v>
      </c>
      <c r="E7010" s="25">
        <v>0</v>
      </c>
    </row>
    <row r="7011" spans="1:5" x14ac:dyDescent="0.3">
      <c r="A7011" s="17" t="str">
        <f>"Q4257"</f>
        <v>Q4257</v>
      </c>
      <c r="B7011" s="5" t="s">
        <v>7016</v>
      </c>
      <c r="C7011" s="17">
        <v>20230101</v>
      </c>
      <c r="D7011" s="17">
        <v>22991231</v>
      </c>
      <c r="E7011" s="25">
        <v>0</v>
      </c>
    </row>
    <row r="7012" spans="1:5" x14ac:dyDescent="0.3">
      <c r="A7012" s="17" t="str">
        <f>"Q4258"</f>
        <v>Q4258</v>
      </c>
      <c r="B7012" s="5" t="s">
        <v>7017</v>
      </c>
      <c r="C7012" s="17">
        <v>20230101</v>
      </c>
      <c r="D7012" s="17">
        <v>22991231</v>
      </c>
      <c r="E7012" s="25">
        <v>0</v>
      </c>
    </row>
    <row r="7013" spans="1:5" ht="26" x14ac:dyDescent="0.3">
      <c r="A7013" s="17" t="str">
        <f>"Q4259"</f>
        <v>Q4259</v>
      </c>
      <c r="B7013" s="5" t="s">
        <v>7018</v>
      </c>
      <c r="C7013" s="17">
        <v>20230101</v>
      </c>
      <c r="D7013" s="17">
        <v>22991231</v>
      </c>
      <c r="E7013" s="25">
        <v>0</v>
      </c>
    </row>
    <row r="7014" spans="1:5" x14ac:dyDescent="0.3">
      <c r="A7014" s="17" t="str">
        <f>"Q4260"</f>
        <v>Q4260</v>
      </c>
      <c r="B7014" s="5" t="s">
        <v>7019</v>
      </c>
      <c r="C7014" s="17">
        <v>20230101</v>
      </c>
      <c r="D7014" s="17">
        <v>22991231</v>
      </c>
      <c r="E7014" s="25">
        <v>0</v>
      </c>
    </row>
    <row r="7015" spans="1:5" x14ac:dyDescent="0.3">
      <c r="A7015" s="17" t="str">
        <f>"Q4261"</f>
        <v>Q4261</v>
      </c>
      <c r="B7015" s="5" t="s">
        <v>7020</v>
      </c>
      <c r="C7015" s="17">
        <v>20230101</v>
      </c>
      <c r="D7015" s="17">
        <v>22991231</v>
      </c>
      <c r="E7015" s="25">
        <v>0</v>
      </c>
    </row>
    <row r="7016" spans="1:5" ht="26" x14ac:dyDescent="0.3">
      <c r="A7016" s="17" t="str">
        <f>"Q4262"</f>
        <v>Q4262</v>
      </c>
      <c r="B7016" s="5" t="s">
        <v>7021</v>
      </c>
      <c r="C7016" s="17">
        <v>20230101</v>
      </c>
      <c r="D7016" s="17">
        <v>22991231</v>
      </c>
      <c r="E7016" s="25">
        <v>0</v>
      </c>
    </row>
    <row r="7017" spans="1:5" x14ac:dyDescent="0.3">
      <c r="A7017" s="17" t="str">
        <f>"Q4263"</f>
        <v>Q4263</v>
      </c>
      <c r="B7017" s="5" t="s">
        <v>7022</v>
      </c>
      <c r="C7017" s="17">
        <v>20230101</v>
      </c>
      <c r="D7017" s="17">
        <v>22991231</v>
      </c>
      <c r="E7017" s="25">
        <v>0</v>
      </c>
    </row>
    <row r="7018" spans="1:5" x14ac:dyDescent="0.3">
      <c r="A7018" s="17" t="str">
        <f>"Q4264"</f>
        <v>Q4264</v>
      </c>
      <c r="B7018" s="5" t="s">
        <v>7023</v>
      </c>
      <c r="C7018" s="17">
        <v>20230101</v>
      </c>
      <c r="D7018" s="17">
        <v>22991231</v>
      </c>
      <c r="E7018" s="25">
        <v>0</v>
      </c>
    </row>
    <row r="7019" spans="1:5" x14ac:dyDescent="0.3">
      <c r="A7019" s="17" t="str">
        <f>"Q4265"</f>
        <v>Q4265</v>
      </c>
      <c r="B7019" s="5" t="s">
        <v>7024</v>
      </c>
      <c r="C7019" s="17">
        <v>20240101</v>
      </c>
      <c r="D7019" s="17">
        <v>22991231</v>
      </c>
      <c r="E7019" s="25">
        <v>0</v>
      </c>
    </row>
    <row r="7020" spans="1:5" x14ac:dyDescent="0.3">
      <c r="A7020" s="17" t="str">
        <f>"Q4266"</f>
        <v>Q4266</v>
      </c>
      <c r="B7020" s="5" t="s">
        <v>7025</v>
      </c>
      <c r="C7020" s="17">
        <v>20240101</v>
      </c>
      <c r="D7020" s="17">
        <v>22991231</v>
      </c>
      <c r="E7020" s="25">
        <v>0</v>
      </c>
    </row>
    <row r="7021" spans="1:5" x14ac:dyDescent="0.3">
      <c r="A7021" s="17" t="str">
        <f>"Q4267"</f>
        <v>Q4267</v>
      </c>
      <c r="B7021" s="5" t="s">
        <v>7026</v>
      </c>
      <c r="C7021" s="17">
        <v>20240101</v>
      </c>
      <c r="D7021" s="17">
        <v>22991231</v>
      </c>
      <c r="E7021" s="25">
        <v>0</v>
      </c>
    </row>
    <row r="7022" spans="1:5" x14ac:dyDescent="0.3">
      <c r="A7022" s="17" t="str">
        <f>"Q4268"</f>
        <v>Q4268</v>
      </c>
      <c r="B7022" s="5" t="s">
        <v>7027</v>
      </c>
      <c r="C7022" s="17">
        <v>20240101</v>
      </c>
      <c r="D7022" s="17">
        <v>22991231</v>
      </c>
      <c r="E7022" s="25">
        <v>0</v>
      </c>
    </row>
    <row r="7023" spans="1:5" x14ac:dyDescent="0.3">
      <c r="A7023" s="17" t="str">
        <f>"Q4269"</f>
        <v>Q4269</v>
      </c>
      <c r="B7023" s="5" t="s">
        <v>7028</v>
      </c>
      <c r="C7023" s="17">
        <v>20240101</v>
      </c>
      <c r="D7023" s="17">
        <v>22991231</v>
      </c>
      <c r="E7023" s="25">
        <v>0</v>
      </c>
    </row>
    <row r="7024" spans="1:5" x14ac:dyDescent="0.3">
      <c r="A7024" s="17" t="str">
        <f>"Q4270"</f>
        <v>Q4270</v>
      </c>
      <c r="B7024" s="5" t="s">
        <v>7029</v>
      </c>
      <c r="C7024" s="17">
        <v>20240101</v>
      </c>
      <c r="D7024" s="17">
        <v>22991231</v>
      </c>
      <c r="E7024" s="25">
        <v>0</v>
      </c>
    </row>
    <row r="7025" spans="1:5" x14ac:dyDescent="0.3">
      <c r="A7025" s="17" t="str">
        <f>"Q4271"</f>
        <v>Q4271</v>
      </c>
      <c r="B7025" s="5" t="s">
        <v>7030</v>
      </c>
      <c r="C7025" s="17">
        <v>20240101</v>
      </c>
      <c r="D7025" s="17">
        <v>22991231</v>
      </c>
      <c r="E7025" s="25">
        <v>0</v>
      </c>
    </row>
    <row r="7026" spans="1:5" x14ac:dyDescent="0.3">
      <c r="A7026" s="17" t="str">
        <f>"Q4272"</f>
        <v>Q4272</v>
      </c>
      <c r="B7026" s="5" t="s">
        <v>7031</v>
      </c>
      <c r="C7026" s="17">
        <v>20240101</v>
      </c>
      <c r="D7026" s="17">
        <v>22991231</v>
      </c>
      <c r="E7026" s="25">
        <v>0</v>
      </c>
    </row>
    <row r="7027" spans="1:5" x14ac:dyDescent="0.3">
      <c r="A7027" s="17" t="str">
        <f>"Q4273"</f>
        <v>Q4273</v>
      </c>
      <c r="B7027" s="5" t="s">
        <v>7032</v>
      </c>
      <c r="C7027" s="17">
        <v>20240101</v>
      </c>
      <c r="D7027" s="17">
        <v>22991231</v>
      </c>
      <c r="E7027" s="25">
        <v>0</v>
      </c>
    </row>
    <row r="7028" spans="1:5" x14ac:dyDescent="0.3">
      <c r="A7028" s="17" t="str">
        <f>"Q4274"</f>
        <v>Q4274</v>
      </c>
      <c r="B7028" s="5" t="s">
        <v>7033</v>
      </c>
      <c r="C7028" s="17">
        <v>20240101</v>
      </c>
      <c r="D7028" s="17">
        <v>22991231</v>
      </c>
      <c r="E7028" s="25">
        <v>0</v>
      </c>
    </row>
    <row r="7029" spans="1:5" x14ac:dyDescent="0.3">
      <c r="A7029" s="17" t="str">
        <f>"Q4275"</f>
        <v>Q4275</v>
      </c>
      <c r="B7029" s="5" t="s">
        <v>7034</v>
      </c>
      <c r="C7029" s="17">
        <v>20240101</v>
      </c>
      <c r="D7029" s="17">
        <v>22991231</v>
      </c>
      <c r="E7029" s="25">
        <v>0</v>
      </c>
    </row>
    <row r="7030" spans="1:5" x14ac:dyDescent="0.3">
      <c r="A7030" s="17" t="str">
        <f>"Q4276"</f>
        <v>Q4276</v>
      </c>
      <c r="B7030" s="5" t="s">
        <v>7035</v>
      </c>
      <c r="C7030" s="17">
        <v>20240101</v>
      </c>
      <c r="D7030" s="17">
        <v>22991231</v>
      </c>
      <c r="E7030" s="25">
        <v>0</v>
      </c>
    </row>
    <row r="7031" spans="1:5" ht="26" x14ac:dyDescent="0.3">
      <c r="A7031" s="17" t="s">
        <v>7036</v>
      </c>
      <c r="B7031" s="5" t="s">
        <v>7037</v>
      </c>
      <c r="C7031" s="17">
        <v>20240101</v>
      </c>
      <c r="D7031" s="17">
        <v>20240630</v>
      </c>
      <c r="E7031" s="25">
        <v>0</v>
      </c>
    </row>
    <row r="7032" spans="1:5" x14ac:dyDescent="0.3">
      <c r="A7032" s="17" t="str">
        <f>"Q4278"</f>
        <v>Q4278</v>
      </c>
      <c r="B7032" s="5" t="s">
        <v>7038</v>
      </c>
      <c r="C7032" s="17">
        <v>20240101</v>
      </c>
      <c r="D7032" s="17">
        <v>22991231</v>
      </c>
      <c r="E7032" s="25">
        <v>0</v>
      </c>
    </row>
    <row r="7033" spans="1:5" x14ac:dyDescent="0.3">
      <c r="A7033" s="17" t="str">
        <f>"Q4279"</f>
        <v>Q4279</v>
      </c>
      <c r="B7033" s="5" t="s">
        <v>7039</v>
      </c>
      <c r="C7033" s="17">
        <v>20240101</v>
      </c>
      <c r="D7033" s="17">
        <v>22991231</v>
      </c>
      <c r="E7033" s="25">
        <v>0</v>
      </c>
    </row>
    <row r="7034" spans="1:5" x14ac:dyDescent="0.3">
      <c r="A7034" s="17" t="str">
        <f>"Q4280"</f>
        <v>Q4280</v>
      </c>
      <c r="B7034" s="5" t="s">
        <v>7040</v>
      </c>
      <c r="C7034" s="17">
        <v>20240101</v>
      </c>
      <c r="D7034" s="17">
        <v>22991231</v>
      </c>
      <c r="E7034" s="25">
        <v>0</v>
      </c>
    </row>
    <row r="7035" spans="1:5" x14ac:dyDescent="0.3">
      <c r="A7035" s="17" t="str">
        <f>"Q4281"</f>
        <v>Q4281</v>
      </c>
      <c r="B7035" s="5" t="s">
        <v>7041</v>
      </c>
      <c r="C7035" s="17">
        <v>20240101</v>
      </c>
      <c r="D7035" s="17">
        <v>22991231</v>
      </c>
      <c r="E7035" s="25">
        <v>0</v>
      </c>
    </row>
    <row r="7036" spans="1:5" x14ac:dyDescent="0.3">
      <c r="A7036" s="17" t="str">
        <f>"Q4282"</f>
        <v>Q4282</v>
      </c>
      <c r="B7036" s="5" t="s">
        <v>7042</v>
      </c>
      <c r="C7036" s="17">
        <v>20240101</v>
      </c>
      <c r="D7036" s="17">
        <v>22991231</v>
      </c>
      <c r="E7036" s="25">
        <v>0</v>
      </c>
    </row>
    <row r="7037" spans="1:5" ht="26" x14ac:dyDescent="0.3">
      <c r="A7037" s="17" t="str">
        <f>"Q4283"</f>
        <v>Q4283</v>
      </c>
      <c r="B7037" s="5" t="s">
        <v>7043</v>
      </c>
      <c r="C7037" s="17">
        <v>20240101</v>
      </c>
      <c r="D7037" s="17">
        <v>22991231</v>
      </c>
      <c r="E7037" s="25">
        <v>0</v>
      </c>
    </row>
    <row r="7038" spans="1:5" x14ac:dyDescent="0.3">
      <c r="A7038" s="17" t="str">
        <f>"Q4284"</f>
        <v>Q4284</v>
      </c>
      <c r="B7038" s="5" t="s">
        <v>7044</v>
      </c>
      <c r="C7038" s="17">
        <v>20240101</v>
      </c>
      <c r="D7038" s="17">
        <v>22991231</v>
      </c>
      <c r="E7038" s="25">
        <v>0</v>
      </c>
    </row>
    <row r="7039" spans="1:5" ht="26" x14ac:dyDescent="0.3">
      <c r="A7039" s="17" t="str">
        <f>"Q4285"</f>
        <v>Q4285</v>
      </c>
      <c r="B7039" s="5" t="s">
        <v>7045</v>
      </c>
      <c r="C7039" s="17">
        <v>20240101</v>
      </c>
      <c r="D7039" s="17">
        <v>22991231</v>
      </c>
      <c r="E7039" s="25">
        <v>0</v>
      </c>
    </row>
    <row r="7040" spans="1:5" x14ac:dyDescent="0.3">
      <c r="A7040" s="17" t="str">
        <f>"Q4286"</f>
        <v>Q4286</v>
      </c>
      <c r="B7040" s="5" t="s">
        <v>7046</v>
      </c>
      <c r="C7040" s="17">
        <v>20240101</v>
      </c>
      <c r="D7040" s="17">
        <v>22991231</v>
      </c>
      <c r="E7040" s="25">
        <v>0</v>
      </c>
    </row>
    <row r="7041" spans="1:5" x14ac:dyDescent="0.3">
      <c r="A7041" s="17" t="str">
        <f>"Q4287"</f>
        <v>Q4287</v>
      </c>
      <c r="B7041" s="5" t="s">
        <v>7047</v>
      </c>
      <c r="C7041" s="17">
        <v>20240101</v>
      </c>
      <c r="D7041" s="17">
        <v>22991231</v>
      </c>
      <c r="E7041" s="25">
        <v>0</v>
      </c>
    </row>
    <row r="7042" spans="1:5" x14ac:dyDescent="0.3">
      <c r="A7042" s="17" t="str">
        <f>"Q4288"</f>
        <v>Q4288</v>
      </c>
      <c r="B7042" s="5" t="s">
        <v>7048</v>
      </c>
      <c r="C7042" s="17">
        <v>20240101</v>
      </c>
      <c r="D7042" s="28">
        <v>22991231</v>
      </c>
      <c r="E7042" s="25">
        <v>0</v>
      </c>
    </row>
    <row r="7043" spans="1:5" ht="26" x14ac:dyDescent="0.3">
      <c r="A7043" s="17" t="str">
        <f>"Q4289"</f>
        <v>Q4289</v>
      </c>
      <c r="B7043" s="5" t="s">
        <v>7049</v>
      </c>
      <c r="C7043" s="17">
        <v>20240101</v>
      </c>
      <c r="D7043" s="28">
        <v>22991231</v>
      </c>
      <c r="E7043" s="25">
        <v>0</v>
      </c>
    </row>
    <row r="7044" spans="1:5" x14ac:dyDescent="0.3">
      <c r="A7044" s="17" t="str">
        <f>"Q4290"</f>
        <v>Q4290</v>
      </c>
      <c r="B7044" s="5" t="s">
        <v>7050</v>
      </c>
      <c r="C7044" s="17">
        <v>20240101</v>
      </c>
      <c r="D7044" s="28">
        <v>22991231</v>
      </c>
      <c r="E7044" s="25">
        <v>0</v>
      </c>
    </row>
    <row r="7045" spans="1:5" x14ac:dyDescent="0.3">
      <c r="A7045" s="17" t="str">
        <f>"Q4291"</f>
        <v>Q4291</v>
      </c>
      <c r="B7045" s="5" t="s">
        <v>7051</v>
      </c>
      <c r="C7045" s="17">
        <v>20240101</v>
      </c>
      <c r="D7045" s="28">
        <v>22991231</v>
      </c>
      <c r="E7045" s="25">
        <v>0</v>
      </c>
    </row>
    <row r="7046" spans="1:5" x14ac:dyDescent="0.3">
      <c r="A7046" s="17" t="str">
        <f>"Q4292"</f>
        <v>Q4292</v>
      </c>
      <c r="B7046" s="5" t="s">
        <v>7052</v>
      </c>
      <c r="C7046" s="17">
        <v>20240101</v>
      </c>
      <c r="D7046" s="28">
        <v>22991231</v>
      </c>
      <c r="E7046" s="25">
        <v>0</v>
      </c>
    </row>
    <row r="7047" spans="1:5" x14ac:dyDescent="0.3">
      <c r="A7047" s="17" t="str">
        <f>"Q4293"</f>
        <v>Q4293</v>
      </c>
      <c r="B7047" s="5" t="s">
        <v>7053</v>
      </c>
      <c r="C7047" s="17">
        <v>20240101</v>
      </c>
      <c r="D7047" s="28">
        <v>22991231</v>
      </c>
      <c r="E7047" s="25">
        <v>0</v>
      </c>
    </row>
    <row r="7048" spans="1:5" x14ac:dyDescent="0.3">
      <c r="A7048" s="17" t="str">
        <f>"Q4294"</f>
        <v>Q4294</v>
      </c>
      <c r="B7048" s="5" t="s">
        <v>7054</v>
      </c>
      <c r="C7048" s="17">
        <v>20240101</v>
      </c>
      <c r="D7048" s="28">
        <v>22991231</v>
      </c>
      <c r="E7048" s="25">
        <v>0</v>
      </c>
    </row>
    <row r="7049" spans="1:5" x14ac:dyDescent="0.3">
      <c r="A7049" s="17" t="str">
        <f>"Q4295"</f>
        <v>Q4295</v>
      </c>
      <c r="B7049" s="5" t="s">
        <v>7055</v>
      </c>
      <c r="C7049" s="17">
        <v>20240101</v>
      </c>
      <c r="D7049" s="28">
        <v>22991231</v>
      </c>
      <c r="E7049" s="25">
        <v>0</v>
      </c>
    </row>
    <row r="7050" spans="1:5" x14ac:dyDescent="0.3">
      <c r="A7050" s="17" t="str">
        <f>"Q4296"</f>
        <v>Q4296</v>
      </c>
      <c r="B7050" s="5" t="s">
        <v>7056</v>
      </c>
      <c r="C7050" s="17">
        <v>20240101</v>
      </c>
      <c r="D7050" s="28">
        <v>22991231</v>
      </c>
      <c r="E7050" s="25">
        <v>0</v>
      </c>
    </row>
    <row r="7051" spans="1:5" x14ac:dyDescent="0.3">
      <c r="A7051" s="17" t="str">
        <f>"Q4297"</f>
        <v>Q4297</v>
      </c>
      <c r="B7051" s="5" t="s">
        <v>7057</v>
      </c>
      <c r="C7051" s="17">
        <v>20240101</v>
      </c>
      <c r="D7051" s="28">
        <v>22991231</v>
      </c>
      <c r="E7051" s="25">
        <v>0</v>
      </c>
    </row>
    <row r="7052" spans="1:5" x14ac:dyDescent="0.3">
      <c r="A7052" s="17" t="str">
        <f>"Q4298"</f>
        <v>Q4298</v>
      </c>
      <c r="B7052" s="5" t="s">
        <v>7058</v>
      </c>
      <c r="C7052" s="17">
        <v>20240101</v>
      </c>
      <c r="D7052" s="28">
        <v>22991231</v>
      </c>
      <c r="E7052" s="25">
        <v>0</v>
      </c>
    </row>
    <row r="7053" spans="1:5" x14ac:dyDescent="0.3">
      <c r="A7053" s="17" t="str">
        <f>"Q4299"</f>
        <v>Q4299</v>
      </c>
      <c r="B7053" s="5" t="s">
        <v>7059</v>
      </c>
      <c r="C7053" s="17">
        <v>20240101</v>
      </c>
      <c r="D7053" s="28">
        <v>22991231</v>
      </c>
      <c r="E7053" s="25">
        <v>0</v>
      </c>
    </row>
    <row r="7054" spans="1:5" x14ac:dyDescent="0.3">
      <c r="A7054" s="17" t="str">
        <f>"Q4300"</f>
        <v>Q4300</v>
      </c>
      <c r="B7054" s="5" t="s">
        <v>7060</v>
      </c>
      <c r="C7054" s="17">
        <v>20240101</v>
      </c>
      <c r="D7054" s="28">
        <v>22991231</v>
      </c>
      <c r="E7054" s="25">
        <v>0</v>
      </c>
    </row>
    <row r="7055" spans="1:5" x14ac:dyDescent="0.3">
      <c r="A7055" s="17" t="str">
        <f>"Q4301"</f>
        <v>Q4301</v>
      </c>
      <c r="B7055" s="5" t="s">
        <v>7061</v>
      </c>
      <c r="C7055" s="17">
        <v>20240101</v>
      </c>
      <c r="D7055" s="28">
        <v>22991231</v>
      </c>
      <c r="E7055" s="25">
        <v>0</v>
      </c>
    </row>
    <row r="7056" spans="1:5" x14ac:dyDescent="0.3">
      <c r="A7056" s="17" t="str">
        <f>"Q4302"</f>
        <v>Q4302</v>
      </c>
      <c r="B7056" s="5" t="s">
        <v>7062</v>
      </c>
      <c r="C7056" s="17">
        <v>20240101</v>
      </c>
      <c r="D7056" s="28">
        <v>22991231</v>
      </c>
      <c r="E7056" s="25">
        <v>0</v>
      </c>
    </row>
    <row r="7057" spans="1:5" x14ac:dyDescent="0.3">
      <c r="A7057" s="17" t="str">
        <f>"Q4303"</f>
        <v>Q4303</v>
      </c>
      <c r="B7057" s="5" t="s">
        <v>7063</v>
      </c>
      <c r="C7057" s="17">
        <v>20240101</v>
      </c>
      <c r="D7057" s="28">
        <v>22991231</v>
      </c>
      <c r="E7057" s="25">
        <v>0</v>
      </c>
    </row>
    <row r="7058" spans="1:5" x14ac:dyDescent="0.3">
      <c r="A7058" s="17" t="str">
        <f>"Q4304"</f>
        <v>Q4304</v>
      </c>
      <c r="B7058" s="5" t="s">
        <v>7064</v>
      </c>
      <c r="C7058" s="17">
        <v>20240101</v>
      </c>
      <c r="D7058" s="28">
        <v>22991231</v>
      </c>
      <c r="E7058" s="25">
        <v>0</v>
      </c>
    </row>
    <row r="7059" spans="1:5" ht="26" x14ac:dyDescent="0.3">
      <c r="A7059" s="17" t="str">
        <f>"Q5101"</f>
        <v>Q5101</v>
      </c>
      <c r="B7059" s="5" t="s">
        <v>7065</v>
      </c>
      <c r="C7059" s="17">
        <v>20230101</v>
      </c>
      <c r="D7059" s="28">
        <v>22991231</v>
      </c>
      <c r="E7059" s="25">
        <v>0.31</v>
      </c>
    </row>
    <row r="7060" spans="1:5" ht="26" x14ac:dyDescent="0.3">
      <c r="A7060" s="17" t="str">
        <f>"Q5103"</f>
        <v>Q5103</v>
      </c>
      <c r="B7060" s="5" t="s">
        <v>7066</v>
      </c>
      <c r="C7060" s="17">
        <v>20230101</v>
      </c>
      <c r="D7060" s="28">
        <v>22991231</v>
      </c>
      <c r="E7060" s="25">
        <v>13.65</v>
      </c>
    </row>
    <row r="7061" spans="1:5" ht="26" x14ac:dyDescent="0.3">
      <c r="A7061" s="17" t="str">
        <f>"Q5104"</f>
        <v>Q5104</v>
      </c>
      <c r="B7061" s="5" t="s">
        <v>7067</v>
      </c>
      <c r="C7061" s="17">
        <v>20230101</v>
      </c>
      <c r="D7061" s="28">
        <v>22991231</v>
      </c>
      <c r="E7061" s="25">
        <v>30.09</v>
      </c>
    </row>
    <row r="7062" spans="1:5" ht="26" x14ac:dyDescent="0.3">
      <c r="A7062" s="17" t="str">
        <f>"Q5105"</f>
        <v>Q5105</v>
      </c>
      <c r="B7062" s="5" t="s">
        <v>7068</v>
      </c>
      <c r="C7062" s="17">
        <v>20230101</v>
      </c>
      <c r="D7062" s="28">
        <v>22991231</v>
      </c>
      <c r="E7062" s="25">
        <v>0.75</v>
      </c>
    </row>
    <row r="7063" spans="1:5" ht="26" x14ac:dyDescent="0.3">
      <c r="A7063" s="17" t="str">
        <f>"Q5106"</f>
        <v>Q5106</v>
      </c>
      <c r="B7063" s="5" t="s">
        <v>7069</v>
      </c>
      <c r="C7063" s="17">
        <v>20230101</v>
      </c>
      <c r="D7063" s="28">
        <v>22991231</v>
      </c>
      <c r="E7063" s="25">
        <v>7.47</v>
      </c>
    </row>
    <row r="7064" spans="1:5" ht="26" x14ac:dyDescent="0.3">
      <c r="A7064" s="17" t="str">
        <f>"Q5107"</f>
        <v>Q5107</v>
      </c>
      <c r="B7064" s="5" t="s">
        <v>7070</v>
      </c>
      <c r="C7064" s="17">
        <v>20230101</v>
      </c>
      <c r="D7064" s="28">
        <v>22991231</v>
      </c>
      <c r="E7064" s="25">
        <v>24.47</v>
      </c>
    </row>
    <row r="7065" spans="1:5" ht="26" x14ac:dyDescent="0.3">
      <c r="A7065" s="17" t="str">
        <f>"Q5108"</f>
        <v>Q5108</v>
      </c>
      <c r="B7065" s="5" t="s">
        <v>7071</v>
      </c>
      <c r="C7065" s="17">
        <v>20230101</v>
      </c>
      <c r="D7065" s="28">
        <v>22991231</v>
      </c>
      <c r="E7065" s="25">
        <v>117.04</v>
      </c>
    </row>
    <row r="7066" spans="1:5" ht="26" x14ac:dyDescent="0.3">
      <c r="A7066" s="17" t="str">
        <f>"Q5109"</f>
        <v>Q5109</v>
      </c>
      <c r="B7066" s="5" t="s">
        <v>7072</v>
      </c>
      <c r="C7066" s="17">
        <v>20230101</v>
      </c>
      <c r="D7066" s="28">
        <v>22991231</v>
      </c>
      <c r="E7066" s="25">
        <v>0</v>
      </c>
    </row>
    <row r="7067" spans="1:5" ht="26" x14ac:dyDescent="0.3">
      <c r="A7067" s="17" t="str">
        <f>"Q5110"</f>
        <v>Q5110</v>
      </c>
      <c r="B7067" s="5" t="s">
        <v>7073</v>
      </c>
      <c r="C7067" s="17">
        <v>20230101</v>
      </c>
      <c r="D7067" s="28">
        <v>22991231</v>
      </c>
      <c r="E7067" s="25">
        <v>0.28000000000000003</v>
      </c>
    </row>
    <row r="7068" spans="1:5" ht="26" x14ac:dyDescent="0.3">
      <c r="A7068" s="17" t="str">
        <f>"Q5111"</f>
        <v>Q5111</v>
      </c>
      <c r="B7068" s="5" t="s">
        <v>7074</v>
      </c>
      <c r="C7068" s="17">
        <v>20230101</v>
      </c>
      <c r="D7068" s="28">
        <v>22991231</v>
      </c>
      <c r="E7068" s="25">
        <v>116.62</v>
      </c>
    </row>
    <row r="7069" spans="1:5" ht="26" x14ac:dyDescent="0.3">
      <c r="A7069" s="17" t="str">
        <f>"Q5112"</f>
        <v>Q5112</v>
      </c>
      <c r="B7069" s="5" t="s">
        <v>7075</v>
      </c>
      <c r="C7069" s="17">
        <v>20230101</v>
      </c>
      <c r="D7069" s="28">
        <v>22991231</v>
      </c>
      <c r="E7069" s="25">
        <v>37.19</v>
      </c>
    </row>
    <row r="7070" spans="1:5" ht="26" x14ac:dyDescent="0.3">
      <c r="A7070" s="17" t="str">
        <f>"Q5113"</f>
        <v>Q5113</v>
      </c>
      <c r="B7070" s="5" t="s">
        <v>7076</v>
      </c>
      <c r="C7070" s="17">
        <v>20230101</v>
      </c>
      <c r="D7070" s="28">
        <v>22991231</v>
      </c>
      <c r="E7070" s="25">
        <v>38.5</v>
      </c>
    </row>
    <row r="7071" spans="1:5" ht="26" x14ac:dyDescent="0.3">
      <c r="A7071" s="17" t="str">
        <f>"Q5114"</f>
        <v>Q5114</v>
      </c>
      <c r="B7071" s="5" t="s">
        <v>7077</v>
      </c>
      <c r="C7071" s="17">
        <v>20230101</v>
      </c>
      <c r="D7071" s="28">
        <v>22991231</v>
      </c>
      <c r="E7071" s="25">
        <v>42.44</v>
      </c>
    </row>
    <row r="7072" spans="1:5" ht="26" x14ac:dyDescent="0.3">
      <c r="A7072" s="17" t="str">
        <f>"Q5115"</f>
        <v>Q5115</v>
      </c>
      <c r="B7072" s="5" t="s">
        <v>7078</v>
      </c>
      <c r="C7072" s="17">
        <v>20230101</v>
      </c>
      <c r="D7072" s="28">
        <v>22991231</v>
      </c>
      <c r="E7072" s="25">
        <v>34.28</v>
      </c>
    </row>
    <row r="7073" spans="1:5" ht="26" x14ac:dyDescent="0.3">
      <c r="A7073" s="17" t="str">
        <f>"Q5116"</f>
        <v>Q5116</v>
      </c>
      <c r="B7073" s="5" t="s">
        <v>7079</v>
      </c>
      <c r="C7073" s="17">
        <v>20230101</v>
      </c>
      <c r="D7073" s="28">
        <v>22991231</v>
      </c>
      <c r="E7073" s="25">
        <v>15.64</v>
      </c>
    </row>
    <row r="7074" spans="1:5" ht="26" x14ac:dyDescent="0.3">
      <c r="A7074" s="17" t="str">
        <f>"Q5117"</f>
        <v>Q5117</v>
      </c>
      <c r="B7074" s="5" t="s">
        <v>7080</v>
      </c>
      <c r="C7074" s="17">
        <v>20230101</v>
      </c>
      <c r="D7074" s="28">
        <v>22991231</v>
      </c>
      <c r="E7074" s="25">
        <v>12.85</v>
      </c>
    </row>
    <row r="7075" spans="1:5" ht="26" x14ac:dyDescent="0.3">
      <c r="A7075" s="17" t="str">
        <f>"Q5118"</f>
        <v>Q5118</v>
      </c>
      <c r="B7075" s="5" t="s">
        <v>7081</v>
      </c>
      <c r="C7075" s="17">
        <v>20230101</v>
      </c>
      <c r="D7075" s="28">
        <v>22991231</v>
      </c>
      <c r="E7075" s="25">
        <v>20.55</v>
      </c>
    </row>
    <row r="7076" spans="1:5" ht="26" x14ac:dyDescent="0.3">
      <c r="A7076" s="17" t="str">
        <f>"Q5119"</f>
        <v>Q5119</v>
      </c>
      <c r="B7076" s="5" t="s">
        <v>7082</v>
      </c>
      <c r="C7076" s="17">
        <v>20230101</v>
      </c>
      <c r="D7076" s="28">
        <v>22991231</v>
      </c>
      <c r="E7076" s="25">
        <v>19.53</v>
      </c>
    </row>
    <row r="7077" spans="1:5" ht="26" x14ac:dyDescent="0.3">
      <c r="A7077" s="17" t="str">
        <f>"Q5120"</f>
        <v>Q5120</v>
      </c>
      <c r="B7077" s="5" t="s">
        <v>7083</v>
      </c>
      <c r="C7077" s="17">
        <v>20230101</v>
      </c>
      <c r="D7077" s="28">
        <v>22991231</v>
      </c>
      <c r="E7077" s="25">
        <v>331.21</v>
      </c>
    </row>
    <row r="7078" spans="1:5" ht="26" x14ac:dyDescent="0.3">
      <c r="A7078" s="17" t="str">
        <f>"Q5121"</f>
        <v>Q5121</v>
      </c>
      <c r="B7078" s="5" t="s">
        <v>7084</v>
      </c>
      <c r="C7078" s="17">
        <v>20230101</v>
      </c>
      <c r="D7078" s="28">
        <v>22991231</v>
      </c>
      <c r="E7078" s="25">
        <v>24.41</v>
      </c>
    </row>
    <row r="7079" spans="1:5" ht="26" x14ac:dyDescent="0.3">
      <c r="A7079" s="17" t="str">
        <f>"Q5122"</f>
        <v>Q5122</v>
      </c>
      <c r="B7079" s="5" t="s">
        <v>7085</v>
      </c>
      <c r="C7079" s="17">
        <v>20230101</v>
      </c>
      <c r="D7079" s="28">
        <v>22991231</v>
      </c>
      <c r="E7079" s="25">
        <v>59.58</v>
      </c>
    </row>
    <row r="7080" spans="1:5" ht="26" x14ac:dyDescent="0.3">
      <c r="A7080" s="17" t="str">
        <f>"Q5123"</f>
        <v>Q5123</v>
      </c>
      <c r="B7080" s="5" t="s">
        <v>7086</v>
      </c>
      <c r="C7080" s="17">
        <v>20230101</v>
      </c>
      <c r="D7080" s="28">
        <v>22991231</v>
      </c>
      <c r="E7080" s="25">
        <v>39.56</v>
      </c>
    </row>
    <row r="7081" spans="1:5" ht="26" x14ac:dyDescent="0.3">
      <c r="A7081" s="17" t="str">
        <f>"Q5124"</f>
        <v>Q5124</v>
      </c>
      <c r="B7081" s="5" t="s">
        <v>7087</v>
      </c>
      <c r="C7081" s="17">
        <v>20230101</v>
      </c>
      <c r="D7081" s="28">
        <v>22991231</v>
      </c>
      <c r="E7081" s="25">
        <v>179.1</v>
      </c>
    </row>
    <row r="7082" spans="1:5" ht="26" x14ac:dyDescent="0.3">
      <c r="A7082" s="17" t="str">
        <f>"Q5125"</f>
        <v>Q5125</v>
      </c>
      <c r="B7082" s="5" t="s">
        <v>7088</v>
      </c>
      <c r="C7082" s="17">
        <v>20230101</v>
      </c>
      <c r="D7082" s="28">
        <v>22991231</v>
      </c>
      <c r="E7082" s="25">
        <v>0.52</v>
      </c>
    </row>
    <row r="7083" spans="1:5" ht="26" x14ac:dyDescent="0.3">
      <c r="A7083" s="17" t="str">
        <f>"Q5126"</f>
        <v>Q5126</v>
      </c>
      <c r="B7083" s="5" t="s">
        <v>7089</v>
      </c>
      <c r="C7083" s="17">
        <v>20230101</v>
      </c>
      <c r="D7083" s="28">
        <v>22991231</v>
      </c>
      <c r="E7083" s="25">
        <v>57.86</v>
      </c>
    </row>
    <row r="7084" spans="1:5" ht="26" x14ac:dyDescent="0.3">
      <c r="A7084" s="17" t="str">
        <f>"Q5127"</f>
        <v>Q5127</v>
      </c>
      <c r="B7084" s="5" t="s">
        <v>7090</v>
      </c>
      <c r="C7084" s="17">
        <v>20240101</v>
      </c>
      <c r="D7084" s="28">
        <v>22991231</v>
      </c>
      <c r="E7084" s="25">
        <v>313.89999999999998</v>
      </c>
    </row>
    <row r="7085" spans="1:5" ht="26" x14ac:dyDescent="0.3">
      <c r="A7085" s="17" t="str">
        <f>"Q5128"</f>
        <v>Q5128</v>
      </c>
      <c r="B7085" s="5" t="s">
        <v>7091</v>
      </c>
      <c r="C7085" s="17">
        <v>20240101</v>
      </c>
      <c r="D7085" s="28">
        <v>22991231</v>
      </c>
      <c r="E7085" s="25">
        <v>250.33</v>
      </c>
    </row>
    <row r="7086" spans="1:5" ht="26" x14ac:dyDescent="0.3">
      <c r="A7086" s="17" t="str">
        <f>"Q5129"</f>
        <v>Q5129</v>
      </c>
      <c r="B7086" s="5" t="s">
        <v>7092</v>
      </c>
      <c r="C7086" s="17">
        <v>20240101</v>
      </c>
      <c r="D7086" s="28">
        <v>22991231</v>
      </c>
      <c r="E7086" s="25">
        <v>69.16</v>
      </c>
    </row>
    <row r="7087" spans="1:5" ht="26" x14ac:dyDescent="0.3">
      <c r="A7087" s="17" t="str">
        <f>"Q5130"</f>
        <v>Q5130</v>
      </c>
      <c r="B7087" s="5" t="s">
        <v>7093</v>
      </c>
      <c r="C7087" s="17">
        <v>20240101</v>
      </c>
      <c r="D7087" s="28">
        <v>22991231</v>
      </c>
      <c r="E7087" s="25">
        <v>192.91</v>
      </c>
    </row>
    <row r="7088" spans="1:5" ht="26" x14ac:dyDescent="0.3">
      <c r="A7088" s="17" t="str">
        <f>"Q5131"</f>
        <v>Q5131</v>
      </c>
      <c r="B7088" s="5" t="s">
        <v>7094</v>
      </c>
      <c r="C7088" s="17">
        <v>20240101</v>
      </c>
      <c r="D7088" s="28">
        <v>22991231</v>
      </c>
      <c r="E7088" s="25">
        <v>0</v>
      </c>
    </row>
    <row r="7089" spans="1:5" ht="26" x14ac:dyDescent="0.3">
      <c r="A7089" s="17" t="str">
        <f>"Q5132"</f>
        <v>Q5132</v>
      </c>
      <c r="B7089" s="5" t="s">
        <v>7095</v>
      </c>
      <c r="C7089" s="17">
        <v>20240101</v>
      </c>
      <c r="D7089" s="28">
        <v>22991231</v>
      </c>
      <c r="E7089" s="25">
        <v>0</v>
      </c>
    </row>
    <row r="7090" spans="1:5" ht="26" x14ac:dyDescent="0.3">
      <c r="A7090" s="17" t="str">
        <f>"Q9950"</f>
        <v>Q9950</v>
      </c>
      <c r="B7090" s="5" t="s">
        <v>7096</v>
      </c>
      <c r="C7090" s="17">
        <v>20230101</v>
      </c>
      <c r="D7090" s="28">
        <v>22991231</v>
      </c>
      <c r="E7090" s="25">
        <v>0</v>
      </c>
    </row>
    <row r="7091" spans="1:5" ht="26" x14ac:dyDescent="0.3">
      <c r="A7091" s="17" t="str">
        <f>"Q9951"</f>
        <v>Q9951</v>
      </c>
      <c r="B7091" s="5" t="s">
        <v>7097</v>
      </c>
      <c r="C7091" s="17">
        <v>20230101</v>
      </c>
      <c r="D7091" s="28">
        <v>22991231</v>
      </c>
      <c r="E7091" s="25">
        <v>0</v>
      </c>
    </row>
    <row r="7092" spans="1:5" ht="26" x14ac:dyDescent="0.3">
      <c r="A7092" s="17" t="str">
        <f>"Q9953"</f>
        <v>Q9953</v>
      </c>
      <c r="B7092" s="5" t="s">
        <v>7098</v>
      </c>
      <c r="C7092" s="17">
        <v>20230101</v>
      </c>
      <c r="D7092" s="28">
        <v>22991231</v>
      </c>
      <c r="E7092" s="25">
        <v>0</v>
      </c>
    </row>
    <row r="7093" spans="1:5" ht="26" x14ac:dyDescent="0.3">
      <c r="A7093" s="17" t="str">
        <f>"Q9954"</f>
        <v>Q9954</v>
      </c>
      <c r="B7093" s="5" t="s">
        <v>7099</v>
      </c>
      <c r="C7093" s="17">
        <v>20230101</v>
      </c>
      <c r="D7093" s="28">
        <v>22991231</v>
      </c>
      <c r="E7093" s="25">
        <v>0</v>
      </c>
    </row>
    <row r="7094" spans="1:5" x14ac:dyDescent="0.3">
      <c r="A7094" s="17" t="str">
        <f>"Q9955"</f>
        <v>Q9955</v>
      </c>
      <c r="B7094" s="5" t="s">
        <v>7100</v>
      </c>
      <c r="C7094" s="17">
        <v>20230101</v>
      </c>
      <c r="D7094" s="28">
        <v>22991231</v>
      </c>
      <c r="E7094" s="25">
        <v>0</v>
      </c>
    </row>
    <row r="7095" spans="1:5" ht="26" x14ac:dyDescent="0.3">
      <c r="A7095" s="17" t="str">
        <f>"Q9956"</f>
        <v>Q9956</v>
      </c>
      <c r="B7095" s="5" t="s">
        <v>7101</v>
      </c>
      <c r="C7095" s="17">
        <v>20230101</v>
      </c>
      <c r="D7095" s="28">
        <v>22991231</v>
      </c>
      <c r="E7095" s="25">
        <v>0</v>
      </c>
    </row>
    <row r="7096" spans="1:5" x14ac:dyDescent="0.3">
      <c r="A7096" s="17" t="str">
        <f>"Q9957"</f>
        <v>Q9957</v>
      </c>
      <c r="B7096" s="5" t="s">
        <v>7102</v>
      </c>
      <c r="C7096" s="17">
        <v>20230101</v>
      </c>
      <c r="D7096" s="28">
        <v>22991231</v>
      </c>
      <c r="E7096" s="25">
        <v>0</v>
      </c>
    </row>
    <row r="7097" spans="1:5" ht="26" x14ac:dyDescent="0.3">
      <c r="A7097" s="17" t="str">
        <f>"Q9958"</f>
        <v>Q9958</v>
      </c>
      <c r="B7097" s="5" t="s">
        <v>7103</v>
      </c>
      <c r="C7097" s="17">
        <v>20230101</v>
      </c>
      <c r="D7097" s="28">
        <v>22991231</v>
      </c>
      <c r="E7097" s="25">
        <v>0</v>
      </c>
    </row>
    <row r="7098" spans="1:5" ht="26" x14ac:dyDescent="0.3">
      <c r="A7098" s="17" t="str">
        <f>"Q9959"</f>
        <v>Q9959</v>
      </c>
      <c r="B7098" s="5" t="s">
        <v>7104</v>
      </c>
      <c r="C7098" s="17">
        <v>20230101</v>
      </c>
      <c r="D7098" s="28">
        <v>22991231</v>
      </c>
      <c r="E7098" s="25">
        <v>0</v>
      </c>
    </row>
    <row r="7099" spans="1:5" ht="26" x14ac:dyDescent="0.3">
      <c r="A7099" s="17" t="str">
        <f>"Q9960"</f>
        <v>Q9960</v>
      </c>
      <c r="B7099" s="5" t="s">
        <v>7105</v>
      </c>
      <c r="C7099" s="17">
        <v>20230101</v>
      </c>
      <c r="D7099" s="28">
        <v>22991231</v>
      </c>
      <c r="E7099" s="25">
        <v>0</v>
      </c>
    </row>
    <row r="7100" spans="1:5" ht="26" x14ac:dyDescent="0.3">
      <c r="A7100" s="17" t="str">
        <f>"Q9961"</f>
        <v>Q9961</v>
      </c>
      <c r="B7100" s="5" t="s">
        <v>7106</v>
      </c>
      <c r="C7100" s="17">
        <v>20230101</v>
      </c>
      <c r="D7100" s="28">
        <v>22991231</v>
      </c>
      <c r="E7100" s="25">
        <v>0</v>
      </c>
    </row>
    <row r="7101" spans="1:5" ht="26" x14ac:dyDescent="0.3">
      <c r="A7101" s="17" t="str">
        <f>"Q9962"</f>
        <v>Q9962</v>
      </c>
      <c r="B7101" s="5" t="s">
        <v>7107</v>
      </c>
      <c r="C7101" s="17">
        <v>20230101</v>
      </c>
      <c r="D7101" s="28">
        <v>22991231</v>
      </c>
      <c r="E7101" s="25">
        <v>0</v>
      </c>
    </row>
    <row r="7102" spans="1:5" ht="26" x14ac:dyDescent="0.3">
      <c r="A7102" s="17" t="str">
        <f>"Q9963"</f>
        <v>Q9963</v>
      </c>
      <c r="B7102" s="5" t="s">
        <v>7108</v>
      </c>
      <c r="C7102" s="17">
        <v>20230101</v>
      </c>
      <c r="D7102" s="28">
        <v>22991231</v>
      </c>
      <c r="E7102" s="25">
        <v>0</v>
      </c>
    </row>
    <row r="7103" spans="1:5" ht="26" x14ac:dyDescent="0.3">
      <c r="A7103" s="17" t="str">
        <f>"Q9964"</f>
        <v>Q9964</v>
      </c>
      <c r="B7103" s="5" t="s">
        <v>7109</v>
      </c>
      <c r="C7103" s="17">
        <v>20230101</v>
      </c>
      <c r="D7103" s="28">
        <v>22991231</v>
      </c>
      <c r="E7103" s="25">
        <v>0</v>
      </c>
    </row>
    <row r="7104" spans="1:5" ht="26" x14ac:dyDescent="0.3">
      <c r="A7104" s="17" t="str">
        <f>"Q9965"</f>
        <v>Q9965</v>
      </c>
      <c r="B7104" s="5" t="s">
        <v>7110</v>
      </c>
      <c r="C7104" s="17">
        <v>20230101</v>
      </c>
      <c r="D7104" s="28">
        <v>22991231</v>
      </c>
      <c r="E7104" s="25">
        <v>0</v>
      </c>
    </row>
    <row r="7105" spans="1:5" ht="26" x14ac:dyDescent="0.3">
      <c r="A7105" s="17" t="str">
        <f>"Q9966"</f>
        <v>Q9966</v>
      </c>
      <c r="B7105" s="5" t="s">
        <v>7111</v>
      </c>
      <c r="C7105" s="17">
        <v>20230101</v>
      </c>
      <c r="D7105" s="28">
        <v>22991231</v>
      </c>
      <c r="E7105" s="25">
        <v>0</v>
      </c>
    </row>
    <row r="7106" spans="1:5" ht="26" x14ac:dyDescent="0.3">
      <c r="A7106" s="17" t="str">
        <f>"Q9967"</f>
        <v>Q9967</v>
      </c>
      <c r="B7106" s="5" t="s">
        <v>7112</v>
      </c>
      <c r="C7106" s="17">
        <v>20230101</v>
      </c>
      <c r="D7106" s="28">
        <v>22991231</v>
      </c>
      <c r="E7106" s="25">
        <v>0</v>
      </c>
    </row>
    <row r="7107" spans="1:5" ht="39" x14ac:dyDescent="0.3">
      <c r="A7107" s="17" t="str">
        <f>"Q9968"</f>
        <v>Q9968</v>
      </c>
      <c r="B7107" s="5" t="s">
        <v>7113</v>
      </c>
      <c r="C7107" s="17">
        <v>20230101</v>
      </c>
      <c r="D7107" s="28">
        <v>22991231</v>
      </c>
      <c r="E7107" s="25">
        <v>7.59</v>
      </c>
    </row>
    <row r="7108" spans="1:5" ht="26" x14ac:dyDescent="0.3">
      <c r="A7108" s="17" t="str">
        <f>"Q9982"</f>
        <v>Q9982</v>
      </c>
      <c r="B7108" s="5" t="s">
        <v>7114</v>
      </c>
      <c r="C7108" s="17">
        <v>20230101</v>
      </c>
      <c r="D7108" s="28">
        <v>22991231</v>
      </c>
      <c r="E7108" s="25">
        <v>0</v>
      </c>
    </row>
    <row r="7109" spans="1:5" ht="26" x14ac:dyDescent="0.3">
      <c r="A7109" s="17" t="str">
        <f>"Q9983"</f>
        <v>Q9983</v>
      </c>
      <c r="B7109" s="5" t="s">
        <v>7115</v>
      </c>
      <c r="C7109" s="17">
        <v>20230101</v>
      </c>
      <c r="D7109" s="28">
        <v>22991231</v>
      </c>
      <c r="E7109" s="25">
        <v>0</v>
      </c>
    </row>
    <row r="7110" spans="1:5" ht="26" x14ac:dyDescent="0.3">
      <c r="A7110" s="17" t="str">
        <f>"Q9991"</f>
        <v>Q9991</v>
      </c>
      <c r="B7110" s="5" t="s">
        <v>7116</v>
      </c>
      <c r="C7110" s="17">
        <v>20230101</v>
      </c>
      <c r="D7110" s="28">
        <v>22991231</v>
      </c>
      <c r="E7110" s="25">
        <v>1802.47</v>
      </c>
    </row>
    <row r="7111" spans="1:5" ht="26" x14ac:dyDescent="0.3">
      <c r="A7111" s="17" t="str">
        <f>"Q9992"</f>
        <v>Q9992</v>
      </c>
      <c r="B7111" s="5" t="s">
        <v>7117</v>
      </c>
      <c r="C7111" s="17">
        <v>20230101</v>
      </c>
      <c r="D7111" s="28">
        <v>22991231</v>
      </c>
      <c r="E7111" s="25">
        <v>1802.47</v>
      </c>
    </row>
    <row r="7112" spans="1:5" ht="78" x14ac:dyDescent="0.3">
      <c r="A7112" s="17" t="str">
        <f>"S2068"</f>
        <v>S2068</v>
      </c>
      <c r="B7112" s="5" t="s">
        <v>7118</v>
      </c>
      <c r="C7112" s="17">
        <v>20060101</v>
      </c>
      <c r="D7112" s="28">
        <v>22991231</v>
      </c>
      <c r="E7112" s="24" t="s">
        <v>7128</v>
      </c>
    </row>
    <row r="7113" spans="1:5" x14ac:dyDescent="0.3">
      <c r="A7113" s="17" t="str">
        <f>"S2079"</f>
        <v>S2079</v>
      </c>
      <c r="B7113" s="5" t="s">
        <v>7119</v>
      </c>
      <c r="C7113" s="17">
        <v>20060101</v>
      </c>
      <c r="D7113" s="28">
        <v>22991231</v>
      </c>
      <c r="E7113" s="24" t="s">
        <v>7128</v>
      </c>
    </row>
    <row r="7114" spans="1:5" x14ac:dyDescent="0.3">
      <c r="A7114" s="17" t="str">
        <f>"S2117"</f>
        <v>S2117</v>
      </c>
      <c r="B7114" s="5" t="s">
        <v>7120</v>
      </c>
      <c r="C7114" s="17">
        <v>20060101</v>
      </c>
      <c r="D7114" s="28">
        <v>22991231</v>
      </c>
      <c r="E7114" s="24" t="s">
        <v>7128</v>
      </c>
    </row>
    <row r="7115" spans="1:5" ht="39" x14ac:dyDescent="0.3">
      <c r="A7115" s="17" t="str">
        <f>"S2900"</f>
        <v>S2900</v>
      </c>
      <c r="B7115" s="5" t="s">
        <v>7121</v>
      </c>
      <c r="C7115" s="17">
        <v>20060101</v>
      </c>
      <c r="D7115" s="28">
        <v>22991231</v>
      </c>
      <c r="E7115" s="24" t="s">
        <v>7128</v>
      </c>
    </row>
    <row r="7116" spans="1:5" x14ac:dyDescent="0.3">
      <c r="A7116" s="17" t="str">
        <f>"V2630"</f>
        <v>V2630</v>
      </c>
      <c r="B7116" s="5" t="s">
        <v>7122</v>
      </c>
      <c r="C7116" s="17">
        <v>19900101</v>
      </c>
      <c r="D7116" s="28">
        <v>22991231</v>
      </c>
      <c r="E7116" s="25">
        <v>0</v>
      </c>
    </row>
    <row r="7117" spans="1:5" x14ac:dyDescent="0.3">
      <c r="A7117" s="17" t="str">
        <f>"V2631"</f>
        <v>V2631</v>
      </c>
      <c r="B7117" s="5" t="s">
        <v>7123</v>
      </c>
      <c r="C7117" s="17">
        <v>20230101</v>
      </c>
      <c r="D7117" s="28">
        <v>22991231</v>
      </c>
      <c r="E7117" s="25">
        <v>0</v>
      </c>
    </row>
    <row r="7118" spans="1:5" x14ac:dyDescent="0.3">
      <c r="A7118" s="17" t="str">
        <f>"V2632"</f>
        <v>V2632</v>
      </c>
      <c r="B7118" s="5" t="s">
        <v>7124</v>
      </c>
      <c r="C7118" s="17">
        <v>19900101</v>
      </c>
      <c r="D7118" s="28">
        <v>22991231</v>
      </c>
      <c r="E7118" s="25">
        <v>0</v>
      </c>
    </row>
    <row r="7119" spans="1:5" ht="26" x14ac:dyDescent="0.3">
      <c r="A7119" s="17" t="str">
        <f>"V2785"</f>
        <v>V2785</v>
      </c>
      <c r="B7119" s="5" t="s">
        <v>7125</v>
      </c>
      <c r="C7119" s="17">
        <v>19900401</v>
      </c>
      <c r="D7119" s="28">
        <v>22991231</v>
      </c>
      <c r="E7119" s="25">
        <v>0</v>
      </c>
    </row>
    <row r="7120" spans="1:5" ht="26" x14ac:dyDescent="0.3">
      <c r="A7120" s="17" t="str">
        <f>"V2790"</f>
        <v>V2790</v>
      </c>
      <c r="B7120" s="5" t="s">
        <v>7126</v>
      </c>
      <c r="C7120" s="17">
        <v>20230101</v>
      </c>
      <c r="D7120" s="28">
        <v>22991231</v>
      </c>
      <c r="E7120" s="25">
        <v>0</v>
      </c>
    </row>
    <row r="7121" spans="1:5" x14ac:dyDescent="0.3">
      <c r="A7121" s="17" t="str">
        <f>"V2799"</f>
        <v>V2799</v>
      </c>
      <c r="B7121" s="5" t="s">
        <v>7127</v>
      </c>
      <c r="C7121" s="17">
        <v>19900101</v>
      </c>
      <c r="D7121" s="28">
        <v>22991231</v>
      </c>
      <c r="E7121" s="24" t="s">
        <v>7128</v>
      </c>
    </row>
    <row r="7122" spans="1:5" x14ac:dyDescent="0.3">
      <c r="E7122" s="29"/>
    </row>
  </sheetData>
  <sortState xmlns:xlrd2="http://schemas.microsoft.com/office/spreadsheetml/2017/richdata2" ref="A17:E7121">
    <sortCondition ref="A17:A7121"/>
  </sortState>
  <mergeCells count="13">
    <mergeCell ref="A10:E10"/>
    <mergeCell ref="A11:E11"/>
    <mergeCell ref="A12:E13"/>
    <mergeCell ref="A14:E14"/>
    <mergeCell ref="A1:E1"/>
    <mergeCell ref="A3:E3"/>
    <mergeCell ref="A4:E4"/>
    <mergeCell ref="A2:E2"/>
    <mergeCell ref="A5:E5"/>
    <mergeCell ref="A6:E6"/>
    <mergeCell ref="A7:E7"/>
    <mergeCell ref="A8:E8"/>
    <mergeCell ref="A9:E9"/>
  </mergeCells>
  <hyperlinks>
    <hyperlink ref="A4" r:id="rId1" xr:uid="{E30CF424-B999-4FFA-B820-AEFFD32206C8}"/>
  </hyperlinks>
  <pageMargins left="0.5" right="0.25" top="0.75" bottom="0.75" header="0.3" footer="0.3"/>
  <pageSetup scale="115" orientation="landscape" horizontalDpi="300" verticalDpi="300" r:id="rId2"/>
  <headerFooter>
    <oddHeader>&amp;C&amp;16 &amp;10 2024 Kentucky Medicaid ASC Fee Schedule&amp;RRevised 11.19.2024</oddHeader>
    <oddFooter>&amp;L&amp;9https://www.chfs.ky.gov/agencies/dms/Pages/feesrates.aspx&amp;C&amp;G&amp;R&amp;P</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2AD8-1D4D-4E7B-8C24-F449B8B0305D}">
  <dimension ref="A1:C100"/>
  <sheetViews>
    <sheetView topLeftCell="A4" workbookViewId="0">
      <selection activeCell="B9" sqref="B9"/>
    </sheetView>
  </sheetViews>
  <sheetFormatPr defaultRowHeight="13" x14ac:dyDescent="0.3"/>
  <cols>
    <col min="1" max="1" width="13.796875" bestFit="1" customWidth="1"/>
    <col min="2" max="2" width="110.19921875" customWidth="1"/>
    <col min="3" max="3" width="11.5" bestFit="1" customWidth="1"/>
  </cols>
  <sheetData>
    <row r="1" spans="1:3" ht="24" thickBot="1" x14ac:dyDescent="0.6">
      <c r="A1" s="66" t="s">
        <v>14</v>
      </c>
      <c r="B1" s="66"/>
      <c r="C1" s="66"/>
    </row>
    <row r="2" spans="1:3" ht="44" thickBot="1" x14ac:dyDescent="0.4">
      <c r="A2" s="1" t="s">
        <v>10</v>
      </c>
      <c r="B2" s="1" t="s">
        <v>11</v>
      </c>
      <c r="C2" s="2" t="s">
        <v>12</v>
      </c>
    </row>
    <row r="3" spans="1:3" ht="79.5" x14ac:dyDescent="0.3">
      <c r="A3" s="3" t="s">
        <v>13</v>
      </c>
      <c r="B3" s="13" t="s">
        <v>15</v>
      </c>
      <c r="C3" s="3">
        <v>45314</v>
      </c>
    </row>
    <row r="4" spans="1:3" ht="39" x14ac:dyDescent="0.3">
      <c r="A4" s="3">
        <v>44927</v>
      </c>
      <c r="B4" s="5" t="s">
        <v>24</v>
      </c>
      <c r="C4" s="3">
        <v>45426</v>
      </c>
    </row>
    <row r="5" spans="1:3" x14ac:dyDescent="0.3">
      <c r="A5" s="3">
        <v>45292</v>
      </c>
      <c r="B5" s="27" t="s">
        <v>7131</v>
      </c>
      <c r="C5" s="3">
        <v>45498</v>
      </c>
    </row>
    <row r="6" spans="1:3" ht="143" x14ac:dyDescent="0.3">
      <c r="A6" s="3">
        <v>45292</v>
      </c>
      <c r="B6" s="27" t="s">
        <v>7135</v>
      </c>
      <c r="C6" s="3">
        <v>45576</v>
      </c>
    </row>
    <row r="7" spans="1:3" ht="39" x14ac:dyDescent="0.3">
      <c r="A7" s="3">
        <v>45292</v>
      </c>
      <c r="B7" s="5" t="s">
        <v>7138</v>
      </c>
      <c r="C7" s="3">
        <v>45579</v>
      </c>
    </row>
    <row r="8" spans="1:3" x14ac:dyDescent="0.3">
      <c r="A8" s="3">
        <v>45292</v>
      </c>
      <c r="B8" s="67" t="s">
        <v>7139</v>
      </c>
      <c r="C8" s="3">
        <v>45615</v>
      </c>
    </row>
    <row r="9" spans="1:3" x14ac:dyDescent="0.3">
      <c r="A9" s="3"/>
      <c r="B9" s="5"/>
      <c r="C9" s="3"/>
    </row>
    <row r="10" spans="1:3" x14ac:dyDescent="0.3">
      <c r="A10" s="3"/>
      <c r="B10" s="5"/>
      <c r="C10" s="3"/>
    </row>
    <row r="11" spans="1:3" x14ac:dyDescent="0.3">
      <c r="A11" s="3"/>
      <c r="B11" s="6"/>
      <c r="C11" s="7"/>
    </row>
    <row r="12" spans="1:3" x14ac:dyDescent="0.3">
      <c r="A12" s="3"/>
      <c r="B12" s="6"/>
      <c r="C12" s="7"/>
    </row>
    <row r="13" spans="1:3" ht="14.5" x14ac:dyDescent="0.35">
      <c r="A13" s="3"/>
      <c r="B13" s="8"/>
      <c r="C13" s="7"/>
    </row>
    <row r="14" spans="1:3" ht="14.5" x14ac:dyDescent="0.35">
      <c r="A14" s="3"/>
      <c r="B14" s="8"/>
      <c r="C14" s="7"/>
    </row>
    <row r="15" spans="1:3" ht="14.5" x14ac:dyDescent="0.35">
      <c r="A15" s="3"/>
      <c r="B15" s="9"/>
      <c r="C15" s="10"/>
    </row>
    <row r="16" spans="1:3" ht="14.5" x14ac:dyDescent="0.35">
      <c r="A16" s="3"/>
      <c r="B16" s="9"/>
      <c r="C16" s="11"/>
    </row>
    <row r="17" spans="1:3" ht="14.5" x14ac:dyDescent="0.35">
      <c r="A17" s="3"/>
      <c r="B17" s="12"/>
      <c r="C17" s="3"/>
    </row>
    <row r="18" spans="1:3" x14ac:dyDescent="0.3">
      <c r="A18" s="3"/>
      <c r="B18" s="4"/>
      <c r="C18" s="3"/>
    </row>
    <row r="19" spans="1:3" x14ac:dyDescent="0.3">
      <c r="A19" s="3"/>
      <c r="B19" s="4"/>
      <c r="C19" s="3"/>
    </row>
    <row r="20" spans="1:3" x14ac:dyDescent="0.3">
      <c r="A20" s="3"/>
      <c r="B20" s="4"/>
      <c r="C20" s="3"/>
    </row>
    <row r="21" spans="1:3" x14ac:dyDescent="0.3">
      <c r="A21" s="3"/>
      <c r="B21" s="4"/>
      <c r="C21" s="3"/>
    </row>
    <row r="22" spans="1:3" x14ac:dyDescent="0.3">
      <c r="A22" s="3"/>
      <c r="B22" s="4"/>
      <c r="C22" s="3"/>
    </row>
    <row r="23" spans="1:3" x14ac:dyDescent="0.3">
      <c r="A23" s="3"/>
      <c r="B23" s="4"/>
      <c r="C23" s="3"/>
    </row>
    <row r="24" spans="1:3" x14ac:dyDescent="0.3">
      <c r="A24" s="3"/>
      <c r="B24" s="4"/>
      <c r="C24" s="3"/>
    </row>
    <row r="25" spans="1:3" x14ac:dyDescent="0.3">
      <c r="A25" s="3"/>
      <c r="B25" s="4"/>
      <c r="C25" s="3"/>
    </row>
    <row r="26" spans="1:3" x14ac:dyDescent="0.3">
      <c r="A26" s="3"/>
      <c r="B26" s="4"/>
      <c r="C26" s="3"/>
    </row>
    <row r="27" spans="1:3" x14ac:dyDescent="0.3">
      <c r="A27" s="3"/>
      <c r="B27" s="4"/>
      <c r="C27" s="3"/>
    </row>
    <row r="28" spans="1:3" x14ac:dyDescent="0.3">
      <c r="A28" s="3"/>
      <c r="B28" s="4"/>
      <c r="C28" s="3"/>
    </row>
    <row r="29" spans="1:3" x14ac:dyDescent="0.3">
      <c r="A29" s="3"/>
      <c r="B29" s="4"/>
      <c r="C29" s="3"/>
    </row>
    <row r="30" spans="1:3" x14ac:dyDescent="0.3">
      <c r="A30" s="3"/>
      <c r="B30" s="4"/>
      <c r="C30" s="3"/>
    </row>
    <row r="31" spans="1:3" x14ac:dyDescent="0.3">
      <c r="A31" s="3"/>
      <c r="B31" s="4"/>
      <c r="C31" s="3"/>
    </row>
    <row r="32" spans="1:3" x14ac:dyDescent="0.3">
      <c r="A32" s="3"/>
      <c r="B32" s="4"/>
      <c r="C32" s="3"/>
    </row>
    <row r="33" spans="1:3" x14ac:dyDescent="0.3">
      <c r="A33" s="3"/>
      <c r="B33" s="4"/>
      <c r="C33" s="3"/>
    </row>
    <row r="34" spans="1:3" x14ac:dyDescent="0.3">
      <c r="A34" s="3"/>
      <c r="B34" s="4"/>
      <c r="C34" s="3"/>
    </row>
    <row r="35" spans="1:3" x14ac:dyDescent="0.3">
      <c r="A35" s="3"/>
      <c r="B35" s="4"/>
      <c r="C35" s="3"/>
    </row>
    <row r="36" spans="1:3" x14ac:dyDescent="0.3">
      <c r="A36" s="3"/>
      <c r="B36" s="4"/>
      <c r="C36" s="3"/>
    </row>
    <row r="37" spans="1:3" x14ac:dyDescent="0.3">
      <c r="A37" s="3"/>
      <c r="B37" s="4"/>
      <c r="C37" s="3"/>
    </row>
    <row r="38" spans="1:3" x14ac:dyDescent="0.3">
      <c r="A38" s="3"/>
      <c r="B38" s="4"/>
      <c r="C38" s="3"/>
    </row>
    <row r="39" spans="1:3" x14ac:dyDescent="0.3">
      <c r="A39" s="3"/>
      <c r="B39" s="4"/>
      <c r="C39" s="3"/>
    </row>
    <row r="40" spans="1:3" x14ac:dyDescent="0.3">
      <c r="A40" s="3"/>
      <c r="B40" s="4"/>
      <c r="C40" s="3"/>
    </row>
    <row r="41" spans="1:3" x14ac:dyDescent="0.3">
      <c r="A41" s="3"/>
      <c r="B41" s="4"/>
      <c r="C41" s="3"/>
    </row>
    <row r="42" spans="1:3" x14ac:dyDescent="0.3">
      <c r="A42" s="3"/>
      <c r="B42" s="4"/>
      <c r="C42" s="3"/>
    </row>
    <row r="43" spans="1:3" x14ac:dyDescent="0.3">
      <c r="A43" s="3"/>
      <c r="B43" s="4"/>
      <c r="C43" s="3"/>
    </row>
    <row r="44" spans="1:3" x14ac:dyDescent="0.3">
      <c r="A44" s="3"/>
      <c r="B44" s="4"/>
      <c r="C44" s="3"/>
    </row>
    <row r="45" spans="1:3" x14ac:dyDescent="0.3">
      <c r="A45" s="3"/>
      <c r="B45" s="4"/>
      <c r="C45" s="3"/>
    </row>
    <row r="46" spans="1:3" x14ac:dyDescent="0.3">
      <c r="A46" s="3"/>
      <c r="B46" s="4"/>
      <c r="C46" s="3"/>
    </row>
    <row r="47" spans="1:3" x14ac:dyDescent="0.3">
      <c r="A47" s="3"/>
      <c r="B47" s="4"/>
      <c r="C47" s="3"/>
    </row>
    <row r="48" spans="1:3" x14ac:dyDescent="0.3">
      <c r="A48" s="3"/>
      <c r="B48" s="4"/>
      <c r="C48" s="3"/>
    </row>
    <row r="49" spans="1:3" x14ac:dyDescent="0.3">
      <c r="A49" s="3"/>
      <c r="B49" s="4"/>
      <c r="C49" s="3"/>
    </row>
    <row r="50" spans="1:3" x14ac:dyDescent="0.3">
      <c r="A50" s="3"/>
      <c r="B50" s="4"/>
      <c r="C50" s="3"/>
    </row>
    <row r="51" spans="1:3" x14ac:dyDescent="0.3">
      <c r="A51" s="3"/>
      <c r="B51" s="4"/>
      <c r="C51" s="3"/>
    </row>
    <row r="52" spans="1:3" x14ac:dyDescent="0.3">
      <c r="A52" s="3"/>
      <c r="B52" s="4"/>
      <c r="C52" s="3"/>
    </row>
    <row r="53" spans="1:3" x14ac:dyDescent="0.3">
      <c r="A53" s="3"/>
      <c r="B53" s="4"/>
      <c r="C53" s="3"/>
    </row>
    <row r="54" spans="1:3" x14ac:dyDescent="0.3">
      <c r="A54" s="3"/>
      <c r="B54" s="4"/>
      <c r="C54" s="3"/>
    </row>
    <row r="55" spans="1:3" x14ac:dyDescent="0.3">
      <c r="A55" s="3"/>
      <c r="B55" s="4"/>
      <c r="C55" s="3"/>
    </row>
    <row r="56" spans="1:3" x14ac:dyDescent="0.3">
      <c r="A56" s="3"/>
      <c r="B56" s="4"/>
      <c r="C56" s="3"/>
    </row>
    <row r="57" spans="1:3" x14ac:dyDescent="0.3">
      <c r="A57" s="3"/>
      <c r="B57" s="4"/>
      <c r="C57" s="3"/>
    </row>
    <row r="58" spans="1:3" x14ac:dyDescent="0.3">
      <c r="A58" s="3"/>
      <c r="B58" s="4"/>
      <c r="C58" s="3"/>
    </row>
    <row r="59" spans="1:3" x14ac:dyDescent="0.3">
      <c r="A59" s="3"/>
      <c r="B59" s="4"/>
      <c r="C59" s="3"/>
    </row>
    <row r="60" spans="1:3" x14ac:dyDescent="0.3">
      <c r="A60" s="3"/>
      <c r="B60" s="4"/>
      <c r="C60" s="3"/>
    </row>
    <row r="61" spans="1:3" x14ac:dyDescent="0.3">
      <c r="A61" s="3"/>
      <c r="B61" s="4"/>
      <c r="C61" s="3"/>
    </row>
    <row r="62" spans="1:3" x14ac:dyDescent="0.3">
      <c r="A62" s="3"/>
      <c r="B62" s="4"/>
      <c r="C62" s="3"/>
    </row>
    <row r="63" spans="1:3" x14ac:dyDescent="0.3">
      <c r="A63" s="3"/>
      <c r="B63" s="4"/>
      <c r="C63" s="3"/>
    </row>
    <row r="64" spans="1:3" x14ac:dyDescent="0.3">
      <c r="A64" s="3"/>
      <c r="B64" s="4"/>
      <c r="C64" s="3"/>
    </row>
    <row r="65" spans="1:3" x14ac:dyDescent="0.3">
      <c r="A65" s="3"/>
      <c r="B65" s="4"/>
      <c r="C65" s="3"/>
    </row>
    <row r="66" spans="1:3" x14ac:dyDescent="0.3">
      <c r="A66" s="3"/>
      <c r="B66" s="4"/>
      <c r="C66" s="3"/>
    </row>
    <row r="67" spans="1:3" x14ac:dyDescent="0.3">
      <c r="A67" s="3"/>
      <c r="B67" s="4"/>
      <c r="C67" s="3"/>
    </row>
    <row r="68" spans="1:3" x14ac:dyDescent="0.3">
      <c r="A68" s="3"/>
      <c r="B68" s="4"/>
      <c r="C68" s="3"/>
    </row>
    <row r="69" spans="1:3" x14ac:dyDescent="0.3">
      <c r="A69" s="3"/>
      <c r="B69" s="4"/>
      <c r="C69" s="3"/>
    </row>
    <row r="70" spans="1:3" x14ac:dyDescent="0.3">
      <c r="A70" s="3"/>
      <c r="B70" s="4"/>
      <c r="C70" s="3"/>
    </row>
    <row r="71" spans="1:3" x14ac:dyDescent="0.3">
      <c r="A71" s="3"/>
      <c r="B71" s="4"/>
      <c r="C71" s="3"/>
    </row>
    <row r="72" spans="1:3" x14ac:dyDescent="0.3">
      <c r="A72" s="3"/>
      <c r="B72" s="4"/>
      <c r="C72" s="3"/>
    </row>
    <row r="73" spans="1:3" x14ac:dyDescent="0.3">
      <c r="A73" s="3"/>
      <c r="B73" s="4"/>
      <c r="C73" s="3"/>
    </row>
    <row r="74" spans="1:3" x14ac:dyDescent="0.3">
      <c r="A74" s="3"/>
      <c r="B74" s="4"/>
      <c r="C74" s="3"/>
    </row>
    <row r="75" spans="1:3" x14ac:dyDescent="0.3">
      <c r="A75" s="3"/>
      <c r="B75" s="4"/>
      <c r="C75" s="3"/>
    </row>
    <row r="76" spans="1:3" x14ac:dyDescent="0.3">
      <c r="A76" s="3"/>
      <c r="B76" s="4"/>
      <c r="C76" s="3"/>
    </row>
    <row r="77" spans="1:3" x14ac:dyDescent="0.3">
      <c r="A77" s="3"/>
      <c r="B77" s="4"/>
      <c r="C77" s="3"/>
    </row>
    <row r="78" spans="1:3" x14ac:dyDescent="0.3">
      <c r="A78" s="3"/>
      <c r="B78" s="4"/>
      <c r="C78" s="3"/>
    </row>
    <row r="79" spans="1:3" x14ac:dyDescent="0.3">
      <c r="A79" s="3"/>
      <c r="B79" s="4"/>
      <c r="C79" s="3"/>
    </row>
    <row r="80" spans="1:3" x14ac:dyDescent="0.3">
      <c r="A80" s="3"/>
      <c r="B80" s="4"/>
      <c r="C80" s="3"/>
    </row>
    <row r="81" spans="1:3" x14ac:dyDescent="0.3">
      <c r="A81" s="3"/>
      <c r="B81" s="4"/>
      <c r="C81" s="3"/>
    </row>
    <row r="82" spans="1:3" x14ac:dyDescent="0.3">
      <c r="A82" s="3"/>
      <c r="B82" s="4"/>
      <c r="C82" s="3"/>
    </row>
    <row r="83" spans="1:3" x14ac:dyDescent="0.3">
      <c r="A83" s="3"/>
      <c r="B83" s="4"/>
      <c r="C83" s="3"/>
    </row>
    <row r="84" spans="1:3" x14ac:dyDescent="0.3">
      <c r="A84" s="3"/>
      <c r="B84" s="4"/>
      <c r="C84" s="3"/>
    </row>
    <row r="85" spans="1:3" x14ac:dyDescent="0.3">
      <c r="A85" s="3"/>
      <c r="B85" s="4"/>
      <c r="C85" s="3"/>
    </row>
    <row r="86" spans="1:3" x14ac:dyDescent="0.3">
      <c r="A86" s="3"/>
      <c r="B86" s="4"/>
      <c r="C86" s="3"/>
    </row>
    <row r="87" spans="1:3" x14ac:dyDescent="0.3">
      <c r="A87" s="3"/>
      <c r="B87" s="4"/>
      <c r="C87" s="3"/>
    </row>
    <row r="88" spans="1:3" x14ac:dyDescent="0.3">
      <c r="A88" s="3"/>
      <c r="B88" s="4"/>
      <c r="C88" s="3"/>
    </row>
    <row r="89" spans="1:3" x14ac:dyDescent="0.3">
      <c r="A89" s="3"/>
      <c r="B89" s="4"/>
      <c r="C89" s="3"/>
    </row>
    <row r="90" spans="1:3" x14ac:dyDescent="0.3">
      <c r="A90" s="3"/>
      <c r="B90" s="4"/>
      <c r="C90" s="3"/>
    </row>
    <row r="91" spans="1:3" x14ac:dyDescent="0.3">
      <c r="A91" s="3"/>
      <c r="B91" s="4"/>
      <c r="C91" s="3"/>
    </row>
    <row r="92" spans="1:3" x14ac:dyDescent="0.3">
      <c r="A92" s="3"/>
      <c r="B92" s="4"/>
      <c r="C92" s="3"/>
    </row>
    <row r="93" spans="1:3" x14ac:dyDescent="0.3">
      <c r="A93" s="3"/>
      <c r="B93" s="4"/>
      <c r="C93" s="3"/>
    </row>
    <row r="94" spans="1:3" x14ac:dyDescent="0.3">
      <c r="A94" s="3"/>
      <c r="B94" s="4"/>
      <c r="C94" s="3"/>
    </row>
    <row r="95" spans="1:3" x14ac:dyDescent="0.3">
      <c r="A95" s="3"/>
      <c r="B95" s="4"/>
      <c r="C95" s="3"/>
    </row>
    <row r="96" spans="1:3" x14ac:dyDescent="0.3">
      <c r="A96" s="3"/>
      <c r="B96" s="4"/>
      <c r="C96" s="3"/>
    </row>
    <row r="97" spans="1:3" x14ac:dyDescent="0.3">
      <c r="A97" s="3"/>
      <c r="B97" s="4"/>
      <c r="C97" s="3"/>
    </row>
    <row r="98" spans="1:3" x14ac:dyDescent="0.3">
      <c r="A98" s="3"/>
      <c r="B98" s="4"/>
      <c r="C98" s="3"/>
    </row>
    <row r="99" spans="1:3" x14ac:dyDescent="0.3">
      <c r="A99" s="3"/>
      <c r="B99" s="4"/>
      <c r="C99" s="3"/>
    </row>
    <row r="100" spans="1:3" x14ac:dyDescent="0.3">
      <c r="A100" s="3"/>
      <c r="B100" s="4"/>
      <c r="C100" s="3"/>
    </row>
  </sheetData>
  <mergeCells count="1">
    <mergeCell ref="A1:C1"/>
  </mergeCells>
  <pageMargins left="0.3" right="0.3" top="0.75" bottom="0.75" header="0.3" footer="0.3"/>
  <pageSetup orientation="landscape" horizontalDpi="4294967293" verticalDpi="1200" r:id="rId1"/>
  <extLst>
    <ext xmlns:x14="http://schemas.microsoft.com/office/spreadsheetml/2009/9/main" uri="{05C60535-1F16-4fd2-B633-F4F36F0B64E0}">
      <x14:sparklineGroups xmlns:xm="http://schemas.microsoft.com/office/excel/2006/main">
        <x14:sparklineGroup manualMax="0" manualMin="0" displayEmptyCellsAs="gap" xr2:uid="{E3459C02-A43E-45FE-B192-46E18670668D}">
          <x14:colorSeries rgb="FF376092"/>
          <x14:colorNegative rgb="FFD00000"/>
          <x14:colorAxis rgb="FF000000"/>
          <x14:colorMarkers rgb="FFD00000"/>
          <x14:colorFirst rgb="FFD00000"/>
          <x14:colorLast rgb="FFD00000"/>
          <x14:colorHigh rgb="FFD00000"/>
          <x14:colorLow rgb="FFD00000"/>
          <x14:sparklines>
            <x14:sparkline>
              <xm:f>Updates!$A15:$A15</xm:f>
              <xm:sqref>B15</xm:sqref>
            </x14:sparkline>
          </x14:sparklines>
        </x14:sparklineGroup>
        <x14:sparklineGroup manualMax="0" manualMin="0" displayEmptyCellsAs="gap" xr2:uid="{496D0A7A-1734-4906-B705-1C1494C0D69A}">
          <x14:colorSeries rgb="FF376092"/>
          <x14:colorNegative rgb="FFD00000"/>
          <x14:colorAxis rgb="FF000000"/>
          <x14:colorMarkers rgb="FFD00000"/>
          <x14:colorFirst rgb="FFD00000"/>
          <x14:colorLast rgb="FFD00000"/>
          <x14:colorHigh rgb="FFD00000"/>
          <x14:colorLow rgb="FFD00000"/>
          <x14:sparklines>
            <x14:sparkline>
              <xm:f>Updates!$A16:$A16</xm:f>
              <xm:sqref>B16</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9w7 xmlns="dcdf0062-15e6-47f3-91ae-956c1b802128">2024-11-19T18:25:00+00:00</b9w7>
    <Provider_x0020_Type xmlns="9d98fa39-7fbd-4685-a488-797cac822720">
      <Value>29</Value>
    </Provider_x0020_Type>
    <Waiver_x0020_Type xmlns="9d98fa39-7fbd-4685-a488-797cac822720"/>
    <chfsDmsFeeRateSchedTerms xmlns="fdbd306d-9ecd-4c95-826c-c285ba0bc3b3">Ambulatory Surgical Center Services</chfsDmsFeeRateSchedTerms>
    <Search_x0020_Year xmlns="9d98fa39-7fbd-4685-a488-797cac822720">22</Search_x0020_Year>
  </documentManagement>
</p:properties>
</file>

<file path=customXml/item2.xml><?xml version="1.0" encoding="utf-8"?>
<ct:contentTypeSchema xmlns:ct="http://schemas.microsoft.com/office/2006/metadata/contentType" xmlns:ma="http://schemas.microsoft.com/office/2006/metadata/properties/metaAttributes" ct:_="" ma:_="" ma:contentTypeName="DMS Provider Letter" ma:contentTypeID="0x0101008DA2CD0899BBAE4D907571C6908B6AC70012190DE0FAEAD649A0F28B976FB5BD99" ma:contentTypeVersion="8" ma:contentTypeDescription="" ma:contentTypeScope="" ma:versionID="9ed37861270ac0efc9424fac88283939">
  <xsd:schema xmlns:xsd="http://www.w3.org/2001/XMLSchema" xmlns:xs="http://www.w3.org/2001/XMLSchema" xmlns:p="http://schemas.microsoft.com/office/2006/metadata/properties" xmlns:ns2="9d98fa39-7fbd-4685-a488-797cac822720" xmlns:ns3="fdbd306d-9ecd-4c95-826c-c285ba0bc3b3" xmlns:ns4="dcdf0062-15e6-47f3-91ae-956c1b802128" targetNamespace="http://schemas.microsoft.com/office/2006/metadata/properties" ma:root="true" ma:fieldsID="fe3a7c7df6a356d7440f8fb2fc41ff6a" ns2:_="" ns3:_="" ns4:_="">
    <xsd:import namespace="9d98fa39-7fbd-4685-a488-797cac822720"/>
    <xsd:import namespace="fdbd306d-9ecd-4c95-826c-c285ba0bc3b3"/>
    <xsd:import namespace="dcdf0062-15e6-47f3-91ae-956c1b802128"/>
    <xsd:element name="properties">
      <xsd:complexType>
        <xsd:sequence>
          <xsd:element name="documentManagement">
            <xsd:complexType>
              <xsd:all>
                <xsd:element ref="ns2:Provider_x0020_Type" minOccurs="0"/>
                <xsd:element ref="ns2:Search_x0020_Year" minOccurs="0"/>
                <xsd:element ref="ns2:Waiver_x0020_Type" minOccurs="0"/>
                <xsd:element ref="ns3:chfsDmsFeeRateSchedTerms" minOccurs="0"/>
                <xsd:element ref="ns4:b9w7"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Provider_x0020_Type" ma:index="8" nillable="true" ma:displayName="Provider Type" ma:list="{4b565b23-a38d-42c6-8eab-9519a0cf77f4}" ma:internalName="Provider_x0020_Type" ma:readOnly="false" ma:showField="Title" ma:web="9d98fa39-7fbd-4685-a488-797cac822720">
      <xsd:complexType>
        <xsd:complexContent>
          <xsd:extension base="dms:MultiChoiceLookup">
            <xsd:sequence>
              <xsd:element name="Value" type="dms:Lookup" maxOccurs="unbounded" minOccurs="0" nillable="true"/>
            </xsd:sequence>
          </xsd:extension>
        </xsd:complexContent>
      </xsd:complexType>
    </xsd:element>
    <xsd:element name="Search_x0020_Year" ma:index="9" nillable="true" ma:displayName="Search Year" ma:list="{fa70f04e-4ddd-4fef-a643-108353521042}" ma:internalName="Search_x0020_Year" ma:showField="Title" ma:web="9d98fa39-7fbd-4685-a488-797cac822720">
      <xsd:simpleType>
        <xsd:restriction base="dms:Lookup"/>
      </xsd:simpleType>
    </xsd:element>
    <xsd:element name="Waiver_x0020_Type" ma:index="10" nillable="true" ma:displayName="Waiver Type" ma:list="{9fb6ab84-5b1e-4d85-881c-f820b3f8e347}" ma:internalName="Waiver_x0020_Type" ma:showField="Title" ma:web="9d98fa39-7fbd-4685-a488-797cac82272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d306d-9ecd-4c95-826c-c285ba0bc3b3" elementFormDefault="qualified">
    <xsd:import namespace="http://schemas.microsoft.com/office/2006/documentManagement/types"/>
    <xsd:import namespace="http://schemas.microsoft.com/office/infopath/2007/PartnerControls"/>
    <xsd:element name="chfsDmsFeeRateSchedTerms" ma:index="11" nillable="true" ma:displayName="Fee and Rate Schedule Terms" ma:format="Dropdown" ma:internalName="chfsDmsFeeRateSchedTerms">
      <xsd:simpleType>
        <xsd:restriction base="dms:Choice">
          <xsd:enumeration value="Audiology"/>
          <xsd:enumeration value="Ambulatory Surgical Center Services"/>
          <xsd:enumeration value="Behavioral Health and Substance Abuse"/>
          <xsd:enumeration value="Chiropractor"/>
          <xsd:enumeration value="Clinical Lab"/>
          <xsd:enumeration value="Community Mental Health Center Rates"/>
          <xsd:enumeration value="DRG Relative Weights"/>
          <xsd:enumeration value="Durable Medicail Equipment (DME)"/>
          <xsd:enumeration value="Home Health Rates"/>
          <xsd:enumeration value="Hospice Rates"/>
          <xsd:enumeration value="Hospital Outpatient Lab"/>
          <xsd:enumeration value="Nursing Facility Rates (NF)"/>
          <xsd:enumeration value="Nursing Facility Lab"/>
          <xsd:enumeration value="Occupational Therapy"/>
          <xsd:enumeration value="Oxygen"/>
          <xsd:enumeration value="Physical Therapy"/>
          <xsd:enumeration value="Physician"/>
          <xsd:enumeration value="Physician Administered Drug List"/>
          <xsd:enumeration value="Private Duty Nursing (PDN)"/>
          <xsd:enumeration value="Preventative"/>
          <xsd:enumeration value="Radiology"/>
          <xsd:enumeration value="Renal Dialysis Rates"/>
          <xsd:enumeration value="Speech Pathology"/>
          <xsd:enumeration value="Transportation"/>
          <xsd:enumeration value="Vision"/>
        </xsd:restriction>
      </xsd:simpleType>
    </xsd:element>
  </xsd:schema>
  <xsd:schema xmlns:xsd="http://www.w3.org/2001/XMLSchema" xmlns:xs="http://www.w3.org/2001/XMLSchema" xmlns:dms="http://schemas.microsoft.com/office/2006/documentManagement/types" xmlns:pc="http://schemas.microsoft.com/office/infopath/2007/PartnerControls" targetNamespace="dcdf0062-15e6-47f3-91ae-956c1b802128" elementFormDefault="qualified">
    <xsd:import namespace="http://schemas.microsoft.com/office/2006/documentManagement/types"/>
    <xsd:import namespace="http://schemas.microsoft.com/office/infopath/2007/PartnerControls"/>
    <xsd:element name="b9w7" ma:index="12" nillable="true" ma:displayName="Date and Time" ma:internalName="b9w7">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D9BBE-73B9-42EC-B70C-DDD17C48B224}">
  <ds:schemaRefs>
    <ds:schemaRef ds:uri="http://schemas.microsoft.com/office/2006/metadata/properties"/>
    <ds:schemaRef ds:uri="http://schemas.microsoft.com/office/infopath/2007/PartnerControls"/>
    <ds:schemaRef ds:uri="dcdf0062-15e6-47f3-91ae-956c1b802128"/>
    <ds:schemaRef ds:uri="9d98fa39-7fbd-4685-a488-797cac822720"/>
    <ds:schemaRef ds:uri="fdbd306d-9ecd-4c95-826c-c285ba0bc3b3"/>
  </ds:schemaRefs>
</ds:datastoreItem>
</file>

<file path=customXml/itemProps2.xml><?xml version="1.0" encoding="utf-8"?>
<ds:datastoreItem xmlns:ds="http://schemas.openxmlformats.org/officeDocument/2006/customXml" ds:itemID="{FC319666-E958-4895-B0ED-D51987883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8fa39-7fbd-4685-a488-797cac822720"/>
    <ds:schemaRef ds:uri="fdbd306d-9ecd-4c95-826c-c285ba0bc3b3"/>
    <ds:schemaRef ds:uri="dcdf0062-15e6-47f3-91ae-956c1b802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2911F1-2F30-4638-B813-C086EB25E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ASC Fee Schedule</vt:lpstr>
      <vt:lpstr>Updates</vt:lpstr>
      <vt:lpstr>'ASC Fee Schedule'!Print_Area</vt:lpstr>
      <vt:lpstr>'ASC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ASC Fee Schedule</dc:title>
  <dc:creator>Ramaraj, Veeraraghavan</dc:creator>
  <cp:lastModifiedBy>Kitchen, Kelly (CHFS DMS DPO)</cp:lastModifiedBy>
  <cp:lastPrinted>2024-11-19T18:13:10Z</cp:lastPrinted>
  <dcterms:created xsi:type="dcterms:W3CDTF">2020-10-30T20:34:13Z</dcterms:created>
  <dcterms:modified xsi:type="dcterms:W3CDTF">2024-11-19T18:13:25Z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0x0101008DA2CD0899BBAE4D907571C6908B6AC70012190DE0FAEAD649A0F28B976FB5BD99</vt:lpwstr>
  </property>
</Properties>
</file>