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kelly.kitchen\Desktop\FEE SCHEDULES UPDATED FOR WEBSITE\"/>
    </mc:Choice>
  </mc:AlternateContent>
  <xr:revisionPtr revIDLastSave="0" documentId="8_{09E7C961-C2D4-42EC-9F9B-4C0918567C66}" xr6:coauthVersionLast="47" xr6:coauthVersionMax="47" xr10:uidLastSave="{00000000-0000-0000-0000-000000000000}"/>
  <bookViews>
    <workbookView xWindow="-110" yWindow="-110" windowWidth="19420" windowHeight="10420" xr2:uid="{00000000-000D-0000-FFFF-FFFF00000000}"/>
  </bookViews>
  <sheets>
    <sheet name="ASC Fee Schedule" sheetId="1" r:id="rId1"/>
    <sheet name="Updates" sheetId="2" r:id="rId2"/>
  </sheets>
  <definedNames>
    <definedName name="_xlnm._FilterDatabase" localSheetId="0" hidden="1">'ASC Fee Schedule'!$A$16:$E$7121</definedName>
    <definedName name="_xlnm.Print_Area" localSheetId="0">'ASC Fee Schedule'!$A$1:$E$7121</definedName>
    <definedName name="_xlnm.Print_Titles" localSheetId="0">'ASC Fee Schedule'!$17:$17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838" i="1" l="1"/>
  <c r="A7121" i="1"/>
  <c r="A7120" i="1"/>
  <c r="A7119" i="1"/>
  <c r="A7118" i="1"/>
  <c r="A7117" i="1"/>
  <c r="A7116" i="1"/>
  <c r="A7115" i="1"/>
  <c r="A7114" i="1"/>
  <c r="A7113" i="1"/>
  <c r="A7112" i="1"/>
  <c r="A7111" i="1"/>
  <c r="A7110" i="1"/>
  <c r="A7109" i="1"/>
  <c r="A7108" i="1"/>
  <c r="A7107" i="1"/>
  <c r="A7106" i="1"/>
  <c r="A7105" i="1"/>
  <c r="A7104" i="1"/>
  <c r="A7103" i="1"/>
  <c r="A7102" i="1"/>
  <c r="A7101" i="1"/>
  <c r="A7100" i="1"/>
  <c r="A7099" i="1"/>
  <c r="A7098" i="1"/>
  <c r="A7097" i="1"/>
  <c r="A7096" i="1"/>
  <c r="A7095" i="1"/>
  <c r="A7094" i="1"/>
  <c r="A7093" i="1"/>
  <c r="A7092" i="1"/>
  <c r="A7091" i="1"/>
  <c r="A7090" i="1"/>
  <c r="A7089" i="1"/>
  <c r="A7088" i="1"/>
  <c r="A7087" i="1"/>
  <c r="A7086" i="1"/>
  <c r="A7085" i="1"/>
  <c r="A7084" i="1"/>
  <c r="A7083" i="1"/>
  <c r="A7082" i="1"/>
  <c r="A7081" i="1"/>
  <c r="A7080" i="1"/>
  <c r="A7079" i="1"/>
  <c r="A7078" i="1"/>
  <c r="A7077" i="1"/>
  <c r="A7076" i="1"/>
  <c r="A7075" i="1"/>
  <c r="A7074" i="1"/>
  <c r="A7073" i="1"/>
  <c r="A7072" i="1"/>
  <c r="A7071" i="1"/>
  <c r="A7070" i="1"/>
  <c r="A7069" i="1"/>
  <c r="A7068" i="1"/>
  <c r="A7067" i="1"/>
  <c r="A7066" i="1"/>
  <c r="A7065" i="1"/>
  <c r="A7064" i="1"/>
  <c r="A7063" i="1"/>
  <c r="A7062" i="1"/>
  <c r="A7061" i="1"/>
  <c r="A7060" i="1"/>
  <c r="A7059" i="1"/>
  <c r="A7058" i="1"/>
  <c r="A7057" i="1"/>
  <c r="A7056" i="1"/>
  <c r="A7055" i="1"/>
  <c r="A7054" i="1"/>
  <c r="A7053" i="1"/>
  <c r="A7052" i="1"/>
  <c r="A7051" i="1"/>
  <c r="A7050" i="1"/>
  <c r="A7049" i="1"/>
  <c r="A7048" i="1"/>
  <c r="A7047" i="1"/>
  <c r="A7046" i="1"/>
  <c r="A7045" i="1"/>
  <c r="A7044" i="1"/>
  <c r="A7043" i="1"/>
  <c r="A7042" i="1"/>
  <c r="A7041" i="1"/>
  <c r="A7040" i="1"/>
  <c r="A7039" i="1"/>
  <c r="A7038" i="1"/>
  <c r="A7037" i="1"/>
  <c r="A7036" i="1"/>
  <c r="A7035" i="1"/>
  <c r="A7034" i="1"/>
  <c r="A7033" i="1"/>
  <c r="A7032" i="1"/>
  <c r="A7030" i="1"/>
  <c r="A7029" i="1"/>
  <c r="A7028" i="1"/>
  <c r="A7027" i="1"/>
  <c r="A7026" i="1"/>
  <c r="A7025" i="1"/>
  <c r="A7024" i="1"/>
  <c r="A7023" i="1"/>
  <c r="A7022" i="1"/>
  <c r="A7021" i="1"/>
  <c r="A7020" i="1"/>
  <c r="A7019" i="1"/>
  <c r="A7018" i="1"/>
  <c r="A7017" i="1"/>
  <c r="A7016" i="1"/>
  <c r="A7015" i="1"/>
  <c r="A7014" i="1"/>
  <c r="A7013" i="1"/>
  <c r="A7012" i="1"/>
  <c r="A7011" i="1"/>
  <c r="A7010" i="1"/>
  <c r="A7009" i="1"/>
  <c r="A7008" i="1"/>
  <c r="A7007" i="1"/>
  <c r="A7006" i="1"/>
  <c r="A7005" i="1"/>
  <c r="A7004" i="1"/>
  <c r="A7003" i="1"/>
  <c r="A7002" i="1"/>
  <c r="A7001" i="1"/>
  <c r="A7000" i="1"/>
  <c r="A6999" i="1"/>
  <c r="A6997" i="1"/>
  <c r="A6996" i="1"/>
  <c r="A6995" i="1"/>
  <c r="A6994" i="1"/>
  <c r="A6993" i="1"/>
  <c r="A6992" i="1"/>
  <c r="A6991" i="1"/>
  <c r="A6990" i="1"/>
  <c r="A6989" i="1"/>
  <c r="A6988" i="1"/>
  <c r="A6987" i="1"/>
  <c r="A6986" i="1"/>
  <c r="A6985" i="1"/>
  <c r="A6984" i="1"/>
  <c r="A6983" i="1"/>
  <c r="A6982" i="1"/>
  <c r="A6981" i="1"/>
  <c r="A6980" i="1"/>
  <c r="A6979" i="1"/>
  <c r="A6978" i="1"/>
  <c r="A6977" i="1"/>
  <c r="A6976" i="1"/>
  <c r="A6975" i="1"/>
  <c r="A6974" i="1"/>
  <c r="A6973" i="1"/>
  <c r="A6972" i="1"/>
  <c r="A6971" i="1"/>
  <c r="A6970" i="1"/>
  <c r="A6969" i="1"/>
  <c r="A6968" i="1"/>
  <c r="A6966" i="1"/>
  <c r="A6965" i="1"/>
  <c r="A6964" i="1"/>
  <c r="A6963" i="1"/>
  <c r="A6962" i="1"/>
  <c r="A6961" i="1"/>
  <c r="A6960" i="1"/>
  <c r="A6959" i="1"/>
  <c r="A6958" i="1"/>
  <c r="A6957" i="1"/>
  <c r="A6956" i="1"/>
  <c r="A6955" i="1"/>
  <c r="A6954" i="1"/>
  <c r="A6953" i="1"/>
  <c r="A6952" i="1"/>
  <c r="A6951" i="1"/>
  <c r="A6950" i="1"/>
  <c r="A6949" i="1"/>
  <c r="A6948" i="1"/>
  <c r="A6947" i="1"/>
  <c r="A6946" i="1"/>
  <c r="A6945" i="1"/>
  <c r="A6944" i="1"/>
  <c r="A6943" i="1"/>
  <c r="A6942" i="1"/>
  <c r="A6941" i="1"/>
  <c r="A6940" i="1"/>
  <c r="A6939" i="1"/>
  <c r="A6938" i="1"/>
  <c r="A6937" i="1"/>
  <c r="A6936" i="1"/>
  <c r="A6935" i="1"/>
  <c r="A6934" i="1"/>
  <c r="A6933" i="1"/>
  <c r="A6932" i="1"/>
  <c r="A6931" i="1"/>
  <c r="A6930" i="1"/>
  <c r="A6929" i="1"/>
  <c r="A6928" i="1"/>
  <c r="A6927" i="1"/>
  <c r="A6926" i="1"/>
  <c r="A6925" i="1"/>
  <c r="A6924" i="1"/>
  <c r="A6923" i="1"/>
  <c r="A6922" i="1"/>
  <c r="A6921" i="1"/>
  <c r="A6920" i="1"/>
  <c r="A6919" i="1"/>
  <c r="A6918" i="1"/>
  <c r="A6917" i="1"/>
  <c r="A6916" i="1"/>
  <c r="A6915" i="1"/>
  <c r="A6914" i="1"/>
  <c r="A6913" i="1"/>
  <c r="A6912" i="1"/>
  <c r="A6911" i="1"/>
  <c r="A6910" i="1"/>
  <c r="A6909" i="1"/>
  <c r="A6908" i="1"/>
  <c r="A6907" i="1"/>
  <c r="A6906" i="1"/>
  <c r="A6905" i="1"/>
  <c r="A6904" i="1"/>
  <c r="A6903" i="1"/>
  <c r="A6902" i="1"/>
  <c r="A6901" i="1"/>
  <c r="A6900" i="1"/>
  <c r="A6899" i="1"/>
  <c r="A6898" i="1"/>
  <c r="A6897" i="1"/>
  <c r="A6896" i="1"/>
  <c r="A6895" i="1"/>
  <c r="A6894" i="1"/>
  <c r="A6893" i="1"/>
  <c r="A6892" i="1"/>
  <c r="A6891" i="1"/>
  <c r="A6890" i="1"/>
  <c r="A6889" i="1"/>
  <c r="A6888" i="1"/>
  <c r="A6887" i="1"/>
  <c r="A6886" i="1"/>
  <c r="A6885" i="1"/>
  <c r="A6884" i="1"/>
  <c r="A6883" i="1"/>
  <c r="A6882" i="1"/>
  <c r="A6881" i="1"/>
  <c r="A6880" i="1"/>
  <c r="A6879" i="1"/>
  <c r="A6878" i="1"/>
  <c r="A6877" i="1"/>
  <c r="A6876" i="1"/>
  <c r="A6875" i="1"/>
  <c r="A6874" i="1"/>
  <c r="A6873" i="1"/>
  <c r="A6872" i="1"/>
  <c r="A6871" i="1"/>
  <c r="A6870" i="1"/>
  <c r="A6869" i="1"/>
  <c r="A6868" i="1"/>
  <c r="A6867" i="1"/>
  <c r="A6866" i="1"/>
  <c r="A6865" i="1"/>
  <c r="A6864" i="1"/>
  <c r="A6863" i="1"/>
  <c r="A6862" i="1"/>
  <c r="A6861" i="1"/>
  <c r="A6860" i="1"/>
  <c r="A6859" i="1"/>
  <c r="A6858" i="1"/>
  <c r="A6857" i="1"/>
  <c r="A6856" i="1"/>
  <c r="A6855" i="1"/>
  <c r="A6854" i="1"/>
  <c r="A6853" i="1"/>
  <c r="A6852" i="1"/>
  <c r="A6851" i="1"/>
  <c r="A6850" i="1"/>
  <c r="A6849" i="1"/>
  <c r="A6848" i="1"/>
  <c r="A6847" i="1"/>
  <c r="A6846" i="1"/>
  <c r="A6845" i="1"/>
  <c r="A6844" i="1"/>
  <c r="A6843" i="1"/>
  <c r="A6842" i="1"/>
  <c r="A6841" i="1"/>
  <c r="A6840" i="1"/>
  <c r="A6839" i="1"/>
  <c r="A6838" i="1"/>
  <c r="A6837" i="1"/>
  <c r="A6836" i="1"/>
  <c r="A6835" i="1"/>
  <c r="A6834" i="1"/>
  <c r="A6833" i="1"/>
  <c r="A6832" i="1"/>
  <c r="A6831" i="1"/>
  <c r="A6830" i="1"/>
  <c r="A6829" i="1"/>
  <c r="A6828" i="1"/>
  <c r="A6827" i="1"/>
  <c r="A6826" i="1"/>
  <c r="A6825" i="1"/>
  <c r="A6824" i="1"/>
  <c r="A6823" i="1"/>
  <c r="A6822" i="1"/>
  <c r="A6821" i="1"/>
  <c r="A6820" i="1"/>
  <c r="A6819" i="1"/>
  <c r="A6818" i="1"/>
  <c r="A6817" i="1"/>
  <c r="A6816" i="1"/>
  <c r="A6815" i="1"/>
  <c r="A6814" i="1"/>
  <c r="A6813" i="1"/>
  <c r="A6812" i="1"/>
  <c r="A6811" i="1"/>
  <c r="A6810" i="1"/>
  <c r="A6809" i="1"/>
  <c r="A6808" i="1"/>
  <c r="A6807" i="1"/>
  <c r="A6806" i="1"/>
  <c r="A6805" i="1"/>
  <c r="A6804" i="1"/>
  <c r="A6803" i="1"/>
  <c r="A6802" i="1"/>
  <c r="A6801" i="1"/>
  <c r="A6800" i="1"/>
  <c r="A6799" i="1"/>
  <c r="A6798" i="1"/>
  <c r="A6797" i="1"/>
  <c r="A6796" i="1"/>
  <c r="A6795" i="1"/>
  <c r="A6794" i="1"/>
  <c r="A6793" i="1"/>
  <c r="A6792" i="1"/>
  <c r="A6791" i="1"/>
  <c r="A6790" i="1"/>
  <c r="A6789" i="1"/>
  <c r="A6788" i="1"/>
  <c r="A6787" i="1"/>
  <c r="A6786" i="1"/>
  <c r="A6785" i="1"/>
  <c r="A6784" i="1"/>
  <c r="A6783" i="1"/>
  <c r="A6782" i="1"/>
  <c r="A6781" i="1"/>
  <c r="A6780" i="1"/>
  <c r="A6779" i="1"/>
  <c r="A6778" i="1"/>
  <c r="A6777" i="1"/>
  <c r="A6776" i="1"/>
  <c r="A6775" i="1"/>
  <c r="A6774" i="1"/>
  <c r="A6773" i="1"/>
  <c r="A6772" i="1"/>
  <c r="A6771" i="1"/>
  <c r="A6770" i="1"/>
  <c r="A6769" i="1"/>
  <c r="A6768" i="1"/>
  <c r="A6767" i="1"/>
  <c r="A6766" i="1"/>
  <c r="A6765" i="1"/>
  <c r="A6764" i="1"/>
  <c r="A6763" i="1"/>
  <c r="A6762" i="1"/>
  <c r="A6761" i="1"/>
  <c r="A6760" i="1"/>
  <c r="A6759" i="1"/>
  <c r="A6758" i="1"/>
  <c r="A6757" i="1"/>
  <c r="A6756" i="1"/>
  <c r="A6755" i="1"/>
  <c r="A6754" i="1"/>
  <c r="A6753" i="1"/>
  <c r="A6752" i="1"/>
  <c r="A6751" i="1"/>
  <c r="A6750" i="1"/>
  <c r="A6749" i="1"/>
  <c r="A6748" i="1"/>
  <c r="A6747" i="1"/>
  <c r="A6746" i="1"/>
  <c r="A6745" i="1"/>
  <c r="A6744" i="1"/>
  <c r="A6743" i="1"/>
  <c r="A6742" i="1"/>
  <c r="A6741" i="1"/>
  <c r="A6740" i="1"/>
  <c r="A6739" i="1"/>
  <c r="A6738" i="1"/>
  <c r="A6737" i="1"/>
  <c r="A6736" i="1"/>
  <c r="A6735" i="1"/>
  <c r="A6734" i="1"/>
  <c r="A6733" i="1"/>
  <c r="A6732" i="1"/>
  <c r="A6731" i="1"/>
  <c r="A6730" i="1"/>
  <c r="A6729" i="1"/>
  <c r="A6728" i="1"/>
  <c r="A6727" i="1"/>
  <c r="A6726" i="1"/>
  <c r="A6725" i="1"/>
  <c r="A6724" i="1"/>
  <c r="A6723" i="1"/>
  <c r="A6722" i="1"/>
  <c r="A6721" i="1"/>
  <c r="A6720" i="1"/>
  <c r="A6719" i="1"/>
  <c r="A6718" i="1"/>
  <c r="A6717" i="1"/>
  <c r="A6716" i="1"/>
  <c r="A6715" i="1"/>
  <c r="A6714" i="1"/>
  <c r="A6713" i="1"/>
  <c r="A6712" i="1"/>
  <c r="A6711" i="1"/>
  <c r="A6710" i="1"/>
  <c r="A6709" i="1"/>
  <c r="A6708" i="1"/>
  <c r="A6707" i="1"/>
  <c r="A6706" i="1"/>
  <c r="A6705" i="1"/>
  <c r="A6704" i="1"/>
  <c r="A6703" i="1"/>
  <c r="A6702" i="1"/>
  <c r="A6701" i="1"/>
  <c r="A6700" i="1"/>
  <c r="A6699" i="1"/>
  <c r="A6698" i="1"/>
  <c r="A6697" i="1"/>
  <c r="A6696" i="1"/>
  <c r="A6695" i="1"/>
  <c r="A6694" i="1"/>
  <c r="A6693" i="1"/>
  <c r="A6692" i="1"/>
  <c r="A6691" i="1"/>
  <c r="A6690" i="1"/>
  <c r="A6689" i="1"/>
  <c r="A6688" i="1"/>
  <c r="A6687" i="1"/>
  <c r="A6686" i="1"/>
  <c r="A6685" i="1"/>
  <c r="A6684" i="1"/>
  <c r="A6683" i="1"/>
  <c r="A6682" i="1"/>
  <c r="A6681" i="1"/>
  <c r="A6680" i="1"/>
  <c r="A6679" i="1"/>
  <c r="A6678" i="1"/>
  <c r="A6677" i="1"/>
  <c r="A6676" i="1"/>
  <c r="A6675" i="1"/>
  <c r="A6674" i="1"/>
  <c r="A6673" i="1"/>
  <c r="A6672" i="1"/>
  <c r="A6671" i="1"/>
  <c r="A6670" i="1"/>
  <c r="A6669" i="1"/>
  <c r="A6668" i="1"/>
  <c r="A6667" i="1"/>
  <c r="A6666" i="1"/>
  <c r="A6665" i="1"/>
  <c r="A6664" i="1"/>
  <c r="A6663" i="1"/>
  <c r="A6662" i="1"/>
  <c r="A6661" i="1"/>
  <c r="A6660" i="1"/>
  <c r="A6659" i="1"/>
  <c r="A6658" i="1"/>
  <c r="A6657" i="1"/>
  <c r="A6656" i="1"/>
  <c r="A6655" i="1"/>
  <c r="A6654" i="1"/>
  <c r="A6653" i="1"/>
  <c r="A6652" i="1"/>
  <c r="A6651" i="1"/>
  <c r="A6650" i="1"/>
  <c r="A6649" i="1"/>
  <c r="A6648" i="1"/>
  <c r="A6647" i="1"/>
  <c r="A6646" i="1"/>
  <c r="A6645" i="1"/>
  <c r="A6644" i="1"/>
  <c r="A6643" i="1"/>
  <c r="A6642" i="1"/>
  <c r="A6641" i="1"/>
  <c r="A6640" i="1"/>
  <c r="A6639" i="1"/>
  <c r="A6638" i="1"/>
  <c r="A6637" i="1"/>
  <c r="A6636" i="1"/>
  <c r="A6635" i="1"/>
  <c r="A6634" i="1"/>
  <c r="A6633" i="1"/>
  <c r="A6632" i="1"/>
  <c r="A6631" i="1"/>
  <c r="A6629" i="1"/>
  <c r="A6628" i="1"/>
  <c r="A6627" i="1"/>
  <c r="A6626" i="1"/>
  <c r="A6625" i="1"/>
  <c r="A6624" i="1"/>
  <c r="A6623" i="1"/>
  <c r="A6622" i="1"/>
  <c r="A6621" i="1"/>
  <c r="A6620" i="1"/>
  <c r="A6619" i="1"/>
  <c r="A6618" i="1"/>
  <c r="A6617" i="1"/>
  <c r="A6616" i="1"/>
  <c r="A6615" i="1"/>
  <c r="A6614" i="1"/>
  <c r="A6613" i="1"/>
  <c r="A6612" i="1"/>
  <c r="A6611" i="1"/>
  <c r="A6610" i="1"/>
  <c r="A6609" i="1"/>
  <c r="A6608" i="1"/>
  <c r="A6607" i="1"/>
  <c r="A6606" i="1"/>
  <c r="A6605" i="1"/>
  <c r="A6604" i="1"/>
  <c r="A6603" i="1"/>
  <c r="A6602" i="1"/>
  <c r="A6601" i="1"/>
  <c r="A6600" i="1"/>
  <c r="A6599" i="1"/>
  <c r="A6598" i="1"/>
  <c r="A6597" i="1"/>
  <c r="A6596" i="1"/>
  <c r="A6595" i="1"/>
  <c r="A6594" i="1"/>
  <c r="A6593" i="1"/>
  <c r="A6592" i="1"/>
  <c r="A6591" i="1"/>
  <c r="A6590" i="1"/>
  <c r="A6589" i="1"/>
  <c r="A6588" i="1"/>
  <c r="A6587" i="1"/>
  <c r="A6586" i="1"/>
  <c r="A6585" i="1"/>
  <c r="A6584" i="1"/>
  <c r="A6583" i="1"/>
  <c r="A6582" i="1"/>
  <c r="A6581" i="1"/>
  <c r="A6580" i="1"/>
  <c r="A6579" i="1"/>
  <c r="A6578" i="1"/>
  <c r="A6577" i="1"/>
  <c r="A6576" i="1"/>
  <c r="A6575" i="1"/>
  <c r="A6574" i="1"/>
  <c r="A6573" i="1"/>
  <c r="A6572" i="1"/>
  <c r="A6571" i="1"/>
  <c r="A6570" i="1"/>
  <c r="A6569" i="1"/>
  <c r="A6568" i="1"/>
  <c r="A6567" i="1"/>
  <c r="A6566" i="1"/>
  <c r="A6565" i="1"/>
  <c r="A6564" i="1"/>
  <c r="A6563" i="1"/>
  <c r="A6562" i="1"/>
  <c r="A6561" i="1"/>
  <c r="A6560" i="1"/>
  <c r="A6559" i="1"/>
  <c r="A6558" i="1"/>
  <c r="A6557" i="1"/>
  <c r="A6556" i="1"/>
  <c r="A6555" i="1"/>
  <c r="A6554" i="1"/>
  <c r="A6553" i="1"/>
  <c r="A6552" i="1"/>
  <c r="A6551" i="1"/>
  <c r="A6550" i="1"/>
  <c r="A6549" i="1"/>
  <c r="A6548" i="1"/>
  <c r="A6547" i="1"/>
  <c r="A6546" i="1"/>
  <c r="A6545" i="1"/>
  <c r="A6544" i="1"/>
  <c r="A6543" i="1"/>
  <c r="A6542" i="1"/>
  <c r="A6541" i="1"/>
  <c r="A6540" i="1"/>
  <c r="A6539" i="1"/>
  <c r="A6538" i="1"/>
  <c r="A6537" i="1"/>
  <c r="A6536" i="1"/>
  <c r="A6535" i="1"/>
  <c r="A6534" i="1"/>
  <c r="A6533" i="1"/>
  <c r="A6532" i="1"/>
  <c r="A6531" i="1"/>
  <c r="A6530" i="1"/>
  <c r="A6529" i="1"/>
  <c r="A6528" i="1"/>
  <c r="A6527" i="1"/>
  <c r="A6526" i="1"/>
  <c r="A6525" i="1"/>
  <c r="A6524" i="1"/>
  <c r="A6523" i="1"/>
  <c r="A6522" i="1"/>
  <c r="A6521" i="1"/>
  <c r="A6520" i="1"/>
  <c r="A6519" i="1"/>
  <c r="A6518" i="1"/>
  <c r="A6517" i="1"/>
  <c r="A6516" i="1"/>
  <c r="A6515" i="1"/>
  <c r="A6514" i="1"/>
  <c r="A6513" i="1"/>
  <c r="A6512" i="1"/>
  <c r="A6511" i="1"/>
  <c r="A6510" i="1"/>
  <c r="A6509" i="1"/>
  <c r="A6508" i="1"/>
  <c r="A6507" i="1"/>
  <c r="A6506" i="1"/>
  <c r="A6505" i="1"/>
  <c r="A6504" i="1"/>
  <c r="A6503" i="1"/>
  <c r="A6502" i="1"/>
  <c r="A6501" i="1"/>
  <c r="A6500" i="1"/>
  <c r="A6499" i="1"/>
  <c r="A6498" i="1"/>
  <c r="A6497" i="1"/>
  <c r="A6496" i="1"/>
  <c r="A6495" i="1"/>
  <c r="A6494" i="1"/>
  <c r="A6493" i="1"/>
  <c r="A6492" i="1"/>
  <c r="A6491" i="1"/>
  <c r="A6490" i="1"/>
  <c r="A6489" i="1"/>
  <c r="A6488" i="1"/>
  <c r="A6487" i="1"/>
  <c r="A6486" i="1"/>
  <c r="A6485" i="1"/>
  <c r="A6484" i="1"/>
  <c r="A6483" i="1"/>
  <c r="A6482" i="1"/>
  <c r="A6481" i="1"/>
  <c r="A6480" i="1"/>
  <c r="A6479" i="1"/>
  <c r="A6478" i="1"/>
  <c r="A6477" i="1"/>
  <c r="A6476" i="1"/>
  <c r="A6475" i="1"/>
  <c r="A6474" i="1"/>
  <c r="A6473" i="1"/>
  <c r="A6472" i="1"/>
  <c r="A6471" i="1"/>
  <c r="A6470" i="1"/>
  <c r="A6469" i="1"/>
  <c r="A6468" i="1"/>
  <c r="A6467" i="1"/>
  <c r="A6466" i="1"/>
  <c r="A6465" i="1"/>
  <c r="A6464" i="1"/>
  <c r="A6463" i="1"/>
  <c r="A6462" i="1"/>
  <c r="A6461" i="1"/>
  <c r="A6460" i="1"/>
  <c r="A6459" i="1"/>
  <c r="A6458" i="1"/>
  <c r="A6457" i="1"/>
  <c r="A6456" i="1"/>
  <c r="A6455" i="1"/>
  <c r="A6454" i="1"/>
  <c r="A6453" i="1"/>
  <c r="A6452" i="1"/>
  <c r="A6451" i="1"/>
  <c r="A6450" i="1"/>
  <c r="A6449" i="1"/>
  <c r="A6448" i="1"/>
  <c r="A6447" i="1"/>
  <c r="A6446" i="1"/>
  <c r="A6445" i="1"/>
  <c r="A6444" i="1"/>
  <c r="A6443" i="1"/>
  <c r="A6442" i="1"/>
  <c r="A6441" i="1"/>
  <c r="A6440" i="1"/>
  <c r="A6439" i="1"/>
  <c r="A6438" i="1"/>
  <c r="A6437" i="1"/>
  <c r="A6436" i="1"/>
  <c r="A6435" i="1"/>
  <c r="A6434" i="1"/>
  <c r="A6433" i="1"/>
  <c r="A6432" i="1"/>
  <c r="A6431" i="1"/>
  <c r="A6430" i="1"/>
  <c r="A6429" i="1"/>
  <c r="A6428" i="1"/>
  <c r="A6427" i="1"/>
  <c r="A6426" i="1"/>
  <c r="A6425" i="1"/>
  <c r="A6424" i="1"/>
  <c r="A6423" i="1"/>
  <c r="A6422" i="1"/>
  <c r="A6421" i="1"/>
  <c r="A6420" i="1"/>
  <c r="A6419" i="1"/>
  <c r="A6418" i="1"/>
  <c r="A6417" i="1"/>
  <c r="A6416" i="1"/>
  <c r="A6415" i="1"/>
  <c r="A6414" i="1"/>
  <c r="A6413" i="1"/>
  <c r="A6412" i="1"/>
  <c r="A6411" i="1"/>
  <c r="A6410" i="1"/>
  <c r="A6409" i="1"/>
  <c r="A6408" i="1"/>
  <c r="A6407" i="1"/>
  <c r="A6406" i="1"/>
  <c r="A6405" i="1"/>
  <c r="A6404" i="1"/>
  <c r="A6403" i="1"/>
  <c r="A6402" i="1"/>
  <c r="A6401" i="1"/>
  <c r="A6400" i="1"/>
  <c r="A6399" i="1"/>
  <c r="A6398" i="1"/>
  <c r="A6397" i="1"/>
  <c r="A6396" i="1"/>
  <c r="A6395" i="1"/>
  <c r="A6394" i="1"/>
  <c r="A6393" i="1"/>
  <c r="A6392" i="1"/>
  <c r="A6391" i="1"/>
  <c r="A6390" i="1"/>
  <c r="A6389" i="1"/>
  <c r="A6388" i="1"/>
  <c r="A6387" i="1"/>
  <c r="A6386" i="1"/>
  <c r="A6385" i="1"/>
  <c r="A6384" i="1"/>
  <c r="A6383" i="1"/>
  <c r="A6382" i="1"/>
  <c r="A6381" i="1"/>
  <c r="A6380" i="1"/>
  <c r="A6379" i="1"/>
  <c r="A6378" i="1"/>
  <c r="A6377" i="1"/>
  <c r="A6376" i="1"/>
  <c r="A6375" i="1"/>
  <c r="A6374" i="1"/>
  <c r="A6373" i="1"/>
  <c r="A6372" i="1"/>
  <c r="A6371" i="1"/>
  <c r="A6370" i="1"/>
  <c r="A6369" i="1"/>
  <c r="A6368" i="1"/>
  <c r="A6367" i="1"/>
  <c r="A6366" i="1"/>
  <c r="A6365" i="1"/>
  <c r="A6364" i="1"/>
  <c r="A6363" i="1"/>
  <c r="A6362" i="1"/>
  <c r="A6361" i="1"/>
  <c r="A6360" i="1"/>
  <c r="A6359" i="1"/>
  <c r="A6358" i="1"/>
  <c r="A6357" i="1"/>
  <c r="A6356" i="1"/>
  <c r="A6355" i="1"/>
  <c r="A6354" i="1"/>
  <c r="A6353" i="1"/>
  <c r="A6352" i="1"/>
  <c r="A6351" i="1"/>
  <c r="A6350" i="1"/>
  <c r="A6349" i="1"/>
  <c r="A6348" i="1"/>
  <c r="A6347" i="1"/>
  <c r="A6346" i="1"/>
  <c r="A6345" i="1"/>
  <c r="A6344" i="1"/>
  <c r="A6343" i="1"/>
  <c r="A6342" i="1"/>
  <c r="A6341" i="1"/>
  <c r="A6340" i="1"/>
  <c r="A6339" i="1"/>
  <c r="A6338" i="1"/>
  <c r="A6337" i="1"/>
  <c r="A6336" i="1"/>
  <c r="A6335" i="1"/>
  <c r="A6334" i="1"/>
  <c r="A6333" i="1"/>
  <c r="A6332" i="1"/>
  <c r="A6331" i="1"/>
  <c r="A6330" i="1"/>
  <c r="A6329" i="1"/>
  <c r="A6328" i="1"/>
  <c r="A6327" i="1"/>
  <c r="A6326" i="1"/>
  <c r="A6325" i="1"/>
  <c r="A6324" i="1"/>
  <c r="A6323" i="1"/>
  <c r="A6322" i="1"/>
  <c r="A6321" i="1"/>
  <c r="A6320" i="1"/>
  <c r="A6319" i="1"/>
  <c r="A6318" i="1"/>
  <c r="A6317" i="1"/>
  <c r="A6316" i="1"/>
  <c r="A6315" i="1"/>
  <c r="A6314" i="1"/>
  <c r="A6313" i="1"/>
  <c r="A6312" i="1"/>
  <c r="A6311" i="1"/>
  <c r="A6310" i="1"/>
  <c r="A6309" i="1"/>
  <c r="A6308" i="1"/>
  <c r="A6307" i="1"/>
  <c r="A6306" i="1"/>
  <c r="A6305" i="1"/>
  <c r="A6304" i="1"/>
  <c r="A6303" i="1"/>
  <c r="A6302" i="1"/>
  <c r="A6301" i="1"/>
  <c r="A6300" i="1"/>
  <c r="A6299" i="1"/>
  <c r="A6298" i="1"/>
  <c r="A6297" i="1"/>
  <c r="A6296" i="1"/>
  <c r="A6295" i="1"/>
  <c r="A6294" i="1"/>
  <c r="A6293" i="1"/>
  <c r="A6292" i="1"/>
  <c r="A6291" i="1"/>
  <c r="A6290" i="1"/>
  <c r="A6289" i="1"/>
  <c r="A6288" i="1"/>
  <c r="A6287" i="1"/>
  <c r="A6286" i="1"/>
  <c r="A6285" i="1"/>
  <c r="A6284" i="1"/>
  <c r="A6283" i="1"/>
  <c r="A6282" i="1"/>
  <c r="A6281" i="1"/>
  <c r="A6280" i="1"/>
  <c r="A6279" i="1"/>
  <c r="A6278" i="1"/>
  <c r="A6277" i="1"/>
  <c r="A6276" i="1"/>
  <c r="A6275" i="1"/>
  <c r="A6274" i="1"/>
  <c r="A6273" i="1"/>
  <c r="A6272" i="1"/>
  <c r="A6271" i="1"/>
  <c r="A6270" i="1"/>
  <c r="A6269" i="1"/>
  <c r="A6268" i="1"/>
  <c r="A6267" i="1"/>
  <c r="A6266" i="1"/>
  <c r="A6265" i="1"/>
  <c r="A6264" i="1"/>
  <c r="A6263" i="1"/>
  <c r="A6262" i="1"/>
  <c r="A6261" i="1"/>
  <c r="A6260" i="1"/>
  <c r="A6259" i="1"/>
  <c r="A6258" i="1"/>
  <c r="A6257" i="1"/>
  <c r="A6256" i="1"/>
  <c r="A6255" i="1"/>
  <c r="A6254" i="1"/>
  <c r="A6253" i="1"/>
  <c r="A6252" i="1"/>
  <c r="A6251" i="1"/>
  <c r="A6250" i="1"/>
  <c r="A6249" i="1"/>
  <c r="A6248" i="1"/>
  <c r="A6247" i="1"/>
  <c r="A6246" i="1"/>
  <c r="A6245" i="1"/>
  <c r="A6244" i="1"/>
  <c r="A6243" i="1"/>
  <c r="A6242" i="1"/>
  <c r="A6241" i="1"/>
  <c r="A6240" i="1"/>
  <c r="A6239" i="1"/>
  <c r="A6238" i="1"/>
  <c r="A6237" i="1"/>
  <c r="A6236" i="1"/>
  <c r="A6235" i="1"/>
  <c r="A6234" i="1"/>
  <c r="A6233" i="1"/>
  <c r="A6232" i="1"/>
  <c r="A6231" i="1"/>
  <c r="A6230" i="1"/>
  <c r="A6229" i="1"/>
  <c r="A6228" i="1"/>
  <c r="A6227" i="1"/>
  <c r="A6226" i="1"/>
  <c r="A6225" i="1"/>
  <c r="A6224" i="1"/>
  <c r="A6223" i="1"/>
  <c r="A6222" i="1"/>
  <c r="A6221" i="1"/>
  <c r="A6220" i="1"/>
  <c r="A6219" i="1"/>
  <c r="A6218" i="1"/>
  <c r="A6217" i="1"/>
  <c r="A6216" i="1"/>
  <c r="A6215" i="1"/>
  <c r="A6214" i="1"/>
  <c r="A6213" i="1"/>
  <c r="A6212" i="1"/>
  <c r="A6211" i="1"/>
  <c r="A6210" i="1"/>
  <c r="A6209" i="1"/>
  <c r="A6208" i="1"/>
  <c r="A6207" i="1"/>
  <c r="A6206" i="1"/>
  <c r="A6205" i="1"/>
  <c r="A6204" i="1"/>
  <c r="A6203" i="1"/>
  <c r="A6202" i="1"/>
  <c r="A6201" i="1"/>
  <c r="A6200" i="1"/>
  <c r="A6199" i="1"/>
  <c r="A6198" i="1"/>
  <c r="A6197" i="1"/>
  <c r="A6196" i="1"/>
  <c r="A6195" i="1"/>
  <c r="A6194" i="1"/>
  <c r="A6193" i="1"/>
  <c r="A6192" i="1"/>
  <c r="A6191" i="1"/>
  <c r="A6190" i="1"/>
  <c r="A6189" i="1"/>
  <c r="A6188" i="1"/>
  <c r="A6187" i="1"/>
  <c r="A6186" i="1"/>
  <c r="A6185" i="1"/>
  <c r="A6184" i="1"/>
  <c r="A6183" i="1"/>
  <c r="A6182" i="1"/>
  <c r="A6181" i="1"/>
  <c r="A6180" i="1"/>
  <c r="A6179" i="1"/>
  <c r="A6178" i="1"/>
  <c r="A6177" i="1"/>
  <c r="A6176" i="1"/>
  <c r="A6175" i="1"/>
  <c r="A6174" i="1"/>
  <c r="A6173" i="1"/>
  <c r="A6172" i="1"/>
  <c r="A6171" i="1"/>
  <c r="A6170" i="1"/>
  <c r="A6169" i="1"/>
  <c r="A6168" i="1"/>
  <c r="A6167" i="1"/>
  <c r="A6166" i="1"/>
  <c r="A6165" i="1"/>
  <c r="A6164" i="1"/>
  <c r="A6163" i="1"/>
  <c r="A6162" i="1"/>
  <c r="A6161" i="1"/>
  <c r="A6160" i="1"/>
  <c r="A6159" i="1"/>
  <c r="A6158" i="1"/>
  <c r="A6157" i="1"/>
  <c r="A6156" i="1"/>
  <c r="A6155" i="1"/>
  <c r="A6154" i="1"/>
  <c r="A6153" i="1"/>
  <c r="A6152" i="1"/>
  <c r="A6151" i="1"/>
  <c r="A6150" i="1"/>
  <c r="A6149" i="1"/>
  <c r="A6148" i="1"/>
  <c r="A6147" i="1"/>
  <c r="A6146" i="1"/>
  <c r="A6145" i="1"/>
  <c r="A6144" i="1"/>
  <c r="A6143" i="1"/>
  <c r="A6142" i="1"/>
  <c r="A6141" i="1"/>
  <c r="A6140" i="1"/>
  <c r="A6139" i="1"/>
  <c r="A6138" i="1"/>
  <c r="A6137" i="1"/>
  <c r="A6136" i="1"/>
  <c r="A6135" i="1"/>
  <c r="A6134" i="1"/>
  <c r="A6133" i="1"/>
  <c r="A6132" i="1"/>
  <c r="A6131" i="1"/>
  <c r="A6130" i="1"/>
  <c r="A6129" i="1"/>
  <c r="A6128" i="1"/>
  <c r="A6127" i="1"/>
  <c r="A6126" i="1"/>
  <c r="A6125" i="1"/>
  <c r="A6124" i="1"/>
  <c r="A6123" i="1"/>
  <c r="A6122" i="1"/>
  <c r="A6121" i="1"/>
  <c r="A6120" i="1"/>
  <c r="A6119" i="1"/>
  <c r="A6118" i="1"/>
  <c r="A6117" i="1"/>
  <c r="A6116" i="1"/>
  <c r="A6115" i="1"/>
  <c r="A6114" i="1"/>
  <c r="A6113" i="1"/>
  <c r="A6112" i="1"/>
  <c r="A6111" i="1"/>
  <c r="A6110" i="1"/>
  <c r="A6109" i="1"/>
  <c r="A6108" i="1"/>
  <c r="A6107" i="1"/>
  <c r="A6106" i="1"/>
  <c r="A6105" i="1"/>
  <c r="A6104" i="1"/>
  <c r="A6103" i="1"/>
  <c r="A6102" i="1"/>
  <c r="A6101" i="1"/>
  <c r="A6100" i="1"/>
  <c r="A6099" i="1"/>
  <c r="A6098" i="1"/>
  <c r="A6097" i="1"/>
  <c r="A6096" i="1"/>
  <c r="A6095" i="1"/>
  <c r="A6094" i="1"/>
  <c r="A6093" i="1"/>
  <c r="A6092" i="1"/>
  <c r="A6091" i="1"/>
  <c r="A6090" i="1"/>
  <c r="A6089" i="1"/>
  <c r="A6088" i="1"/>
  <c r="A6087" i="1"/>
  <c r="A6086" i="1"/>
  <c r="A6085" i="1"/>
  <c r="A6084" i="1"/>
  <c r="A6083" i="1"/>
  <c r="A6082" i="1"/>
  <c r="A6081" i="1"/>
  <c r="A6080" i="1"/>
  <c r="A6079" i="1"/>
  <c r="A6078" i="1"/>
  <c r="A6077" i="1"/>
  <c r="A6076" i="1"/>
  <c r="A6075" i="1"/>
  <c r="A6074" i="1"/>
  <c r="A6073" i="1"/>
  <c r="A6072" i="1"/>
  <c r="A6071" i="1"/>
  <c r="A6070" i="1"/>
  <c r="A6069" i="1"/>
  <c r="A6068" i="1"/>
  <c r="A6067" i="1"/>
  <c r="A6066" i="1"/>
  <c r="A6065" i="1"/>
  <c r="A6064" i="1"/>
  <c r="A6063" i="1"/>
  <c r="A6062" i="1"/>
  <c r="A6061" i="1"/>
  <c r="A6060" i="1"/>
  <c r="A6059" i="1"/>
  <c r="A6058" i="1"/>
  <c r="A6057" i="1"/>
  <c r="A6056" i="1"/>
  <c r="A6055" i="1"/>
  <c r="A6054" i="1"/>
  <c r="A6053" i="1"/>
  <c r="A6052" i="1"/>
  <c r="A6051" i="1"/>
  <c r="A6050" i="1"/>
  <c r="A6049" i="1"/>
  <c r="A6048" i="1"/>
  <c r="A6047" i="1"/>
  <c r="A6046" i="1"/>
  <c r="A6045" i="1"/>
  <c r="A6044" i="1"/>
  <c r="A6043" i="1"/>
  <c r="A6042" i="1"/>
  <c r="A6041" i="1"/>
  <c r="A6040" i="1"/>
  <c r="A6039" i="1"/>
  <c r="A6038" i="1"/>
  <c r="A6037" i="1"/>
  <c r="A6036" i="1"/>
  <c r="A6035" i="1"/>
  <c r="A6034" i="1"/>
  <c r="A6033" i="1"/>
  <c r="A6032" i="1"/>
  <c r="A6031" i="1"/>
  <c r="A6030" i="1"/>
  <c r="A6029" i="1"/>
  <c r="A6028" i="1"/>
  <c r="A6027" i="1"/>
  <c r="A6026" i="1"/>
  <c r="A6025" i="1"/>
  <c r="A6024" i="1"/>
  <c r="A6023" i="1"/>
  <c r="A6022" i="1"/>
  <c r="A6021" i="1"/>
  <c r="A6020" i="1"/>
  <c r="A6019" i="1"/>
  <c r="A6018" i="1"/>
  <c r="A6017" i="1"/>
  <c r="A6016" i="1"/>
  <c r="A6015" i="1"/>
  <c r="A6014" i="1"/>
  <c r="A6013" i="1"/>
  <c r="A6012" i="1"/>
  <c r="A6011" i="1"/>
  <c r="A6010" i="1"/>
  <c r="A6009" i="1"/>
  <c r="A6008" i="1"/>
  <c r="A6007" i="1"/>
  <c r="A6006" i="1"/>
  <c r="A6005" i="1"/>
  <c r="A6004" i="1"/>
  <c r="A6003" i="1"/>
  <c r="A6002" i="1"/>
  <c r="A6001" i="1"/>
  <c r="A6000" i="1"/>
  <c r="A5999" i="1"/>
  <c r="A5998" i="1"/>
  <c r="A5997" i="1"/>
  <c r="A5996" i="1"/>
  <c r="A5995" i="1"/>
  <c r="A5994" i="1"/>
  <c r="A5993" i="1"/>
  <c r="A5992" i="1"/>
  <c r="A5991" i="1"/>
  <c r="A5990" i="1"/>
  <c r="A5989" i="1"/>
  <c r="A5988" i="1"/>
  <c r="A5987" i="1"/>
  <c r="A5986" i="1"/>
  <c r="A5985" i="1"/>
  <c r="A5984" i="1"/>
  <c r="A5983" i="1"/>
  <c r="A5982" i="1"/>
  <c r="A5981" i="1"/>
  <c r="A5980" i="1"/>
  <c r="A5979" i="1"/>
  <c r="A5978" i="1"/>
  <c r="A5977" i="1"/>
  <c r="A5976" i="1"/>
  <c r="A5975" i="1"/>
  <c r="A5974" i="1"/>
  <c r="A5973" i="1"/>
  <c r="A5972" i="1"/>
  <c r="A5971" i="1"/>
  <c r="A5970" i="1"/>
  <c r="A5969" i="1"/>
  <c r="A5968" i="1"/>
  <c r="A5967" i="1"/>
  <c r="A5966" i="1"/>
  <c r="A5965" i="1"/>
  <c r="A5964" i="1"/>
  <c r="A5963" i="1"/>
  <c r="A5962" i="1"/>
  <c r="A5961" i="1"/>
  <c r="A5960" i="1"/>
  <c r="A5959" i="1"/>
  <c r="A5958" i="1"/>
  <c r="A5957" i="1"/>
  <c r="A5956" i="1"/>
  <c r="A5955" i="1"/>
  <c r="A5954" i="1"/>
  <c r="A5953" i="1"/>
  <c r="A5952" i="1"/>
  <c r="A5951" i="1"/>
  <c r="A5950" i="1"/>
  <c r="A5949" i="1"/>
  <c r="A5948" i="1"/>
  <c r="A5947" i="1"/>
  <c r="A5946" i="1"/>
  <c r="A5945" i="1"/>
  <c r="A5944" i="1"/>
  <c r="A5943" i="1"/>
  <c r="A5942" i="1"/>
  <c r="A5941" i="1"/>
  <c r="A5940" i="1"/>
  <c r="A5939" i="1"/>
  <c r="A5938" i="1"/>
  <c r="A5937" i="1"/>
  <c r="A5936" i="1"/>
  <c r="A5935" i="1"/>
  <c r="A5934" i="1"/>
  <c r="A5933" i="1"/>
  <c r="A5932" i="1"/>
  <c r="A5931" i="1"/>
  <c r="A5930" i="1"/>
  <c r="A5929" i="1"/>
  <c r="A5928" i="1"/>
  <c r="A5927" i="1"/>
  <c r="A5926" i="1"/>
  <c r="A5925" i="1"/>
  <c r="A5924" i="1"/>
  <c r="A5923" i="1"/>
  <c r="A5922" i="1"/>
  <c r="A5921" i="1"/>
  <c r="A5920" i="1"/>
  <c r="A5919" i="1"/>
  <c r="A5918" i="1"/>
  <c r="A5917" i="1"/>
  <c r="A5916" i="1"/>
  <c r="A5915" i="1"/>
  <c r="A5914" i="1"/>
  <c r="A5913" i="1"/>
  <c r="A5912" i="1"/>
  <c r="A5911" i="1"/>
  <c r="A5910" i="1"/>
  <c r="A5909" i="1"/>
  <c r="A5908" i="1"/>
  <c r="A5907" i="1"/>
  <c r="A5906" i="1"/>
  <c r="A5905" i="1"/>
  <c r="A5904" i="1"/>
  <c r="A5903" i="1"/>
  <c r="A5902" i="1"/>
  <c r="A5901" i="1"/>
  <c r="A5900" i="1"/>
  <c r="A5899" i="1"/>
  <c r="A5898" i="1"/>
  <c r="A5897" i="1"/>
  <c r="A5896" i="1"/>
  <c r="A5895" i="1"/>
  <c r="A5894" i="1"/>
  <c r="A5893" i="1"/>
  <c r="A5892" i="1"/>
  <c r="A5891" i="1"/>
  <c r="A5890" i="1"/>
  <c r="A5889" i="1"/>
  <c r="A5888" i="1"/>
  <c r="A5887" i="1"/>
  <c r="A5886" i="1"/>
  <c r="A5885" i="1"/>
  <c r="A5884" i="1"/>
  <c r="A5883" i="1"/>
  <c r="A5882" i="1"/>
  <c r="A5881" i="1"/>
  <c r="A5880" i="1"/>
  <c r="A5879" i="1"/>
  <c r="A5878" i="1"/>
  <c r="A5877" i="1"/>
  <c r="A5876" i="1"/>
  <c r="A5875" i="1"/>
  <c r="A5874" i="1"/>
  <c r="A5873" i="1"/>
  <c r="A5872" i="1"/>
  <c r="A5871" i="1"/>
  <c r="A5870" i="1"/>
  <c r="A5869" i="1"/>
  <c r="A5868" i="1"/>
  <c r="A5867" i="1"/>
  <c r="A5866" i="1"/>
  <c r="A5865" i="1"/>
  <c r="A5864" i="1"/>
  <c r="A5863" i="1"/>
  <c r="A5862" i="1"/>
  <c r="A5861" i="1"/>
  <c r="A5860" i="1"/>
  <c r="A5859" i="1"/>
  <c r="A5858" i="1"/>
  <c r="A5857" i="1"/>
  <c r="A5856" i="1"/>
  <c r="A5855" i="1"/>
  <c r="A5854" i="1"/>
  <c r="A5853" i="1"/>
  <c r="A5852" i="1"/>
  <c r="A5851" i="1"/>
  <c r="A5850" i="1"/>
  <c r="A5849" i="1"/>
  <c r="A5848" i="1"/>
  <c r="A5847" i="1"/>
  <c r="A5846" i="1"/>
  <c r="A5845" i="1"/>
  <c r="A5844" i="1"/>
  <c r="A5843" i="1"/>
  <c r="A5842" i="1"/>
  <c r="A5841" i="1"/>
  <c r="A5840" i="1"/>
  <c r="A5839" i="1"/>
  <c r="A5836" i="1"/>
  <c r="A5835" i="1"/>
  <c r="A5834" i="1"/>
  <c r="A5833" i="1"/>
  <c r="A5832" i="1"/>
  <c r="A5831" i="1"/>
  <c r="A5830" i="1"/>
  <c r="A5829" i="1"/>
  <c r="A5828" i="1"/>
  <c r="A5827" i="1"/>
  <c r="A5826" i="1"/>
  <c r="A5825" i="1"/>
  <c r="A5824" i="1"/>
  <c r="A5823" i="1"/>
  <c r="A5822" i="1"/>
  <c r="A5821" i="1"/>
  <c r="A5820" i="1"/>
  <c r="A5819" i="1"/>
  <c r="A5818" i="1"/>
  <c r="A5817" i="1"/>
  <c r="A5816" i="1"/>
  <c r="A5815" i="1"/>
  <c r="A5814" i="1"/>
  <c r="A5813" i="1"/>
  <c r="A5812" i="1"/>
  <c r="A5811" i="1"/>
  <c r="A5810" i="1"/>
  <c r="A5809" i="1"/>
  <c r="A5808" i="1"/>
  <c r="A5807" i="1"/>
  <c r="A5806" i="1"/>
  <c r="A5805" i="1"/>
  <c r="A5804" i="1"/>
  <c r="A5803" i="1"/>
  <c r="A5802" i="1"/>
  <c r="A5801" i="1"/>
  <c r="A5800" i="1"/>
  <c r="A5799" i="1"/>
  <c r="A5798" i="1"/>
  <c r="A5797" i="1"/>
  <c r="A5796" i="1"/>
  <c r="A5795" i="1"/>
  <c r="A5794" i="1"/>
  <c r="A5793" i="1"/>
  <c r="A5792" i="1"/>
  <c r="A5791" i="1"/>
  <c r="A5790" i="1"/>
  <c r="A5789" i="1"/>
  <c r="A5788" i="1"/>
  <c r="A5787" i="1"/>
  <c r="A5786" i="1"/>
  <c r="A5785" i="1"/>
  <c r="A5784" i="1"/>
  <c r="A5783" i="1"/>
  <c r="A5782" i="1"/>
  <c r="A5781" i="1"/>
  <c r="A5780" i="1"/>
  <c r="A5779" i="1"/>
  <c r="A5778" i="1"/>
  <c r="A5777" i="1"/>
  <c r="A5776" i="1"/>
  <c r="A5775" i="1"/>
  <c r="A5774" i="1"/>
  <c r="A5773" i="1"/>
  <c r="A5772" i="1"/>
  <c r="A5771" i="1"/>
  <c r="A5770" i="1"/>
  <c r="A5769" i="1"/>
  <c r="A5768" i="1"/>
  <c r="A5767" i="1"/>
  <c r="A5766" i="1"/>
  <c r="A5765" i="1"/>
  <c r="A5764" i="1"/>
  <c r="A5763" i="1"/>
  <c r="A5762" i="1"/>
  <c r="A5761" i="1"/>
  <c r="A5760" i="1"/>
  <c r="A5759" i="1"/>
  <c r="A5758" i="1"/>
  <c r="A5757" i="1"/>
  <c r="A5756" i="1"/>
  <c r="A5755" i="1"/>
  <c r="A5754" i="1"/>
  <c r="A5753" i="1"/>
  <c r="A5752" i="1"/>
  <c r="A5751" i="1"/>
  <c r="A5750" i="1"/>
  <c r="A5749" i="1"/>
  <c r="A5748" i="1"/>
  <c r="A5747" i="1"/>
  <c r="A5746" i="1"/>
  <c r="A5745" i="1"/>
  <c r="A5744" i="1"/>
  <c r="A5743" i="1"/>
  <c r="A5742" i="1"/>
  <c r="A5741" i="1"/>
  <c r="A5740" i="1"/>
  <c r="A5739" i="1"/>
  <c r="A5738" i="1"/>
  <c r="A5737" i="1"/>
  <c r="A5736" i="1"/>
  <c r="A5735" i="1"/>
  <c r="A5734" i="1"/>
  <c r="A5733" i="1"/>
  <c r="A5732" i="1"/>
  <c r="A5731" i="1"/>
  <c r="A5730" i="1"/>
  <c r="A5729" i="1"/>
  <c r="A5728" i="1"/>
  <c r="A5727" i="1"/>
  <c r="A5726" i="1"/>
  <c r="A5725" i="1"/>
  <c r="A5724" i="1"/>
  <c r="A5723" i="1"/>
  <c r="A5722" i="1"/>
  <c r="A5721" i="1"/>
  <c r="A5720" i="1"/>
  <c r="A5719" i="1"/>
  <c r="A5718" i="1"/>
  <c r="A5717" i="1"/>
  <c r="A5716" i="1"/>
  <c r="A5715" i="1"/>
  <c r="A5714" i="1"/>
  <c r="A5713" i="1"/>
  <c r="A5712" i="1"/>
  <c r="A5711" i="1"/>
  <c r="A5710" i="1"/>
  <c r="A5709" i="1"/>
  <c r="A5708" i="1"/>
  <c r="A5707" i="1"/>
  <c r="A5706" i="1"/>
  <c r="A5705" i="1"/>
  <c r="A5704" i="1"/>
  <c r="A5703" i="1"/>
  <c r="A5702" i="1"/>
  <c r="A5701" i="1"/>
  <c r="A5700" i="1"/>
  <c r="A5699" i="1"/>
  <c r="A5698" i="1"/>
  <c r="A5697" i="1"/>
  <c r="A5696" i="1"/>
  <c r="A5695" i="1"/>
  <c r="A5694" i="1"/>
  <c r="A5693" i="1"/>
  <c r="A5692" i="1"/>
  <c r="A5691" i="1"/>
  <c r="A5690" i="1"/>
  <c r="A5689" i="1"/>
  <c r="A5688" i="1"/>
  <c r="A5687" i="1"/>
  <c r="A5686" i="1"/>
  <c r="A5685" i="1"/>
  <c r="A5684" i="1"/>
  <c r="A5683" i="1"/>
  <c r="A5682" i="1"/>
  <c r="A5681" i="1"/>
  <c r="A5680" i="1"/>
  <c r="A5679" i="1"/>
  <c r="A5678" i="1"/>
  <c r="A5677" i="1"/>
  <c r="A5676" i="1"/>
  <c r="A5675" i="1"/>
  <c r="A5674" i="1"/>
  <c r="A5673" i="1"/>
  <c r="A5672" i="1"/>
  <c r="A5671" i="1"/>
  <c r="A5670" i="1"/>
  <c r="A5669" i="1"/>
  <c r="A5668" i="1"/>
  <c r="A5667" i="1"/>
  <c r="A5666" i="1"/>
  <c r="A5665" i="1"/>
  <c r="A5664" i="1"/>
  <c r="A5663" i="1"/>
  <c r="A5662" i="1"/>
  <c r="A5661" i="1"/>
  <c r="A5660" i="1"/>
  <c r="A5659" i="1"/>
  <c r="A5653" i="1"/>
  <c r="A5652" i="1"/>
  <c r="A5651" i="1"/>
  <c r="A5650" i="1"/>
  <c r="A5649" i="1"/>
  <c r="A5648" i="1"/>
  <c r="A5646" i="1"/>
  <c r="A5645" i="1"/>
  <c r="A5644" i="1"/>
  <c r="A5643" i="1"/>
  <c r="A5642" i="1"/>
  <c r="A5641" i="1"/>
  <c r="A5640" i="1"/>
  <c r="A5639" i="1"/>
  <c r="A5638" i="1"/>
  <c r="A5637" i="1"/>
  <c r="A5636" i="1"/>
  <c r="A5635" i="1"/>
  <c r="A5634" i="1"/>
  <c r="A5633" i="1"/>
  <c r="A5632" i="1"/>
  <c r="A5631" i="1"/>
  <c r="A5630" i="1"/>
  <c r="A5629" i="1"/>
  <c r="A5628" i="1"/>
  <c r="A5627" i="1"/>
  <c r="A5626" i="1"/>
  <c r="A5625" i="1"/>
  <c r="A5624" i="1"/>
  <c r="A5623" i="1"/>
  <c r="A5622" i="1"/>
  <c r="A5621" i="1"/>
  <c r="A5620" i="1"/>
  <c r="A5619" i="1"/>
  <c r="A5618" i="1"/>
  <c r="A5617" i="1"/>
  <c r="A5616" i="1"/>
  <c r="A5615" i="1"/>
  <c r="A5614" i="1"/>
  <c r="A5613" i="1"/>
  <c r="A5612" i="1"/>
  <c r="A5611" i="1"/>
  <c r="A5610" i="1"/>
  <c r="A5609" i="1"/>
  <c r="A5608" i="1"/>
  <c r="A5607" i="1"/>
  <c r="A5606" i="1"/>
  <c r="A5605" i="1"/>
  <c r="A5604" i="1"/>
  <c r="A5603" i="1"/>
  <c r="A5602" i="1"/>
  <c r="A5601" i="1"/>
  <c r="A5600" i="1"/>
  <c r="A5599" i="1"/>
  <c r="A5598" i="1"/>
  <c r="A5597" i="1"/>
  <c r="A5596" i="1"/>
  <c r="A5595" i="1"/>
  <c r="A5594" i="1"/>
  <c r="A5593" i="1"/>
  <c r="A5592" i="1"/>
  <c r="A5591" i="1"/>
  <c r="A5590" i="1"/>
  <c r="A5589" i="1"/>
  <c r="A5588" i="1"/>
  <c r="A5587" i="1"/>
  <c r="A5586" i="1"/>
  <c r="A5585" i="1"/>
  <c r="A5584" i="1"/>
  <c r="A5583" i="1"/>
  <c r="A5582" i="1"/>
  <c r="A5581" i="1"/>
  <c r="A5580" i="1"/>
  <c r="A5579" i="1"/>
  <c r="A5578" i="1"/>
  <c r="A5577" i="1"/>
  <c r="A5576" i="1"/>
  <c r="A5575" i="1"/>
  <c r="A5574" i="1"/>
  <c r="A5573" i="1"/>
  <c r="A5572" i="1"/>
  <c r="A5571" i="1"/>
  <c r="A5570" i="1"/>
  <c r="A5569" i="1"/>
  <c r="A5568" i="1"/>
  <c r="A5567" i="1"/>
  <c r="A5566" i="1"/>
  <c r="A5565" i="1"/>
  <c r="A5564" i="1"/>
  <c r="A5563" i="1"/>
  <c r="A5562" i="1"/>
  <c r="A5561" i="1"/>
  <c r="A5560" i="1"/>
  <c r="A5559" i="1"/>
  <c r="A5558" i="1"/>
  <c r="A5557" i="1"/>
  <c r="A5556" i="1"/>
  <c r="A5555" i="1"/>
  <c r="A5554" i="1"/>
  <c r="A5553" i="1"/>
  <c r="A5552" i="1"/>
  <c r="A5551" i="1"/>
  <c r="A5550" i="1"/>
  <c r="A5549" i="1"/>
  <c r="A5548" i="1"/>
  <c r="A5547" i="1"/>
  <c r="A5546" i="1"/>
  <c r="A5545" i="1"/>
  <c r="A5544" i="1"/>
  <c r="A5543" i="1"/>
  <c r="A5542" i="1"/>
  <c r="A5541" i="1"/>
  <c r="A5540" i="1"/>
  <c r="A5539" i="1"/>
  <c r="A5538" i="1"/>
  <c r="A5537" i="1"/>
  <c r="A5536" i="1"/>
  <c r="A5535" i="1"/>
  <c r="A5534" i="1"/>
  <c r="A5533" i="1"/>
  <c r="A5532" i="1"/>
  <c r="A5531" i="1"/>
  <c r="A5530" i="1"/>
  <c r="A5529" i="1"/>
  <c r="A5528" i="1"/>
  <c r="A5527" i="1"/>
  <c r="A5526" i="1"/>
  <c r="A5525" i="1"/>
  <c r="A5524" i="1"/>
  <c r="A5523" i="1"/>
  <c r="A5522" i="1"/>
  <c r="A5521" i="1"/>
  <c r="A5520" i="1"/>
  <c r="A5519" i="1"/>
  <c r="A5518" i="1"/>
  <c r="A5517" i="1"/>
  <c r="A5516" i="1"/>
  <c r="A5515" i="1"/>
  <c r="A5514" i="1"/>
  <c r="A5513" i="1"/>
  <c r="A5512" i="1"/>
  <c r="A5511" i="1"/>
  <c r="A5510" i="1"/>
  <c r="A5509" i="1"/>
  <c r="A5508" i="1"/>
  <c r="A5507" i="1"/>
  <c r="A5506" i="1"/>
  <c r="A5505" i="1"/>
  <c r="A5504" i="1"/>
  <c r="A5503" i="1"/>
  <c r="A5502" i="1"/>
  <c r="A5501" i="1"/>
  <c r="A5500" i="1"/>
  <c r="A5499" i="1"/>
  <c r="A5498" i="1"/>
  <c r="A5497" i="1"/>
  <c r="A5496" i="1"/>
  <c r="A5495" i="1"/>
  <c r="A5494" i="1"/>
  <c r="A5493" i="1"/>
  <c r="A5492" i="1"/>
  <c r="A5491" i="1"/>
  <c r="A5490" i="1"/>
  <c r="A5489" i="1"/>
  <c r="A5488" i="1"/>
  <c r="A5487" i="1"/>
  <c r="A5486" i="1"/>
  <c r="A5485" i="1"/>
  <c r="A5484" i="1"/>
  <c r="A5483" i="1"/>
  <c r="A5482" i="1"/>
  <c r="A5481" i="1"/>
  <c r="A5480" i="1"/>
  <c r="A5479" i="1"/>
  <c r="A5478" i="1"/>
  <c r="A5477" i="1"/>
  <c r="A5476" i="1"/>
  <c r="A5475" i="1"/>
  <c r="A5474" i="1"/>
  <c r="A5473" i="1"/>
  <c r="A5472" i="1"/>
  <c r="A5471" i="1"/>
  <c r="A5470" i="1"/>
  <c r="A5469" i="1"/>
  <c r="A5468" i="1"/>
  <c r="A5467" i="1"/>
  <c r="A5466" i="1"/>
  <c r="A5465" i="1"/>
  <c r="A5464" i="1"/>
  <c r="A5463" i="1"/>
  <c r="A5462" i="1"/>
  <c r="A5461" i="1"/>
  <c r="A5460" i="1"/>
  <c r="A5459" i="1"/>
  <c r="A5458" i="1"/>
  <c r="A5457" i="1"/>
  <c r="A5456" i="1"/>
  <c r="A5455" i="1"/>
  <c r="A5454" i="1"/>
  <c r="A5453" i="1"/>
  <c r="A5452" i="1"/>
  <c r="A5451" i="1"/>
  <c r="A5450" i="1"/>
  <c r="A5449" i="1"/>
  <c r="A5448" i="1"/>
  <c r="A5447" i="1"/>
  <c r="A5446" i="1"/>
  <c r="A5445" i="1"/>
  <c r="A5444" i="1"/>
  <c r="A5443" i="1"/>
  <c r="A5442" i="1"/>
  <c r="A5441" i="1"/>
  <c r="A5440" i="1"/>
  <c r="A5439" i="1"/>
  <c r="A5438" i="1"/>
  <c r="A5437" i="1"/>
  <c r="A5436" i="1"/>
  <c r="A5435" i="1"/>
  <c r="A5434" i="1"/>
  <c r="A5433" i="1"/>
  <c r="A5432" i="1"/>
  <c r="A5431" i="1"/>
  <c r="A5430" i="1"/>
  <c r="A5429" i="1"/>
  <c r="A5428" i="1"/>
  <c r="A5427" i="1"/>
  <c r="A5426" i="1"/>
  <c r="A5425" i="1"/>
  <c r="A5424" i="1"/>
  <c r="A5423" i="1"/>
  <c r="A5422" i="1"/>
  <c r="A5421" i="1"/>
  <c r="A5420" i="1"/>
  <c r="A5419" i="1"/>
  <c r="A5418" i="1"/>
  <c r="A5417" i="1"/>
  <c r="A5416" i="1"/>
  <c r="A5415" i="1"/>
  <c r="A5414" i="1"/>
  <c r="A5413" i="1"/>
  <c r="A5412" i="1"/>
  <c r="A5411" i="1"/>
  <c r="A5410" i="1"/>
  <c r="A5409" i="1"/>
  <c r="A5408" i="1"/>
  <c r="A5407" i="1"/>
  <c r="A5406" i="1"/>
  <c r="A5405" i="1"/>
  <c r="A5404" i="1"/>
  <c r="A5403" i="1"/>
  <c r="A5402" i="1"/>
  <c r="A5401" i="1"/>
  <c r="A5400" i="1"/>
  <c r="A5399" i="1"/>
  <c r="A5398" i="1"/>
  <c r="A5397" i="1"/>
  <c r="A5396" i="1"/>
  <c r="A5395" i="1"/>
  <c r="A5394" i="1"/>
  <c r="A5393" i="1"/>
  <c r="A5392" i="1"/>
  <c r="A5391" i="1"/>
  <c r="A5390" i="1"/>
  <c r="A5389" i="1"/>
  <c r="A5388" i="1"/>
  <c r="A5387" i="1"/>
  <c r="A5386" i="1"/>
  <c r="A5385" i="1"/>
  <c r="A5384" i="1"/>
  <c r="A5383" i="1"/>
  <c r="A5382" i="1"/>
  <c r="A5381" i="1"/>
  <c r="A5380" i="1"/>
  <c r="A5379" i="1"/>
  <c r="A5378" i="1"/>
  <c r="A5377" i="1"/>
  <c r="A5376" i="1"/>
  <c r="A5375" i="1"/>
  <c r="A5374" i="1"/>
  <c r="A5373" i="1"/>
  <c r="A5372" i="1"/>
  <c r="A5371" i="1"/>
  <c r="A5370" i="1"/>
  <c r="A5369" i="1"/>
  <c r="A5368" i="1"/>
  <c r="A5367" i="1"/>
  <c r="A5366" i="1"/>
  <c r="A5365" i="1"/>
  <c r="A5364" i="1"/>
  <c r="A5363" i="1"/>
  <c r="A5362" i="1"/>
  <c r="A5361" i="1"/>
  <c r="A5360" i="1"/>
  <c r="A5359" i="1"/>
  <c r="A5358" i="1"/>
  <c r="A5357" i="1"/>
  <c r="A5356" i="1"/>
  <c r="A5355" i="1"/>
  <c r="A5354" i="1"/>
  <c r="A5353" i="1"/>
  <c r="A5352" i="1"/>
  <c r="A5351" i="1"/>
  <c r="A5350" i="1"/>
  <c r="A5349" i="1"/>
  <c r="A5348" i="1"/>
  <c r="A5347" i="1"/>
  <c r="A5346" i="1"/>
  <c r="A5345" i="1"/>
  <c r="A5344" i="1"/>
  <c r="A5343" i="1"/>
  <c r="A5342" i="1"/>
  <c r="A5341" i="1"/>
  <c r="A5340" i="1"/>
  <c r="A5339" i="1"/>
  <c r="A5338" i="1"/>
  <c r="A5337" i="1"/>
  <c r="A5336" i="1"/>
  <c r="A5335" i="1"/>
  <c r="A5334" i="1"/>
  <c r="A5333" i="1"/>
  <c r="A5332" i="1"/>
  <c r="A5331" i="1"/>
  <c r="A5330" i="1"/>
  <c r="A5329" i="1"/>
  <c r="A5328" i="1"/>
  <c r="A5327" i="1"/>
  <c r="A5326" i="1"/>
  <c r="A5325" i="1"/>
  <c r="A5324" i="1"/>
  <c r="A5323" i="1"/>
  <c r="A5322" i="1"/>
  <c r="A5321" i="1"/>
  <c r="A5320" i="1"/>
  <c r="A5319" i="1"/>
  <c r="A5318" i="1"/>
  <c r="A5317" i="1"/>
  <c r="A5316" i="1"/>
  <c r="A5315" i="1"/>
  <c r="A5314" i="1"/>
  <c r="A5313" i="1"/>
  <c r="A5312" i="1"/>
  <c r="A5311" i="1"/>
  <c r="A5310" i="1"/>
  <c r="A5309" i="1"/>
  <c r="A5308" i="1"/>
  <c r="A5307" i="1"/>
  <c r="A5306" i="1"/>
  <c r="A5305" i="1"/>
  <c r="A5304" i="1"/>
  <c r="A5303" i="1"/>
  <c r="A5302" i="1"/>
  <c r="A5301" i="1"/>
  <c r="A5300" i="1"/>
  <c r="A5299" i="1"/>
  <c r="A5298" i="1"/>
  <c r="A5297" i="1"/>
  <c r="A5296" i="1"/>
  <c r="A5295" i="1"/>
  <c r="A5294" i="1"/>
  <c r="A5144" i="1"/>
  <c r="A5143" i="1"/>
  <c r="A5142" i="1"/>
  <c r="A5141" i="1"/>
  <c r="A5140" i="1"/>
  <c r="A5139" i="1"/>
  <c r="A5138" i="1"/>
  <c r="A5137" i="1"/>
  <c r="A5136" i="1"/>
  <c r="A5135" i="1"/>
  <c r="A5134" i="1"/>
  <c r="A5133" i="1"/>
  <c r="A5132" i="1"/>
  <c r="A5131" i="1"/>
  <c r="A5130" i="1"/>
  <c r="A5129" i="1"/>
  <c r="A5128" i="1"/>
  <c r="A5127" i="1"/>
  <c r="A5126" i="1"/>
  <c r="A5125" i="1"/>
  <c r="A5124" i="1"/>
  <c r="A5123" i="1"/>
  <c r="A5122" i="1"/>
  <c r="A5121" i="1"/>
  <c r="A5120" i="1"/>
  <c r="A5119" i="1"/>
  <c r="A5118" i="1"/>
  <c r="A5117" i="1"/>
  <c r="A5116" i="1"/>
  <c r="A5115" i="1"/>
  <c r="A5114" i="1"/>
  <c r="A5113" i="1"/>
  <c r="A5112" i="1"/>
  <c r="A5111" i="1"/>
  <c r="A5110" i="1"/>
  <c r="A5109" i="1"/>
  <c r="A5108" i="1"/>
  <c r="A5107" i="1"/>
  <c r="A5106" i="1"/>
  <c r="A5105" i="1"/>
  <c r="A5104" i="1"/>
  <c r="A5103" i="1"/>
  <c r="A5102" i="1"/>
  <c r="A5101" i="1"/>
  <c r="A5100" i="1"/>
  <c r="A5099" i="1"/>
  <c r="A5098" i="1"/>
  <c r="A5097" i="1"/>
  <c r="A5096" i="1"/>
  <c r="A5095" i="1"/>
  <c r="A5094" i="1"/>
  <c r="A5093" i="1"/>
  <c r="A5092" i="1"/>
  <c r="A5091" i="1"/>
  <c r="A5090" i="1"/>
  <c r="A5089" i="1"/>
  <c r="A5088" i="1"/>
  <c r="A5087" i="1"/>
  <c r="A5086" i="1"/>
  <c r="A5085" i="1"/>
  <c r="A5084" i="1"/>
  <c r="A5083" i="1"/>
  <c r="A5082" i="1"/>
  <c r="A5081" i="1"/>
  <c r="A5080" i="1"/>
  <c r="A5079" i="1"/>
  <c r="A5078" i="1"/>
  <c r="A5077" i="1"/>
  <c r="A5076" i="1"/>
  <c r="A5075" i="1"/>
  <c r="A5074" i="1"/>
  <c r="A5073" i="1"/>
  <c r="A5072" i="1"/>
  <c r="A5071" i="1"/>
  <c r="A5070" i="1"/>
  <c r="A5069" i="1"/>
  <c r="A5068" i="1"/>
  <c r="A5067" i="1"/>
  <c r="A5066" i="1"/>
  <c r="A5065" i="1"/>
  <c r="A5064" i="1"/>
  <c r="A5063" i="1"/>
  <c r="A5062" i="1"/>
  <c r="A5061" i="1"/>
  <c r="A5060" i="1"/>
  <c r="A5059" i="1"/>
  <c r="A5058" i="1"/>
  <c r="A5057" i="1"/>
  <c r="A5056" i="1"/>
  <c r="A5055" i="1"/>
  <c r="A5054" i="1"/>
  <c r="A5053" i="1"/>
  <c r="A5052" i="1"/>
  <c r="A5051" i="1"/>
  <c r="A5050" i="1"/>
  <c r="A5049" i="1"/>
  <c r="A5048" i="1"/>
  <c r="A5047" i="1"/>
  <c r="A5046" i="1"/>
  <c r="A5045" i="1"/>
  <c r="A5044" i="1"/>
  <c r="A5043" i="1"/>
  <c r="A5042" i="1"/>
  <c r="A5041" i="1"/>
  <c r="A5040" i="1"/>
  <c r="A5039" i="1"/>
  <c r="A5038" i="1"/>
  <c r="A5037" i="1"/>
  <c r="A5036" i="1"/>
  <c r="A5035" i="1"/>
  <c r="A5034" i="1"/>
  <c r="A5033" i="1"/>
  <c r="A5032" i="1"/>
  <c r="A5031" i="1"/>
  <c r="A5030" i="1"/>
  <c r="A5029" i="1"/>
  <c r="A5028" i="1"/>
  <c r="A5027" i="1"/>
  <c r="A5026" i="1"/>
  <c r="A5025" i="1"/>
  <c r="A5024" i="1"/>
  <c r="A5023" i="1"/>
  <c r="A5022" i="1"/>
  <c r="A5021" i="1"/>
  <c r="A5020" i="1"/>
  <c r="A5019" i="1"/>
  <c r="A5018" i="1"/>
  <c r="A5017" i="1"/>
  <c r="A5016" i="1"/>
  <c r="A5015" i="1"/>
  <c r="A5014" i="1"/>
  <c r="A5013" i="1"/>
  <c r="A5012" i="1"/>
  <c r="A5011" i="1"/>
  <c r="A5010" i="1"/>
  <c r="A5009" i="1"/>
  <c r="A5008" i="1"/>
  <c r="A5007" i="1"/>
  <c r="A5006" i="1"/>
  <c r="A5005" i="1"/>
  <c r="A5004" i="1"/>
  <c r="A5003" i="1"/>
  <c r="A5002" i="1"/>
  <c r="A5001" i="1"/>
  <c r="A5000" i="1"/>
  <c r="A4999" i="1"/>
  <c r="A4998" i="1"/>
  <c r="A4997" i="1"/>
  <c r="A4996" i="1"/>
  <c r="A4995" i="1"/>
  <c r="A4994" i="1"/>
  <c r="A4993" i="1"/>
  <c r="A4992" i="1"/>
  <c r="A4991" i="1"/>
  <c r="A4990" i="1"/>
  <c r="A4989" i="1"/>
  <c r="A4988" i="1"/>
  <c r="A4987" i="1"/>
  <c r="A4986" i="1"/>
  <c r="A4985" i="1"/>
  <c r="A4984" i="1"/>
  <c r="A4983" i="1"/>
  <c r="A4982" i="1"/>
  <c r="A4981" i="1"/>
  <c r="A4980" i="1"/>
  <c r="A4979" i="1"/>
  <c r="A4978" i="1"/>
  <c r="A4977" i="1"/>
  <c r="A4976" i="1"/>
  <c r="A4975" i="1"/>
  <c r="A4974" i="1"/>
  <c r="A4973" i="1"/>
  <c r="A4972" i="1"/>
  <c r="A4971" i="1"/>
  <c r="A4970" i="1"/>
  <c r="A4969" i="1"/>
  <c r="A4968" i="1"/>
  <c r="A4967" i="1"/>
  <c r="A4966" i="1"/>
  <c r="A4965" i="1"/>
  <c r="A4964" i="1"/>
  <c r="A4963" i="1"/>
  <c r="A4962" i="1"/>
  <c r="A4961" i="1"/>
  <c r="A4960" i="1"/>
  <c r="A4959" i="1"/>
  <c r="A4958" i="1"/>
  <c r="A4957" i="1"/>
  <c r="A4956" i="1"/>
  <c r="A4955" i="1"/>
  <c r="A4954" i="1"/>
  <c r="A4953" i="1"/>
  <c r="A4952" i="1"/>
  <c r="A4951" i="1"/>
  <c r="A4950" i="1"/>
  <c r="A4949" i="1"/>
  <c r="A4948" i="1"/>
  <c r="A4947" i="1"/>
  <c r="A4946" i="1"/>
  <c r="A4945" i="1"/>
  <c r="A4944" i="1"/>
  <c r="A4943" i="1"/>
  <c r="A4942" i="1"/>
  <c r="A4941" i="1"/>
  <c r="A4940" i="1"/>
  <c r="A4939" i="1"/>
  <c r="A4938" i="1"/>
  <c r="A4937" i="1"/>
  <c r="A4936" i="1"/>
  <c r="A4935" i="1"/>
  <c r="A4934" i="1"/>
  <c r="A4933" i="1"/>
  <c r="A4932" i="1"/>
  <c r="A4931" i="1"/>
  <c r="A4930" i="1"/>
  <c r="A4929" i="1"/>
  <c r="A4928" i="1"/>
  <c r="A4927" i="1"/>
  <c r="A4926" i="1"/>
  <c r="A4925" i="1"/>
  <c r="A4924" i="1"/>
  <c r="A4923" i="1"/>
  <c r="A4922" i="1"/>
  <c r="A4921" i="1"/>
  <c r="A4920" i="1"/>
  <c r="A4919" i="1"/>
  <c r="A4918" i="1"/>
  <c r="A4917" i="1"/>
  <c r="A4916" i="1"/>
  <c r="A4915" i="1"/>
  <c r="A4914" i="1"/>
  <c r="A4913" i="1"/>
  <c r="A4912" i="1"/>
  <c r="A4911" i="1"/>
  <c r="A4910" i="1"/>
  <c r="A4909" i="1"/>
  <c r="A4908" i="1"/>
  <c r="A4907" i="1"/>
  <c r="A4906" i="1"/>
  <c r="A4905" i="1"/>
  <c r="A4904" i="1"/>
  <c r="A4903" i="1"/>
  <c r="A4902" i="1"/>
  <c r="A4901" i="1"/>
  <c r="A4900" i="1"/>
  <c r="A4899" i="1"/>
  <c r="A4898" i="1"/>
  <c r="A4897" i="1"/>
  <c r="A4896" i="1"/>
  <c r="A4895" i="1"/>
  <c r="A4894" i="1"/>
  <c r="A4893" i="1"/>
  <c r="A4892" i="1"/>
  <c r="A4891" i="1"/>
  <c r="A4890" i="1"/>
  <c r="A4889" i="1"/>
  <c r="A4888" i="1"/>
  <c r="A4887" i="1"/>
  <c r="A4886" i="1"/>
  <c r="A4885" i="1"/>
  <c r="A4884" i="1"/>
  <c r="A4883" i="1"/>
  <c r="A4882" i="1"/>
  <c r="A4881" i="1"/>
  <c r="A4880" i="1"/>
  <c r="A4879" i="1"/>
  <c r="A4878" i="1"/>
  <c r="A4877" i="1"/>
  <c r="A4876" i="1"/>
  <c r="A4875" i="1"/>
  <c r="A4874" i="1"/>
  <c r="A4873" i="1"/>
  <c r="A4872" i="1"/>
  <c r="A4871" i="1"/>
  <c r="A4870" i="1"/>
  <c r="A4869" i="1"/>
  <c r="A4868" i="1"/>
  <c r="A4867" i="1"/>
  <c r="A4866" i="1"/>
  <c r="A4865" i="1"/>
  <c r="A4864" i="1"/>
  <c r="A4863" i="1"/>
  <c r="A4862" i="1"/>
  <c r="A4861" i="1"/>
  <c r="A4860" i="1"/>
  <c r="A4859" i="1"/>
  <c r="A4858" i="1"/>
  <c r="A4857" i="1"/>
  <c r="A4856" i="1"/>
  <c r="A4855" i="1"/>
  <c r="A4854" i="1"/>
  <c r="A4853" i="1"/>
  <c r="A4852" i="1"/>
  <c r="A4851" i="1"/>
  <c r="A4850" i="1"/>
  <c r="A4849" i="1"/>
  <c r="A4848" i="1"/>
  <c r="A4847" i="1"/>
  <c r="A4846" i="1"/>
  <c r="A4845" i="1"/>
  <c r="A4844" i="1"/>
  <c r="A4843" i="1"/>
  <c r="A4842" i="1"/>
  <c r="A4841" i="1"/>
  <c r="A4840" i="1"/>
  <c r="A4839" i="1"/>
  <c r="A4838" i="1"/>
  <c r="A4837" i="1"/>
  <c r="A4836" i="1"/>
  <c r="A4835" i="1"/>
  <c r="A4834" i="1"/>
  <c r="A4833" i="1"/>
  <c r="A4832" i="1"/>
  <c r="A4831" i="1"/>
  <c r="A4830" i="1"/>
  <c r="A4829" i="1"/>
  <c r="A4828" i="1"/>
  <c r="A4827" i="1"/>
  <c r="A4826" i="1"/>
  <c r="A4825" i="1"/>
  <c r="A4824" i="1"/>
  <c r="A4823" i="1"/>
  <c r="A4822" i="1"/>
  <c r="A4821" i="1"/>
  <c r="A4820" i="1"/>
  <c r="A4819" i="1"/>
  <c r="A4818" i="1"/>
  <c r="A4817" i="1"/>
  <c r="A4816" i="1"/>
  <c r="A4815" i="1"/>
  <c r="A4814" i="1"/>
  <c r="A4813" i="1"/>
  <c r="A4812" i="1"/>
  <c r="A4811" i="1"/>
  <c r="A4810" i="1"/>
  <c r="A4809" i="1"/>
  <c r="A4808" i="1"/>
  <c r="A4807" i="1"/>
  <c r="A4806" i="1"/>
  <c r="A4805" i="1"/>
  <c r="A4804" i="1"/>
  <c r="A4803" i="1"/>
  <c r="A4802" i="1"/>
  <c r="A4801" i="1"/>
  <c r="A4800" i="1"/>
  <c r="A4799" i="1"/>
  <c r="A4798" i="1"/>
  <c r="A4797" i="1"/>
  <c r="A4796" i="1"/>
  <c r="A4795" i="1"/>
  <c r="A4794" i="1"/>
  <c r="A4793" i="1"/>
  <c r="A4792" i="1"/>
  <c r="A4791" i="1"/>
  <c r="A4790" i="1"/>
  <c r="A4789" i="1"/>
  <c r="A4788" i="1"/>
  <c r="A4787" i="1"/>
  <c r="A4786" i="1"/>
  <c r="A4785" i="1"/>
  <c r="A4784" i="1"/>
  <c r="A4783" i="1"/>
  <c r="A4782" i="1"/>
  <c r="A4781" i="1"/>
  <c r="A4780" i="1"/>
  <c r="A4779" i="1"/>
  <c r="A4778" i="1"/>
  <c r="A4777" i="1"/>
  <c r="A4776" i="1"/>
  <c r="A4775" i="1"/>
  <c r="A4774" i="1"/>
  <c r="A4773" i="1"/>
  <c r="A4772" i="1"/>
  <c r="A4771" i="1"/>
  <c r="A4770" i="1"/>
  <c r="A4769" i="1"/>
  <c r="A4768" i="1"/>
  <c r="A4767" i="1"/>
  <c r="A4766" i="1"/>
  <c r="A4765" i="1"/>
  <c r="A4764" i="1"/>
  <c r="A4763" i="1"/>
  <c r="A4762" i="1"/>
  <c r="A4761" i="1"/>
  <c r="A4760" i="1"/>
  <c r="A4759" i="1"/>
  <c r="A4758" i="1"/>
  <c r="A4757" i="1"/>
  <c r="A4756" i="1"/>
  <c r="A4755" i="1"/>
  <c r="A4754" i="1"/>
  <c r="A4753" i="1"/>
  <c r="A4752" i="1"/>
  <c r="A4751" i="1"/>
  <c r="A4750" i="1"/>
  <c r="A4749" i="1"/>
  <c r="A4748" i="1"/>
  <c r="A4747" i="1"/>
  <c r="A4746" i="1"/>
  <c r="A4745" i="1"/>
  <c r="A4744" i="1"/>
  <c r="A4743" i="1"/>
  <c r="A4742" i="1"/>
  <c r="A4741" i="1"/>
  <c r="A4740" i="1"/>
  <c r="A4739" i="1"/>
  <c r="A4738" i="1"/>
  <c r="A4737" i="1"/>
  <c r="A4736" i="1"/>
  <c r="A4735" i="1"/>
  <c r="A4734" i="1"/>
  <c r="A4733" i="1"/>
  <c r="A4732" i="1"/>
  <c r="A4731" i="1"/>
  <c r="A4730" i="1"/>
  <c r="A4729" i="1"/>
  <c r="A4728" i="1"/>
  <c r="A4727" i="1"/>
  <c r="A4726" i="1"/>
  <c r="A4725" i="1"/>
  <c r="A4724" i="1"/>
  <c r="A4723" i="1"/>
  <c r="A4722" i="1"/>
  <c r="A4721" i="1"/>
  <c r="A4720" i="1"/>
  <c r="A4719" i="1"/>
  <c r="A4718" i="1"/>
  <c r="A4717" i="1"/>
  <c r="A4716" i="1"/>
  <c r="A4715" i="1"/>
  <c r="A4714" i="1"/>
  <c r="A4713" i="1"/>
  <c r="A4712" i="1"/>
  <c r="A4711" i="1"/>
  <c r="A4710" i="1"/>
  <c r="A4709" i="1"/>
  <c r="A4708" i="1"/>
  <c r="A4707" i="1"/>
  <c r="A4706" i="1"/>
  <c r="A4705" i="1"/>
  <c r="A4704" i="1"/>
  <c r="A4703" i="1"/>
  <c r="A4702" i="1"/>
  <c r="A4701" i="1"/>
  <c r="A4700" i="1"/>
  <c r="A4699" i="1"/>
  <c r="A4698" i="1"/>
  <c r="A4697" i="1"/>
  <c r="A4696" i="1"/>
  <c r="A4695" i="1"/>
  <c r="A4694" i="1"/>
  <c r="A4693" i="1"/>
  <c r="A4692" i="1"/>
  <c r="A4691" i="1"/>
  <c r="A4690" i="1"/>
  <c r="A4689" i="1"/>
  <c r="A4688" i="1"/>
  <c r="A4687" i="1"/>
  <c r="A4686" i="1"/>
  <c r="A4685" i="1"/>
  <c r="A4684" i="1"/>
  <c r="A4683" i="1"/>
  <c r="A4682" i="1"/>
  <c r="A4681" i="1"/>
  <c r="A4680" i="1"/>
  <c r="A4679" i="1"/>
  <c r="A4678" i="1"/>
  <c r="A4677" i="1"/>
  <c r="A4676" i="1"/>
  <c r="A4675" i="1"/>
  <c r="A4674" i="1"/>
  <c r="A4673" i="1"/>
  <c r="A4672" i="1"/>
  <c r="A4671" i="1"/>
  <c r="A4670" i="1"/>
  <c r="A4669" i="1"/>
  <c r="A4668" i="1"/>
  <c r="A4667" i="1"/>
  <c r="A4666" i="1"/>
  <c r="A4665" i="1"/>
  <c r="A4664" i="1"/>
  <c r="A4663" i="1"/>
  <c r="A4662" i="1"/>
  <c r="A4661" i="1"/>
  <c r="A4660" i="1"/>
  <c r="A4659" i="1"/>
  <c r="A4658" i="1"/>
  <c r="A4657" i="1"/>
  <c r="A4656" i="1"/>
  <c r="A4655" i="1"/>
  <c r="A4654" i="1"/>
  <c r="A4653" i="1"/>
  <c r="A4652" i="1"/>
  <c r="A4651" i="1"/>
  <c r="A4650" i="1"/>
  <c r="A4649" i="1"/>
  <c r="A4648" i="1"/>
  <c r="A4647" i="1"/>
  <c r="A4646" i="1"/>
  <c r="A4645" i="1"/>
  <c r="A4644" i="1"/>
  <c r="A4643" i="1"/>
  <c r="A4642" i="1"/>
  <c r="A4641" i="1"/>
  <c r="A4640" i="1"/>
  <c r="A4639" i="1"/>
  <c r="A4638" i="1"/>
  <c r="A4637" i="1"/>
  <c r="A4636" i="1"/>
  <c r="A4635" i="1"/>
  <c r="A4634" i="1"/>
  <c r="A4633" i="1"/>
  <c r="A4632" i="1"/>
  <c r="A4631" i="1"/>
  <c r="A4630" i="1"/>
  <c r="A4629" i="1"/>
  <c r="A4628" i="1"/>
  <c r="A4627" i="1"/>
  <c r="A4626" i="1"/>
  <c r="A4625" i="1"/>
  <c r="A4624" i="1"/>
  <c r="A4623" i="1"/>
  <c r="A4622" i="1"/>
  <c r="A4621" i="1"/>
  <c r="A4620" i="1"/>
  <c r="A4619" i="1"/>
  <c r="A4618" i="1"/>
  <c r="A4617" i="1"/>
  <c r="A4616" i="1"/>
  <c r="A4615" i="1"/>
  <c r="A4614" i="1"/>
  <c r="A4613" i="1"/>
  <c r="A4612" i="1"/>
  <c r="A4611" i="1"/>
  <c r="A4610" i="1"/>
  <c r="A4609" i="1"/>
  <c r="A4608" i="1"/>
  <c r="A4607" i="1"/>
  <c r="A4606" i="1"/>
  <c r="A4605" i="1"/>
  <c r="A4604" i="1"/>
  <c r="A4603" i="1"/>
  <c r="A4602" i="1"/>
  <c r="A4601" i="1"/>
  <c r="A4600" i="1"/>
  <c r="A4599" i="1"/>
  <c r="A4598" i="1"/>
  <c r="A4597" i="1"/>
  <c r="A4596" i="1"/>
  <c r="A4595" i="1"/>
  <c r="A4594" i="1"/>
  <c r="A4593" i="1"/>
  <c r="A4592" i="1"/>
  <c r="A4591" i="1"/>
  <c r="A4590" i="1"/>
  <c r="A4589" i="1"/>
  <c r="A4588" i="1"/>
  <c r="A4587" i="1"/>
  <c r="A4586" i="1"/>
  <c r="A4585" i="1"/>
  <c r="A4584" i="1"/>
  <c r="A4583" i="1"/>
  <c r="A4582" i="1"/>
  <c r="A4581" i="1"/>
  <c r="A4580" i="1"/>
  <c r="A4579" i="1"/>
  <c r="A4578" i="1"/>
  <c r="A4577" i="1"/>
  <c r="A4576" i="1"/>
  <c r="A4575" i="1"/>
  <c r="A4574" i="1"/>
  <c r="A4573" i="1"/>
  <c r="A4572" i="1"/>
  <c r="A4571" i="1"/>
  <c r="A4570" i="1"/>
  <c r="A4569" i="1"/>
  <c r="A4568" i="1"/>
  <c r="A4567" i="1"/>
  <c r="A4566" i="1"/>
  <c r="A4565" i="1"/>
  <c r="A4564" i="1"/>
  <c r="A4563" i="1"/>
  <c r="A4562" i="1"/>
  <c r="A4561" i="1"/>
  <c r="A4560" i="1"/>
  <c r="A4559" i="1"/>
  <c r="A4558" i="1"/>
  <c r="A4557" i="1"/>
  <c r="A4556" i="1"/>
  <c r="A4555" i="1"/>
  <c r="A4554" i="1"/>
  <c r="A4553" i="1"/>
  <c r="A4552" i="1"/>
  <c r="A4551" i="1"/>
  <c r="A4550" i="1"/>
  <c r="A4549" i="1"/>
  <c r="A4548" i="1"/>
  <c r="A4547" i="1"/>
  <c r="A4546" i="1"/>
  <c r="A4545" i="1"/>
  <c r="A4544" i="1"/>
  <c r="A4543" i="1"/>
  <c r="A4542" i="1"/>
  <c r="A4541" i="1"/>
  <c r="A4540" i="1"/>
  <c r="A4539" i="1"/>
  <c r="A4538" i="1"/>
  <c r="A4537" i="1"/>
  <c r="A4536" i="1"/>
  <c r="A4535" i="1"/>
  <c r="A4534" i="1"/>
  <c r="A4533" i="1"/>
  <c r="A4532" i="1"/>
  <c r="A4531" i="1"/>
  <c r="A4530" i="1"/>
  <c r="A4529" i="1"/>
  <c r="A4528" i="1"/>
  <c r="A4527" i="1"/>
  <c r="A4526" i="1"/>
  <c r="A4525" i="1"/>
  <c r="A4524" i="1"/>
  <c r="A4523" i="1"/>
  <c r="A4522" i="1"/>
  <c r="A4521" i="1"/>
  <c r="A4520" i="1"/>
  <c r="A4519" i="1"/>
  <c r="A4518" i="1"/>
  <c r="A4517" i="1"/>
  <c r="A4516" i="1"/>
  <c r="A4515" i="1"/>
  <c r="A4514" i="1"/>
  <c r="A4513" i="1"/>
  <c r="A4512" i="1"/>
  <c r="A4511" i="1"/>
  <c r="A4510" i="1"/>
  <c r="A4509" i="1"/>
  <c r="A4508" i="1"/>
  <c r="A4507" i="1"/>
  <c r="A4506" i="1"/>
  <c r="A4505" i="1"/>
  <c r="A4504" i="1"/>
  <c r="A4503" i="1"/>
  <c r="A4502" i="1"/>
  <c r="A4501" i="1"/>
  <c r="A4500" i="1"/>
  <c r="A4499" i="1"/>
  <c r="A4498" i="1"/>
  <c r="A4497" i="1"/>
  <c r="A4496" i="1"/>
  <c r="A4495" i="1"/>
  <c r="A4494" i="1"/>
  <c r="A4493" i="1"/>
  <c r="A4492" i="1"/>
  <c r="A4491" i="1"/>
  <c r="A4490" i="1"/>
  <c r="A4489" i="1"/>
  <c r="A4488" i="1"/>
  <c r="A4487" i="1"/>
  <c r="A4486" i="1"/>
  <c r="A4485" i="1"/>
  <c r="A4484" i="1"/>
  <c r="A4483" i="1"/>
  <c r="A4482" i="1"/>
  <c r="A4481" i="1"/>
  <c r="A4480" i="1"/>
  <c r="A4479" i="1"/>
  <c r="A4478" i="1"/>
  <c r="A4477" i="1"/>
  <c r="A4476" i="1"/>
  <c r="A4475" i="1"/>
  <c r="A4474" i="1"/>
  <c r="A4473" i="1"/>
  <c r="A4472" i="1"/>
  <c r="A4471" i="1"/>
  <c r="A4470" i="1"/>
  <c r="A4469" i="1"/>
  <c r="A4468" i="1"/>
  <c r="A4467" i="1"/>
  <c r="A4466" i="1"/>
  <c r="A4465" i="1"/>
  <c r="A4464" i="1"/>
  <c r="A4463" i="1"/>
  <c r="A4462" i="1"/>
  <c r="A4461" i="1"/>
  <c r="A4460" i="1"/>
  <c r="A4459" i="1"/>
  <c r="A4458" i="1"/>
  <c r="A4457" i="1"/>
  <c r="A4456" i="1"/>
  <c r="A4455" i="1"/>
  <c r="A4454" i="1"/>
  <c r="A4453" i="1"/>
  <c r="A4452" i="1"/>
  <c r="A4451" i="1"/>
  <c r="A4450" i="1"/>
  <c r="A4449" i="1"/>
  <c r="A4448" i="1"/>
  <c r="A4447" i="1"/>
  <c r="A4446" i="1"/>
  <c r="A4445" i="1"/>
  <c r="A4444" i="1"/>
  <c r="A4443" i="1"/>
  <c r="A4442" i="1"/>
  <c r="A4441" i="1"/>
  <c r="A4440" i="1"/>
  <c r="A4439" i="1"/>
  <c r="A4438" i="1"/>
  <c r="A4437" i="1"/>
  <c r="A4436" i="1"/>
  <c r="A4435" i="1"/>
  <c r="A4434" i="1"/>
  <c r="A4433" i="1"/>
  <c r="A4432" i="1"/>
  <c r="A4431" i="1"/>
  <c r="A4430" i="1"/>
  <c r="A4429" i="1"/>
  <c r="A4428" i="1"/>
  <c r="A4427" i="1"/>
  <c r="A4426" i="1"/>
  <c r="A4425" i="1"/>
  <c r="A4424" i="1"/>
  <c r="A4423" i="1"/>
  <c r="A4422" i="1"/>
  <c r="A4421" i="1"/>
  <c r="A4420" i="1"/>
  <c r="A4419" i="1"/>
  <c r="A4418" i="1"/>
  <c r="A4417" i="1"/>
  <c r="A4416" i="1"/>
  <c r="A4415" i="1"/>
  <c r="A4414" i="1"/>
  <c r="A4413" i="1"/>
  <c r="A4412" i="1"/>
  <c r="A4411" i="1"/>
  <c r="A4410" i="1"/>
  <c r="A4409" i="1"/>
  <c r="A4408" i="1"/>
  <c r="A4407" i="1"/>
  <c r="A4406" i="1"/>
  <c r="A4405" i="1"/>
  <c r="A4404" i="1"/>
  <c r="A4403" i="1"/>
  <c r="A4402" i="1"/>
  <c r="A4401" i="1"/>
  <c r="A4400" i="1"/>
  <c r="A4399" i="1"/>
  <c r="A4398" i="1"/>
  <c r="A4397" i="1"/>
  <c r="A4396" i="1"/>
  <c r="A4395" i="1"/>
  <c r="A4394" i="1"/>
  <c r="A4393" i="1"/>
  <c r="A4392" i="1"/>
  <c r="A4391" i="1"/>
  <c r="A4390" i="1"/>
  <c r="A4389" i="1"/>
  <c r="A4388" i="1"/>
  <c r="A4387" i="1"/>
  <c r="A4386" i="1"/>
  <c r="A4385" i="1"/>
  <c r="A4384" i="1"/>
  <c r="A4383" i="1"/>
  <c r="A4382" i="1"/>
  <c r="A4381" i="1"/>
  <c r="A4380" i="1"/>
  <c r="A4379" i="1"/>
  <c r="A4378" i="1"/>
  <c r="A4377" i="1"/>
  <c r="A4376" i="1"/>
  <c r="A4375" i="1"/>
  <c r="A4374" i="1"/>
  <c r="A4373" i="1"/>
  <c r="A4372" i="1"/>
  <c r="A4371" i="1"/>
  <c r="A4370" i="1"/>
  <c r="A4369" i="1"/>
  <c r="A4368" i="1"/>
  <c r="A4367" i="1"/>
  <c r="A4366" i="1"/>
  <c r="A4365" i="1"/>
  <c r="A4364" i="1"/>
  <c r="A4363" i="1"/>
  <c r="A4362" i="1"/>
  <c r="A4361" i="1"/>
  <c r="A4360" i="1"/>
  <c r="A4359" i="1"/>
  <c r="A4358" i="1"/>
  <c r="A4357" i="1"/>
  <c r="A4356" i="1"/>
  <c r="A4355" i="1"/>
  <c r="A4354" i="1"/>
  <c r="A4353" i="1"/>
  <c r="A4352" i="1"/>
  <c r="A4351" i="1"/>
  <c r="A4350" i="1"/>
  <c r="A4349" i="1"/>
  <c r="A4348" i="1"/>
  <c r="A4347" i="1"/>
  <c r="A4346" i="1"/>
  <c r="A4345" i="1"/>
  <c r="A4344" i="1"/>
  <c r="A4343" i="1"/>
  <c r="A4342" i="1"/>
  <c r="A4341" i="1"/>
  <c r="A4340" i="1"/>
  <c r="A4339" i="1"/>
  <c r="A4338" i="1"/>
  <c r="A4337" i="1"/>
  <c r="A4336" i="1"/>
  <c r="A4335" i="1"/>
  <c r="A4334" i="1"/>
  <c r="A4333" i="1"/>
  <c r="A4332" i="1"/>
  <c r="A4331" i="1"/>
  <c r="A4330" i="1"/>
  <c r="A4329" i="1"/>
  <c r="A4328" i="1"/>
  <c r="A4327" i="1"/>
  <c r="A4326" i="1"/>
  <c r="A4325" i="1"/>
  <c r="A4324" i="1"/>
  <c r="A4323" i="1"/>
  <c r="A4322" i="1"/>
  <c r="A4321" i="1"/>
  <c r="A4320" i="1"/>
  <c r="A4319" i="1"/>
  <c r="A4318" i="1"/>
  <c r="A4317" i="1"/>
  <c r="A4316" i="1"/>
  <c r="A4315" i="1"/>
  <c r="A4314" i="1"/>
  <c r="A4313" i="1"/>
  <c r="A4312" i="1"/>
  <c r="A4311" i="1"/>
  <c r="A4310" i="1"/>
  <c r="A4309" i="1"/>
  <c r="A4308" i="1"/>
  <c r="A4307" i="1"/>
  <c r="A4306" i="1"/>
  <c r="A4305" i="1"/>
  <c r="A4304" i="1"/>
  <c r="A4303" i="1"/>
  <c r="A4302" i="1"/>
  <c r="A4301" i="1"/>
  <c r="A4300" i="1"/>
  <c r="A4299" i="1"/>
  <c r="A4298" i="1"/>
  <c r="A4297" i="1"/>
  <c r="A4296" i="1"/>
  <c r="A4295" i="1"/>
  <c r="A4294" i="1"/>
  <c r="A4293" i="1"/>
  <c r="A4292" i="1"/>
  <c r="A4291" i="1"/>
  <c r="A4290" i="1"/>
  <c r="A4289" i="1"/>
  <c r="A4288" i="1"/>
  <c r="A4287" i="1"/>
  <c r="A4286" i="1"/>
  <c r="A4285" i="1"/>
  <c r="A4284" i="1"/>
  <c r="A4283" i="1"/>
  <c r="A4282" i="1"/>
  <c r="A4281" i="1"/>
  <c r="A4280" i="1"/>
  <c r="A4279" i="1"/>
  <c r="A4278" i="1"/>
  <c r="A4277" i="1"/>
  <c r="A4276" i="1"/>
  <c r="A4275" i="1"/>
  <c r="A4274" i="1"/>
  <c r="A4273" i="1"/>
  <c r="A4272" i="1"/>
  <c r="A4271" i="1"/>
  <c r="A4270" i="1"/>
  <c r="A4269" i="1"/>
  <c r="A4268" i="1"/>
  <c r="A4267" i="1"/>
  <c r="A4266" i="1"/>
  <c r="A4265" i="1"/>
  <c r="A4264" i="1"/>
  <c r="A4263" i="1"/>
  <c r="A4262" i="1"/>
  <c r="A4261" i="1"/>
  <c r="A4260" i="1"/>
  <c r="A4259" i="1"/>
  <c r="A4258" i="1"/>
  <c r="A4257" i="1"/>
  <c r="A4256" i="1"/>
  <c r="A4255" i="1"/>
  <c r="A4254" i="1"/>
  <c r="A4253" i="1"/>
  <c r="A4252" i="1"/>
  <c r="A4251" i="1"/>
  <c r="A4250" i="1"/>
  <c r="A4249" i="1"/>
  <c r="A4248" i="1"/>
  <c r="A4247" i="1"/>
  <c r="A4246" i="1"/>
  <c r="A4245" i="1"/>
  <c r="A4244" i="1"/>
  <c r="A4243" i="1"/>
  <c r="A4242" i="1"/>
  <c r="A4241" i="1"/>
  <c r="A4240" i="1"/>
  <c r="A4239" i="1"/>
  <c r="A4238" i="1"/>
  <c r="A4237" i="1"/>
  <c r="A4236" i="1"/>
  <c r="A4235" i="1"/>
  <c r="A4234" i="1"/>
  <c r="A4233" i="1"/>
  <c r="A4232" i="1"/>
  <c r="A4231" i="1"/>
  <c r="A4230" i="1"/>
  <c r="A4229" i="1"/>
  <c r="A4228" i="1"/>
  <c r="A4227" i="1"/>
  <c r="A4226" i="1"/>
  <c r="A4225" i="1"/>
  <c r="A4224" i="1"/>
  <c r="A4223" i="1"/>
  <c r="A4222" i="1"/>
  <c r="A4221" i="1"/>
  <c r="A4220" i="1"/>
  <c r="A4219" i="1"/>
  <c r="A4218" i="1"/>
  <c r="A4217" i="1"/>
  <c r="A4216" i="1"/>
  <c r="A4215" i="1"/>
  <c r="A4214" i="1"/>
  <c r="A4213" i="1"/>
  <c r="A4212" i="1"/>
  <c r="A4211" i="1"/>
  <c r="A4210" i="1"/>
  <c r="A4209" i="1"/>
  <c r="A4208" i="1"/>
  <c r="A4207" i="1"/>
  <c r="A4206" i="1"/>
  <c r="A4205" i="1"/>
  <c r="A4204" i="1"/>
  <c r="A4203" i="1"/>
  <c r="A4202" i="1"/>
  <c r="A4201" i="1"/>
  <c r="A4200" i="1"/>
  <c r="A4199" i="1"/>
  <c r="A4198" i="1"/>
  <c r="A4197" i="1"/>
  <c r="A4196" i="1"/>
  <c r="A4195" i="1"/>
  <c r="A4194" i="1"/>
  <c r="A4193" i="1"/>
  <c r="A4192" i="1"/>
  <c r="A4191" i="1"/>
  <c r="A4190" i="1"/>
  <c r="A4189" i="1"/>
  <c r="A4188" i="1"/>
  <c r="A4187" i="1"/>
  <c r="A4186" i="1"/>
  <c r="A4185" i="1"/>
  <c r="A4184" i="1"/>
  <c r="A4183" i="1"/>
  <c r="A4182" i="1"/>
  <c r="A4181" i="1"/>
  <c r="A4180" i="1"/>
  <c r="A4179" i="1"/>
  <c r="A4178" i="1"/>
  <c r="A4177" i="1"/>
  <c r="A4176" i="1"/>
  <c r="A4175" i="1"/>
  <c r="A4174" i="1"/>
  <c r="A4173" i="1"/>
  <c r="A4172" i="1"/>
  <c r="A4171" i="1"/>
  <c r="A4170" i="1"/>
  <c r="A4169" i="1"/>
  <c r="A4168" i="1"/>
  <c r="A4167" i="1"/>
  <c r="A4166" i="1"/>
  <c r="A4165" i="1"/>
  <c r="A4164" i="1"/>
  <c r="A4163" i="1"/>
  <c r="A4162" i="1"/>
  <c r="A4161" i="1"/>
  <c r="A4160" i="1"/>
  <c r="A4159" i="1"/>
  <c r="A4158" i="1"/>
  <c r="A4157" i="1"/>
  <c r="A4156" i="1"/>
  <c r="A4155" i="1"/>
  <c r="A4154" i="1"/>
  <c r="A4153" i="1"/>
  <c r="A4152" i="1"/>
  <c r="A4151" i="1"/>
  <c r="A4150" i="1"/>
  <c r="A4149" i="1"/>
  <c r="A4148" i="1"/>
  <c r="A4147" i="1"/>
  <c r="A4146" i="1"/>
  <c r="A4145" i="1"/>
  <c r="A4144" i="1"/>
  <c r="A4143" i="1"/>
  <c r="A4142" i="1"/>
  <c r="A4141" i="1"/>
  <c r="A4140" i="1"/>
  <c r="A4139" i="1"/>
  <c r="A4138" i="1"/>
  <c r="A4137" i="1"/>
  <c r="A4136" i="1"/>
  <c r="A4135" i="1"/>
  <c r="A4134" i="1"/>
  <c r="A4133" i="1"/>
  <c r="A4132" i="1"/>
  <c r="A4131" i="1"/>
  <c r="A4130" i="1"/>
  <c r="A4129" i="1"/>
  <c r="A4128" i="1"/>
  <c r="A4127" i="1"/>
  <c r="A4126" i="1"/>
  <c r="A4125" i="1"/>
  <c r="A4124" i="1"/>
  <c r="A4123" i="1"/>
  <c r="A4122" i="1"/>
  <c r="A4121" i="1"/>
  <c r="A4120" i="1"/>
  <c r="A4119" i="1"/>
  <c r="A4118" i="1"/>
  <c r="A4117" i="1"/>
  <c r="A4116" i="1"/>
  <c r="A4115" i="1"/>
  <c r="A4114" i="1"/>
  <c r="A4113" i="1"/>
  <c r="A4112" i="1"/>
  <c r="A4111" i="1"/>
  <c r="A4110" i="1"/>
  <c r="A4109" i="1"/>
  <c r="A4108" i="1"/>
  <c r="A4107" i="1"/>
  <c r="A4106" i="1"/>
  <c r="A4105" i="1"/>
  <c r="A4104" i="1"/>
  <c r="A4103" i="1"/>
  <c r="A4102" i="1"/>
  <c r="A4101" i="1"/>
  <c r="A4100" i="1"/>
  <c r="A4099" i="1"/>
  <c r="A4098" i="1"/>
  <c r="A4097" i="1"/>
  <c r="A4096" i="1"/>
  <c r="A4095" i="1"/>
  <c r="A4094" i="1"/>
  <c r="A4093" i="1"/>
  <c r="A4092" i="1"/>
  <c r="A4091" i="1"/>
  <c r="A4090" i="1"/>
  <c r="A4089" i="1"/>
  <c r="A4088" i="1"/>
  <c r="A4087" i="1"/>
  <c r="A4086" i="1"/>
  <c r="A4085" i="1"/>
  <c r="A4084" i="1"/>
  <c r="A4083" i="1"/>
  <c r="A4082" i="1"/>
  <c r="A4081" i="1"/>
  <c r="A4080" i="1"/>
  <c r="A4079" i="1"/>
  <c r="A4078" i="1"/>
  <c r="A4077" i="1"/>
  <c r="A4076" i="1"/>
  <c r="A4075" i="1"/>
  <c r="A4074" i="1"/>
  <c r="A4073" i="1"/>
  <c r="A4072" i="1"/>
  <c r="A4071" i="1"/>
  <c r="A4070" i="1"/>
  <c r="A4069" i="1"/>
  <c r="A4068" i="1"/>
  <c r="A4067" i="1"/>
  <c r="A4066" i="1"/>
  <c r="A4065" i="1"/>
  <c r="A4064" i="1"/>
  <c r="A4063" i="1"/>
  <c r="A4062" i="1"/>
  <c r="A4061" i="1"/>
  <c r="A4060" i="1"/>
  <c r="A4059" i="1"/>
  <c r="A4058" i="1"/>
  <c r="A4057" i="1"/>
  <c r="A4056" i="1"/>
  <c r="A4055" i="1"/>
  <c r="A4054" i="1"/>
  <c r="A4053" i="1"/>
  <c r="A4052" i="1"/>
  <c r="A4051" i="1"/>
  <c r="A4050" i="1"/>
  <c r="A4049" i="1"/>
  <c r="A4048" i="1"/>
  <c r="A4047" i="1"/>
  <c r="A4046" i="1"/>
  <c r="A4045" i="1"/>
  <c r="A4044" i="1"/>
  <c r="A4043" i="1"/>
  <c r="A4042" i="1"/>
  <c r="A4041" i="1"/>
  <c r="A4040" i="1"/>
  <c r="A4039" i="1"/>
  <c r="A4038" i="1"/>
  <c r="A4037" i="1"/>
  <c r="A4036" i="1"/>
  <c r="A4035" i="1"/>
  <c r="A4034" i="1"/>
  <c r="A4033" i="1"/>
  <c r="A4032" i="1"/>
  <c r="A4031" i="1"/>
  <c r="A4030" i="1"/>
  <c r="A4029" i="1"/>
  <c r="A4028" i="1"/>
  <c r="A4027" i="1"/>
  <c r="A4026" i="1"/>
  <c r="A4025" i="1"/>
  <c r="A4024" i="1"/>
  <c r="A4023" i="1"/>
  <c r="A4022" i="1"/>
  <c r="A4021" i="1"/>
  <c r="A4020" i="1"/>
  <c r="A4019" i="1"/>
  <c r="A4018" i="1"/>
  <c r="A4017" i="1"/>
  <c r="A4016" i="1"/>
  <c r="A4015" i="1"/>
  <c r="A4014" i="1"/>
  <c r="A4013" i="1"/>
  <c r="A4012" i="1"/>
  <c r="A4011" i="1"/>
  <c r="A4010" i="1"/>
  <c r="A4009" i="1"/>
  <c r="A4008" i="1"/>
  <c r="A4007" i="1"/>
  <c r="A4006" i="1"/>
  <c r="A4005" i="1"/>
  <c r="A4004" i="1"/>
  <c r="A4003" i="1"/>
  <c r="A4002" i="1"/>
  <c r="A4001" i="1"/>
  <c r="A4000" i="1"/>
  <c r="A3999" i="1"/>
  <c r="A3998" i="1"/>
  <c r="A3997" i="1"/>
  <c r="A3996" i="1"/>
  <c r="A3995" i="1"/>
  <c r="A3994" i="1"/>
  <c r="A3993" i="1"/>
  <c r="A3992" i="1"/>
  <c r="A3991" i="1"/>
  <c r="A3990" i="1"/>
  <c r="A3989" i="1"/>
  <c r="A3988" i="1"/>
  <c r="A3987" i="1"/>
  <c r="A3986" i="1"/>
  <c r="A3985" i="1"/>
  <c r="A3984" i="1"/>
  <c r="A3983" i="1"/>
  <c r="A3982" i="1"/>
  <c r="A3981" i="1"/>
  <c r="A3980" i="1"/>
  <c r="A3979" i="1"/>
  <c r="A3978" i="1"/>
  <c r="A3977" i="1"/>
  <c r="A3976" i="1"/>
  <c r="A3975" i="1"/>
  <c r="A3974" i="1"/>
  <c r="A3973" i="1"/>
  <c r="A3972" i="1"/>
  <c r="A3971" i="1"/>
  <c r="A3970" i="1"/>
  <c r="A3969" i="1"/>
  <c r="A3968" i="1"/>
  <c r="A3967" i="1"/>
  <c r="A3966" i="1"/>
  <c r="A3965" i="1"/>
  <c r="A3964" i="1"/>
  <c r="A3963" i="1"/>
  <c r="A3962" i="1"/>
  <c r="A3961" i="1"/>
  <c r="A3959" i="1"/>
  <c r="A3958" i="1"/>
  <c r="A3957" i="1"/>
  <c r="A3956" i="1"/>
  <c r="A3955" i="1"/>
  <c r="A3954" i="1"/>
  <c r="A3953" i="1"/>
  <c r="A3952" i="1"/>
  <c r="A3951" i="1"/>
  <c r="A3950" i="1"/>
  <c r="A3949" i="1"/>
  <c r="A3948" i="1"/>
  <c r="A3947" i="1"/>
  <c r="A3946" i="1"/>
  <c r="A3945" i="1"/>
  <c r="A3944" i="1"/>
  <c r="A3943" i="1"/>
  <c r="A3942" i="1"/>
  <c r="A3941" i="1"/>
  <c r="A3940" i="1"/>
  <c r="A3939" i="1"/>
  <c r="A3938" i="1"/>
  <c r="A3937" i="1"/>
  <c r="A3936" i="1"/>
  <c r="A3935" i="1"/>
  <c r="A3934" i="1"/>
  <c r="A3933" i="1"/>
  <c r="A3932" i="1"/>
  <c r="A3931" i="1"/>
  <c r="A3930" i="1"/>
  <c r="A3929" i="1"/>
  <c r="A3928" i="1"/>
  <c r="A3927" i="1"/>
  <c r="A3926" i="1"/>
  <c r="A3925" i="1"/>
  <c r="A3924" i="1"/>
  <c r="A3923" i="1"/>
  <c r="A3922" i="1"/>
  <c r="A3921" i="1"/>
  <c r="A3920" i="1"/>
  <c r="A3919" i="1"/>
  <c r="A3918" i="1"/>
  <c r="A3917" i="1"/>
  <c r="A3916" i="1"/>
  <c r="A3915" i="1"/>
  <c r="A3914" i="1"/>
  <c r="A3913" i="1"/>
  <c r="A3912" i="1"/>
  <c r="A3911" i="1"/>
  <c r="A3910" i="1"/>
  <c r="A3909" i="1"/>
  <c r="A3908" i="1"/>
  <c r="A3907" i="1"/>
  <c r="A3906" i="1"/>
  <c r="A3905" i="1"/>
  <c r="A3904" i="1"/>
  <c r="A3903" i="1"/>
  <c r="A3902" i="1"/>
  <c r="A3901" i="1"/>
  <c r="A3900" i="1"/>
  <c r="A3899" i="1"/>
  <c r="A3898" i="1"/>
  <c r="A3897" i="1"/>
  <c r="A3896" i="1"/>
  <c r="A3895" i="1"/>
  <c r="A3894" i="1"/>
  <c r="A3893" i="1"/>
  <c r="A3892" i="1"/>
  <c r="A3891" i="1"/>
  <c r="A3890" i="1"/>
  <c r="A3889" i="1"/>
  <c r="A3888" i="1"/>
  <c r="A3887" i="1"/>
  <c r="A3886" i="1"/>
  <c r="A3885" i="1"/>
  <c r="A3884" i="1"/>
  <c r="A3883" i="1"/>
  <c r="A3882" i="1"/>
  <c r="A3881" i="1"/>
  <c r="A3880" i="1"/>
  <c r="A3879" i="1"/>
  <c r="A3878" i="1"/>
  <c r="A3877" i="1"/>
  <c r="A3876" i="1"/>
  <c r="A3875" i="1"/>
  <c r="A3874" i="1"/>
  <c r="A3873" i="1"/>
  <c r="A3872" i="1"/>
  <c r="A3871" i="1"/>
  <c r="A3870" i="1"/>
  <c r="A3869" i="1"/>
  <c r="A3868" i="1"/>
  <c r="A3867" i="1"/>
  <c r="A3866" i="1"/>
  <c r="A3865" i="1"/>
  <c r="A3864" i="1"/>
  <c r="A3863" i="1"/>
  <c r="A3862" i="1"/>
  <c r="A3861" i="1"/>
  <c r="A3860" i="1"/>
  <c r="A3859" i="1"/>
  <c r="A3858" i="1"/>
  <c r="A3857" i="1"/>
  <c r="A3856" i="1"/>
  <c r="A3855" i="1"/>
  <c r="A3854" i="1"/>
  <c r="A3853" i="1"/>
  <c r="A3852" i="1"/>
  <c r="A3851" i="1"/>
  <c r="A3850" i="1"/>
  <c r="A3849" i="1"/>
  <c r="A3848" i="1"/>
  <c r="A3847" i="1"/>
  <c r="A3846" i="1"/>
  <c r="A3845" i="1"/>
  <c r="A3844" i="1"/>
  <c r="A3843" i="1"/>
  <c r="A3842" i="1"/>
  <c r="A3841" i="1"/>
  <c r="A3840" i="1"/>
  <c r="A3839" i="1"/>
  <c r="A3838" i="1"/>
  <c r="A3837" i="1"/>
  <c r="A3836" i="1"/>
  <c r="A3835" i="1"/>
  <c r="A3834" i="1"/>
  <c r="A3833" i="1"/>
  <c r="A3832" i="1"/>
  <c r="A3831" i="1"/>
  <c r="A3830" i="1"/>
  <c r="A3829" i="1"/>
  <c r="A3828" i="1"/>
  <c r="A3827" i="1"/>
  <c r="A3826" i="1"/>
  <c r="A3825" i="1"/>
  <c r="A3824" i="1"/>
  <c r="A3823" i="1"/>
  <c r="A3822" i="1"/>
  <c r="A3821" i="1"/>
  <c r="A3820" i="1"/>
  <c r="A3819" i="1"/>
  <c r="A3818" i="1"/>
  <c r="A3817" i="1"/>
  <c r="A3816" i="1"/>
  <c r="A3815" i="1"/>
  <c r="A3814" i="1"/>
  <c r="A3813" i="1"/>
  <c r="A3812" i="1"/>
  <c r="A3811" i="1"/>
  <c r="A3810" i="1"/>
  <c r="A3809" i="1"/>
  <c r="A3808" i="1"/>
  <c r="A3807" i="1"/>
  <c r="A3806" i="1"/>
  <c r="A3805" i="1"/>
  <c r="A3804" i="1"/>
  <c r="A3803" i="1"/>
  <c r="A3802" i="1"/>
  <c r="A3801" i="1"/>
  <c r="A3800" i="1"/>
  <c r="A3799" i="1"/>
  <c r="A3798" i="1"/>
  <c r="A3797" i="1"/>
  <c r="A3796" i="1"/>
  <c r="A3795" i="1"/>
  <c r="A3794" i="1"/>
  <c r="A3793" i="1"/>
  <c r="A3792" i="1"/>
  <c r="A3791" i="1"/>
  <c r="A3790" i="1"/>
  <c r="A3789" i="1"/>
  <c r="A3788" i="1"/>
  <c r="A3787" i="1"/>
  <c r="A3786" i="1"/>
  <c r="A3785" i="1"/>
  <c r="A3784" i="1"/>
  <c r="A3783" i="1"/>
  <c r="A3782" i="1"/>
  <c r="A3781" i="1"/>
  <c r="A3780" i="1"/>
  <c r="A3779" i="1"/>
  <c r="A3778" i="1"/>
  <c r="A3777" i="1"/>
  <c r="A3776" i="1"/>
  <c r="A3775" i="1"/>
  <c r="A3774" i="1"/>
  <c r="A3773" i="1"/>
  <c r="A3772" i="1"/>
  <c r="A3771" i="1"/>
  <c r="A3770" i="1"/>
  <c r="A3769" i="1"/>
  <c r="A3768" i="1"/>
  <c r="A3767" i="1"/>
  <c r="A3766" i="1"/>
  <c r="A3765" i="1"/>
  <c r="A3764" i="1"/>
  <c r="A3763" i="1"/>
  <c r="A3762" i="1"/>
  <c r="A3761" i="1"/>
  <c r="A3760" i="1"/>
  <c r="A3759" i="1"/>
  <c r="A3758" i="1"/>
  <c r="A3757" i="1"/>
  <c r="A3756" i="1"/>
  <c r="A3755" i="1"/>
  <c r="A3754" i="1"/>
  <c r="A3753" i="1"/>
  <c r="A3752" i="1"/>
  <c r="A3751" i="1"/>
  <c r="A3750" i="1"/>
  <c r="A3749" i="1"/>
  <c r="A3748" i="1"/>
  <c r="A3747" i="1"/>
  <c r="A3746" i="1"/>
  <c r="A3745" i="1"/>
  <c r="A3744" i="1"/>
  <c r="A3743" i="1"/>
  <c r="A3742" i="1"/>
  <c r="A3741" i="1"/>
  <c r="A3740" i="1"/>
  <c r="A3739" i="1"/>
  <c r="A3738" i="1"/>
  <c r="A3737" i="1"/>
  <c r="A3736" i="1"/>
  <c r="A3735" i="1"/>
  <c r="A3734" i="1"/>
  <c r="A3733" i="1"/>
  <c r="A3732" i="1"/>
  <c r="A3731" i="1"/>
  <c r="A3730" i="1"/>
  <c r="A3729" i="1"/>
  <c r="A3728" i="1"/>
  <c r="A3727" i="1"/>
  <c r="A3726" i="1"/>
  <c r="A3725" i="1"/>
  <c r="A3724" i="1"/>
  <c r="A3723" i="1"/>
  <c r="A3722" i="1"/>
  <c r="A3721" i="1"/>
  <c r="A3720" i="1"/>
  <c r="A3719" i="1"/>
  <c r="A3718" i="1"/>
  <c r="A3717" i="1"/>
  <c r="A3716" i="1"/>
  <c r="A3715" i="1"/>
  <c r="A3714" i="1"/>
  <c r="A3713" i="1"/>
  <c r="A3712" i="1"/>
  <c r="A3711" i="1"/>
  <c r="A3710" i="1"/>
  <c r="A3709" i="1"/>
  <c r="A3708" i="1"/>
  <c r="A3707" i="1"/>
  <c r="A3706" i="1"/>
  <c r="A3705" i="1"/>
  <c r="A3704" i="1"/>
  <c r="A3703" i="1"/>
  <c r="A3702" i="1"/>
  <c r="A3701" i="1"/>
  <c r="A3700" i="1"/>
  <c r="A3699" i="1"/>
  <c r="A3698" i="1"/>
  <c r="A3697" i="1"/>
  <c r="A3696" i="1"/>
  <c r="A3695" i="1"/>
  <c r="A3694" i="1"/>
  <c r="A3693" i="1"/>
  <c r="A3692" i="1"/>
  <c r="A3691" i="1"/>
  <c r="A3690" i="1"/>
  <c r="A3689" i="1"/>
  <c r="A3688" i="1"/>
  <c r="A3687" i="1"/>
  <c r="A3686" i="1"/>
  <c r="A3685" i="1"/>
  <c r="A3684" i="1"/>
  <c r="A3683" i="1"/>
  <c r="A3682" i="1"/>
  <c r="A3681" i="1"/>
  <c r="A3680" i="1"/>
  <c r="A3679" i="1"/>
  <c r="A3678" i="1"/>
  <c r="A3677" i="1"/>
  <c r="A3676" i="1"/>
  <c r="A3675" i="1"/>
  <c r="A3674" i="1"/>
  <c r="A3673" i="1"/>
  <c r="A3672" i="1"/>
  <c r="A3671" i="1"/>
  <c r="A3670" i="1"/>
  <c r="A3669" i="1"/>
  <c r="A3668" i="1"/>
  <c r="A3667" i="1"/>
  <c r="A3666" i="1"/>
  <c r="A3665" i="1"/>
  <c r="A3664" i="1"/>
  <c r="A3663" i="1"/>
  <c r="A3662" i="1"/>
  <c r="A3661" i="1"/>
  <c r="A3660" i="1"/>
  <c r="A3659" i="1"/>
  <c r="A3658" i="1"/>
  <c r="A3657" i="1"/>
  <c r="A3656" i="1"/>
  <c r="A3655" i="1"/>
  <c r="A3654" i="1"/>
  <c r="A3653" i="1"/>
  <c r="A3652" i="1"/>
  <c r="A3651" i="1"/>
  <c r="A3650" i="1"/>
  <c r="A3649" i="1"/>
  <c r="A3648" i="1"/>
  <c r="A3647" i="1"/>
  <c r="A3646" i="1"/>
  <c r="A3645" i="1"/>
  <c r="A3644" i="1"/>
  <c r="A3643" i="1"/>
  <c r="A3642" i="1"/>
  <c r="A3641" i="1"/>
  <c r="A3640" i="1"/>
  <c r="A3639" i="1"/>
  <c r="A3638" i="1"/>
  <c r="A3637" i="1"/>
  <c r="A3636" i="1"/>
  <c r="A3635" i="1"/>
  <c r="A3634" i="1"/>
  <c r="A3633" i="1"/>
  <c r="A3632" i="1"/>
  <c r="A3631" i="1"/>
  <c r="A3630" i="1"/>
  <c r="A3629" i="1"/>
  <c r="A3628" i="1"/>
  <c r="A3627" i="1"/>
  <c r="A3626" i="1"/>
  <c r="A3625" i="1"/>
  <c r="A3624" i="1"/>
  <c r="A3623" i="1"/>
  <c r="A3622" i="1"/>
  <c r="A3621" i="1"/>
  <c r="A3620" i="1"/>
  <c r="A3619" i="1"/>
  <c r="A3618" i="1"/>
  <c r="A3617" i="1"/>
  <c r="A3616" i="1"/>
  <c r="A3615" i="1"/>
  <c r="A3614" i="1"/>
  <c r="A3613" i="1"/>
  <c r="A3612" i="1"/>
  <c r="A3611" i="1"/>
  <c r="A3610" i="1"/>
  <c r="A3609" i="1"/>
  <c r="A3608" i="1"/>
  <c r="A3607" i="1"/>
  <c r="A3606" i="1"/>
  <c r="A3605" i="1"/>
  <c r="A3604" i="1"/>
  <c r="A3603" i="1"/>
  <c r="A3602" i="1"/>
  <c r="A3601" i="1"/>
  <c r="A3600" i="1"/>
  <c r="A3599" i="1"/>
  <c r="A3598" i="1"/>
  <c r="A3597" i="1"/>
  <c r="A3596" i="1"/>
  <c r="A3595" i="1"/>
  <c r="A3594" i="1"/>
  <c r="A3593" i="1"/>
  <c r="A3592" i="1"/>
  <c r="A3591" i="1"/>
  <c r="A3590" i="1"/>
  <c r="A3589" i="1"/>
  <c r="A3588" i="1"/>
  <c r="A3587" i="1"/>
  <c r="A3586" i="1"/>
  <c r="A3585" i="1"/>
  <c r="A3584" i="1"/>
  <c r="A3583" i="1"/>
  <c r="A3582" i="1"/>
  <c r="A3581" i="1"/>
  <c r="A3580" i="1"/>
  <c r="A3579" i="1"/>
  <c r="A3578" i="1"/>
  <c r="A3577" i="1"/>
  <c r="A3576" i="1"/>
  <c r="A3575" i="1"/>
  <c r="A3574" i="1"/>
  <c r="A3573" i="1"/>
  <c r="A3572" i="1"/>
  <c r="A3571" i="1"/>
  <c r="A3570" i="1"/>
  <c r="A3569" i="1"/>
  <c r="A3568" i="1"/>
  <c r="A3567" i="1"/>
  <c r="A3566" i="1"/>
  <c r="A3565" i="1"/>
  <c r="A3564" i="1"/>
  <c r="A3563" i="1"/>
  <c r="A3562" i="1"/>
  <c r="A3561" i="1"/>
  <c r="A3560" i="1"/>
  <c r="A3559" i="1"/>
  <c r="A3558" i="1"/>
  <c r="A3557" i="1"/>
  <c r="A3556" i="1"/>
  <c r="A3555" i="1"/>
  <c r="A3554" i="1"/>
  <c r="A3553" i="1"/>
  <c r="A3552" i="1"/>
  <c r="A3551" i="1"/>
  <c r="A3550" i="1"/>
  <c r="A3549" i="1"/>
  <c r="A3548" i="1"/>
  <c r="A3547" i="1"/>
  <c r="A3546" i="1"/>
  <c r="A3545" i="1"/>
  <c r="A3544" i="1"/>
  <c r="A3543" i="1"/>
  <c r="A3542" i="1"/>
  <c r="A3541" i="1"/>
  <c r="A3540" i="1"/>
  <c r="A3539" i="1"/>
  <c r="A3538" i="1"/>
  <c r="A3537" i="1"/>
  <c r="A3536" i="1"/>
  <c r="A3535" i="1"/>
  <c r="A3534" i="1"/>
  <c r="A3533" i="1"/>
  <c r="A3532" i="1"/>
  <c r="A3531" i="1"/>
  <c r="A3530" i="1"/>
  <c r="A3529" i="1"/>
  <c r="A3528" i="1"/>
  <c r="A3527" i="1"/>
  <c r="A3526" i="1"/>
  <c r="A3525" i="1"/>
  <c r="A3524" i="1"/>
  <c r="A3523" i="1"/>
  <c r="A3522" i="1"/>
  <c r="A3521" i="1"/>
  <c r="A3520" i="1"/>
  <c r="A3519" i="1"/>
  <c r="A3518" i="1"/>
  <c r="A3517" i="1"/>
  <c r="A3516" i="1"/>
  <c r="A3515" i="1"/>
  <c r="A3514" i="1"/>
  <c r="A3513" i="1"/>
  <c r="A3512" i="1"/>
  <c r="A3511" i="1"/>
  <c r="A3510" i="1"/>
  <c r="A3509" i="1"/>
  <c r="A3508" i="1"/>
  <c r="A3507" i="1"/>
  <c r="A3506" i="1"/>
  <c r="A3505" i="1"/>
  <c r="A3504" i="1"/>
  <c r="A3503" i="1"/>
  <c r="A3502" i="1"/>
  <c r="A3501" i="1"/>
  <c r="A3500" i="1"/>
  <c r="A3499" i="1"/>
  <c r="A3498" i="1"/>
  <c r="A3497" i="1"/>
  <c r="A3496" i="1"/>
  <c r="A3495" i="1"/>
  <c r="A3494" i="1"/>
  <c r="A3493" i="1"/>
  <c r="A3492" i="1"/>
  <c r="A3491" i="1"/>
  <c r="A3490" i="1"/>
  <c r="A3489" i="1"/>
  <c r="A3488" i="1"/>
  <c r="A3487" i="1"/>
  <c r="A3486" i="1"/>
  <c r="A3485" i="1"/>
  <c r="A3484" i="1"/>
  <c r="A3483" i="1"/>
  <c r="A3482" i="1"/>
  <c r="A3481" i="1"/>
  <c r="A3480" i="1"/>
  <c r="A3479" i="1"/>
  <c r="A3478" i="1"/>
  <c r="A3477" i="1"/>
  <c r="A3476" i="1"/>
  <c r="A3475" i="1"/>
  <c r="A3474" i="1"/>
  <c r="A3473" i="1"/>
  <c r="A3472" i="1"/>
  <c r="A3471" i="1"/>
  <c r="A3470" i="1"/>
  <c r="A3469" i="1"/>
  <c r="A3468" i="1"/>
  <c r="A3467" i="1"/>
  <c r="A3466" i="1"/>
  <c r="A3465" i="1"/>
  <c r="A3464" i="1"/>
  <c r="A3463" i="1"/>
  <c r="A3462" i="1"/>
  <c r="A3461" i="1"/>
  <c r="A3460" i="1"/>
  <c r="A3459" i="1"/>
  <c r="A3458" i="1"/>
  <c r="A3457" i="1"/>
  <c r="A3456" i="1"/>
  <c r="A3455" i="1"/>
  <c r="A3454" i="1"/>
  <c r="A3453" i="1"/>
  <c r="A3452" i="1"/>
  <c r="A3451" i="1"/>
  <c r="A3450" i="1"/>
  <c r="A3449" i="1"/>
  <c r="A3448" i="1"/>
  <c r="A3447" i="1"/>
  <c r="A3446" i="1"/>
  <c r="A3445" i="1"/>
  <c r="A3444" i="1"/>
  <c r="A3443" i="1"/>
  <c r="A3442" i="1"/>
  <c r="A3441" i="1"/>
  <c r="A3440" i="1"/>
  <c r="A3439" i="1"/>
  <c r="A3438" i="1"/>
  <c r="A3437" i="1"/>
  <c r="A3436" i="1"/>
  <c r="A3435" i="1"/>
  <c r="A3434" i="1"/>
  <c r="A3433" i="1"/>
  <c r="A3432" i="1"/>
  <c r="A3431" i="1"/>
  <c r="A3430" i="1"/>
  <c r="A3429" i="1"/>
  <c r="A3428" i="1"/>
  <c r="A3427" i="1"/>
  <c r="A3426" i="1"/>
  <c r="A3425" i="1"/>
  <c r="A3424" i="1"/>
  <c r="A3423" i="1"/>
  <c r="A3422" i="1"/>
  <c r="A3421" i="1"/>
  <c r="A3420" i="1"/>
  <c r="A3419" i="1"/>
  <c r="A3418" i="1"/>
  <c r="A3417" i="1"/>
  <c r="A3416" i="1"/>
  <c r="A3415" i="1"/>
  <c r="A3414" i="1"/>
  <c r="A3413" i="1"/>
  <c r="A3412" i="1"/>
  <c r="A3411" i="1"/>
  <c r="A3410" i="1"/>
  <c r="A3409" i="1"/>
  <c r="A3408" i="1"/>
  <c r="A3407" i="1"/>
  <c r="A3406" i="1"/>
  <c r="A3405" i="1"/>
  <c r="A3404" i="1"/>
  <c r="A3403" i="1"/>
  <c r="A3402" i="1"/>
  <c r="A3401" i="1"/>
  <c r="A3400" i="1"/>
  <c r="A3399" i="1"/>
  <c r="A3398" i="1"/>
  <c r="A3397" i="1"/>
  <c r="A3396" i="1"/>
  <c r="A3395" i="1"/>
  <c r="A3394" i="1"/>
  <c r="A3393" i="1"/>
  <c r="A3392" i="1"/>
  <c r="A3391" i="1"/>
  <c r="A3390" i="1"/>
  <c r="A3389" i="1"/>
  <c r="A3388" i="1"/>
  <c r="A3387" i="1"/>
  <c r="A3386" i="1"/>
  <c r="A3385" i="1"/>
  <c r="A3384" i="1"/>
  <c r="A3383" i="1"/>
  <c r="A3382" i="1"/>
  <c r="A3381" i="1"/>
  <c r="A3380" i="1"/>
  <c r="A3379" i="1"/>
  <c r="A3378" i="1"/>
  <c r="A3377" i="1"/>
  <c r="A3376" i="1"/>
  <c r="A3375" i="1"/>
  <c r="A3374" i="1"/>
  <c r="A3373" i="1"/>
  <c r="A3372" i="1"/>
  <c r="A3371" i="1"/>
  <c r="A3370" i="1"/>
  <c r="A3369" i="1"/>
  <c r="A3368" i="1"/>
  <c r="A3367" i="1"/>
  <c r="A3366" i="1"/>
  <c r="A3365" i="1"/>
  <c r="A3364" i="1"/>
  <c r="A3363" i="1"/>
  <c r="A3362" i="1"/>
  <c r="A3361" i="1"/>
  <c r="A3360" i="1"/>
  <c r="A3359" i="1"/>
  <c r="A3358" i="1"/>
  <c r="A3357" i="1"/>
  <c r="A3356" i="1"/>
  <c r="A3355" i="1"/>
  <c r="A3354" i="1"/>
  <c r="A3353" i="1"/>
  <c r="A3352" i="1"/>
  <c r="A3351" i="1"/>
  <c r="A3350" i="1"/>
  <c r="A3349" i="1"/>
  <c r="A3348" i="1"/>
  <c r="A3347" i="1"/>
  <c r="A3346" i="1"/>
  <c r="A3345" i="1"/>
  <c r="A3344" i="1"/>
  <c r="A3343" i="1"/>
  <c r="A3342" i="1"/>
  <c r="A3341" i="1"/>
  <c r="A3340" i="1"/>
  <c r="A3339" i="1"/>
  <c r="A3338" i="1"/>
  <c r="A3337" i="1"/>
  <c r="A3336" i="1"/>
  <c r="A3335" i="1"/>
  <c r="A3334" i="1"/>
  <c r="A3333" i="1"/>
  <c r="A3332" i="1"/>
  <c r="A3331" i="1"/>
  <c r="A3330" i="1"/>
  <c r="A3329" i="1"/>
  <c r="A3328" i="1"/>
  <c r="A3327" i="1"/>
  <c r="A3326" i="1"/>
  <c r="A3325" i="1"/>
  <c r="A3324" i="1"/>
  <c r="A3323" i="1"/>
  <c r="A3322" i="1"/>
  <c r="A3321" i="1"/>
  <c r="A3320" i="1"/>
  <c r="A3319" i="1"/>
  <c r="A3318" i="1"/>
  <c r="A3317" i="1"/>
  <c r="A3316" i="1"/>
  <c r="A3315" i="1"/>
  <c r="A3314" i="1"/>
  <c r="A3313" i="1"/>
  <c r="A3312" i="1"/>
  <c r="A3311" i="1"/>
  <c r="A3310" i="1"/>
  <c r="A3309" i="1"/>
  <c r="A3308" i="1"/>
  <c r="A3307" i="1"/>
  <c r="A3306" i="1"/>
  <c r="A3305" i="1"/>
  <c r="A3304" i="1"/>
  <c r="A3303" i="1"/>
  <c r="A3302" i="1"/>
  <c r="A3301" i="1"/>
  <c r="A3300" i="1"/>
  <c r="A3299" i="1"/>
  <c r="A3298" i="1"/>
  <c r="A3297" i="1"/>
  <c r="A3296" i="1"/>
  <c r="A3295" i="1"/>
  <c r="A3294" i="1"/>
  <c r="A3293" i="1"/>
  <c r="A3291" i="1"/>
  <c r="A3290" i="1"/>
  <c r="A3289" i="1"/>
  <c r="A3288" i="1"/>
  <c r="A3287" i="1"/>
  <c r="A3286" i="1"/>
  <c r="A3285" i="1"/>
  <c r="A3284" i="1"/>
  <c r="A3283" i="1"/>
  <c r="A3282" i="1"/>
  <c r="A3281" i="1"/>
  <c r="A3280" i="1"/>
  <c r="A3279" i="1"/>
  <c r="A3278" i="1"/>
  <c r="A3277" i="1"/>
  <c r="A3276" i="1"/>
  <c r="A3275" i="1"/>
  <c r="A3274" i="1"/>
  <c r="A3273" i="1"/>
  <c r="A3272" i="1"/>
  <c r="A3271" i="1"/>
  <c r="A3270" i="1"/>
  <c r="A3269" i="1"/>
  <c r="A3268" i="1"/>
  <c r="A3267" i="1"/>
  <c r="A3266" i="1"/>
  <c r="A3265" i="1"/>
  <c r="A3264" i="1"/>
  <c r="A3263" i="1"/>
  <c r="A3262" i="1"/>
  <c r="A3261" i="1"/>
  <c r="A3260" i="1"/>
  <c r="A3259" i="1"/>
  <c r="A3258" i="1"/>
  <c r="A3257" i="1"/>
  <c r="A3256" i="1"/>
  <c r="A3255" i="1"/>
  <c r="A3254" i="1"/>
  <c r="A3253" i="1"/>
  <c r="A3252" i="1"/>
  <c r="A3251" i="1"/>
  <c r="A3250" i="1"/>
  <c r="A3249" i="1"/>
  <c r="A3248" i="1"/>
  <c r="A3247" i="1"/>
  <c r="A3246" i="1"/>
  <c r="A3245" i="1"/>
  <c r="A3244" i="1"/>
  <c r="A3243" i="1"/>
  <c r="A3242" i="1"/>
  <c r="A3241" i="1"/>
  <c r="A3240" i="1"/>
  <c r="A3239" i="1"/>
  <c r="A3238" i="1"/>
  <c r="A3237" i="1"/>
  <c r="A3236" i="1"/>
  <c r="A3235" i="1"/>
  <c r="A3234" i="1"/>
  <c r="A3233" i="1"/>
  <c r="A3232" i="1"/>
  <c r="A3231" i="1"/>
  <c r="A3230" i="1"/>
  <c r="A3229" i="1"/>
  <c r="A3228" i="1"/>
  <c r="A3227" i="1"/>
  <c r="A3226" i="1"/>
  <c r="A3225" i="1"/>
  <c r="A3224" i="1"/>
  <c r="A3223" i="1"/>
  <c r="A3222" i="1"/>
  <c r="A3221" i="1"/>
  <c r="A3220" i="1"/>
  <c r="A3219" i="1"/>
  <c r="A3218" i="1"/>
  <c r="A3217" i="1"/>
  <c r="A3216" i="1"/>
  <c r="A3215" i="1"/>
  <c r="A3214" i="1"/>
  <c r="A3213" i="1"/>
  <c r="A3212" i="1"/>
  <c r="A3211" i="1"/>
  <c r="A3210" i="1"/>
  <c r="A3209" i="1"/>
  <c r="A3208" i="1"/>
  <c r="A3207" i="1"/>
  <c r="A3206" i="1"/>
  <c r="A3205" i="1"/>
  <c r="A3204" i="1"/>
  <c r="A3203" i="1"/>
  <c r="A3202" i="1"/>
  <c r="A3201" i="1"/>
  <c r="A3200" i="1"/>
  <c r="A3199" i="1"/>
  <c r="A3198" i="1"/>
  <c r="A3197" i="1"/>
  <c r="A3196" i="1"/>
  <c r="A3195" i="1"/>
  <c r="A3194" i="1"/>
  <c r="A3193" i="1"/>
  <c r="A3192" i="1"/>
  <c r="A3191" i="1"/>
  <c r="A3190" i="1"/>
  <c r="A3189" i="1"/>
  <c r="A3188" i="1"/>
  <c r="A3187" i="1"/>
  <c r="A3186" i="1"/>
  <c r="A3185" i="1"/>
  <c r="A3184" i="1"/>
  <c r="A3183" i="1"/>
  <c r="A3182" i="1"/>
  <c r="A3181" i="1"/>
  <c r="A3180" i="1"/>
  <c r="A3179" i="1"/>
  <c r="A3178" i="1"/>
  <c r="A3177" i="1"/>
  <c r="A3176" i="1"/>
  <c r="A3175" i="1"/>
  <c r="A3174" i="1"/>
  <c r="A3173" i="1"/>
  <c r="A3172" i="1"/>
  <c r="A3171" i="1"/>
  <c r="A3170" i="1"/>
  <c r="A3169" i="1"/>
  <c r="A3168" i="1"/>
  <c r="A3167" i="1"/>
  <c r="A3166" i="1"/>
  <c r="A3165" i="1"/>
  <c r="A3164" i="1"/>
  <c r="A3163" i="1"/>
  <c r="A3162" i="1"/>
  <c r="A3161" i="1"/>
  <c r="A3160" i="1"/>
  <c r="A3159" i="1"/>
  <c r="A3158" i="1"/>
  <c r="A3157" i="1"/>
  <c r="A3156" i="1"/>
  <c r="A3155" i="1"/>
  <c r="A3154" i="1"/>
  <c r="A3153" i="1"/>
  <c r="A3152" i="1"/>
  <c r="A3151" i="1"/>
  <c r="A3150" i="1"/>
  <c r="A3149" i="1"/>
  <c r="A3148" i="1"/>
  <c r="A3147" i="1"/>
  <c r="A3146" i="1"/>
  <c r="A3145" i="1"/>
  <c r="A3144" i="1"/>
  <c r="A3143" i="1"/>
  <c r="A3142" i="1"/>
  <c r="A3141" i="1"/>
  <c r="A3140" i="1"/>
  <c r="A3139" i="1"/>
  <c r="A3138" i="1"/>
  <c r="A3137" i="1"/>
  <c r="A3136" i="1"/>
  <c r="A3135" i="1"/>
  <c r="A3134" i="1"/>
  <c r="A3133" i="1"/>
  <c r="A3132" i="1"/>
  <c r="A3131" i="1"/>
  <c r="A3130" i="1"/>
  <c r="A3129" i="1"/>
  <c r="A3128" i="1"/>
  <c r="A3127" i="1"/>
  <c r="A3126" i="1"/>
  <c r="A3125" i="1"/>
  <c r="A3124" i="1"/>
  <c r="A3123" i="1"/>
  <c r="A3122" i="1"/>
  <c r="A3121" i="1"/>
  <c r="A3120" i="1"/>
  <c r="A3119" i="1"/>
  <c r="A3118" i="1"/>
  <c r="A3117" i="1"/>
  <c r="A3116" i="1"/>
  <c r="A3115" i="1"/>
  <c r="A3114" i="1"/>
  <c r="A3113" i="1"/>
  <c r="A3112" i="1"/>
  <c r="A3111" i="1"/>
  <c r="A3110" i="1"/>
  <c r="A3109" i="1"/>
  <c r="A3108" i="1"/>
  <c r="A3107" i="1"/>
  <c r="A3106" i="1"/>
  <c r="A3105" i="1"/>
  <c r="A3104" i="1"/>
  <c r="A3103" i="1"/>
  <c r="A3102" i="1"/>
  <c r="A3101" i="1"/>
  <c r="A3100" i="1"/>
  <c r="A3099" i="1"/>
  <c r="A3098" i="1"/>
  <c r="A3097" i="1"/>
  <c r="A3096" i="1"/>
  <c r="A3095" i="1"/>
  <c r="A3094" i="1"/>
  <c r="A3093" i="1"/>
  <c r="A3092" i="1"/>
  <c r="A3091" i="1"/>
  <c r="A3090" i="1"/>
  <c r="A3089" i="1"/>
  <c r="A3088" i="1"/>
  <c r="A3087" i="1"/>
  <c r="A3086" i="1"/>
  <c r="A3085" i="1"/>
  <c r="A3084" i="1"/>
  <c r="A3083" i="1"/>
  <c r="A3082" i="1"/>
  <c r="A3081" i="1"/>
  <c r="A3080" i="1"/>
  <c r="A3079" i="1"/>
  <c r="A3078" i="1"/>
  <c r="A3077" i="1"/>
  <c r="A3076" i="1"/>
  <c r="A3075" i="1"/>
  <c r="A3074" i="1"/>
  <c r="A3073" i="1"/>
  <c r="A3072" i="1"/>
  <c r="A3071" i="1"/>
  <c r="A3070" i="1"/>
  <c r="A3069" i="1"/>
  <c r="A3068" i="1"/>
  <c r="A3067" i="1"/>
  <c r="A3066" i="1"/>
  <c r="A3065" i="1"/>
  <c r="A3064" i="1"/>
  <c r="A3063" i="1"/>
  <c r="A3062" i="1"/>
  <c r="A3061" i="1"/>
  <c r="A3060" i="1"/>
  <c r="A3059" i="1"/>
  <c r="A3058" i="1"/>
  <c r="A3057" i="1"/>
  <c r="A3056" i="1"/>
  <c r="A3055" i="1"/>
  <c r="A3054" i="1"/>
  <c r="A3053" i="1"/>
  <c r="A3052" i="1"/>
  <c r="A3051" i="1"/>
  <c r="A3050" i="1"/>
  <c r="A3049" i="1"/>
  <c r="A3048" i="1"/>
  <c r="A3047" i="1"/>
  <c r="A3046" i="1"/>
  <c r="A3045" i="1"/>
  <c r="A3044" i="1"/>
  <c r="A3043" i="1"/>
  <c r="A3042" i="1"/>
  <c r="A3041" i="1"/>
  <c r="A3040" i="1"/>
  <c r="A3039" i="1"/>
  <c r="A3038" i="1"/>
  <c r="A3037" i="1"/>
  <c r="A3036" i="1"/>
  <c r="A3035" i="1"/>
  <c r="A3034" i="1"/>
  <c r="A3033" i="1"/>
  <c r="A3032" i="1"/>
  <c r="A3031" i="1"/>
  <c r="A3030" i="1"/>
  <c r="A3029" i="1"/>
  <c r="A3028" i="1"/>
  <c r="A3027" i="1"/>
  <c r="A3026" i="1"/>
  <c r="A3025" i="1"/>
  <c r="A3024" i="1"/>
  <c r="A3023" i="1"/>
  <c r="A3022" i="1"/>
  <c r="A3021" i="1"/>
  <c r="A3020" i="1"/>
  <c r="A3019" i="1"/>
  <c r="A3018" i="1"/>
  <c r="A3017" i="1"/>
  <c r="A3016" i="1"/>
  <c r="A3015" i="1"/>
  <c r="A3014" i="1"/>
  <c r="A3013" i="1"/>
  <c r="A3012" i="1"/>
  <c r="A3011" i="1"/>
  <c r="A3010" i="1"/>
  <c r="A3009" i="1"/>
  <c r="A3008" i="1"/>
  <c r="A3007" i="1"/>
  <c r="A3006" i="1"/>
  <c r="A3005" i="1"/>
  <c r="A3004" i="1"/>
  <c r="A3003" i="1"/>
  <c r="A3002" i="1"/>
  <c r="A3001" i="1"/>
  <c r="A3000" i="1"/>
  <c r="A2999" i="1"/>
  <c r="A2998" i="1"/>
  <c r="A2997" i="1"/>
  <c r="A2996" i="1"/>
  <c r="A2995" i="1"/>
  <c r="A2994" i="1"/>
  <c r="A2993" i="1"/>
  <c r="A2992" i="1"/>
  <c r="A2991" i="1"/>
  <c r="A2990" i="1"/>
  <c r="A2989" i="1"/>
  <c r="A2988" i="1"/>
  <c r="A2987" i="1"/>
  <c r="A2986" i="1"/>
  <c r="A2985" i="1"/>
  <c r="A2984" i="1"/>
  <c r="A2983" i="1"/>
  <c r="A2982" i="1"/>
  <c r="A2981" i="1"/>
  <c r="A2980" i="1"/>
  <c r="A2979" i="1"/>
  <c r="A2978" i="1"/>
  <c r="A2977" i="1"/>
  <c r="A2976" i="1"/>
  <c r="A2975" i="1"/>
  <c r="A2974" i="1"/>
  <c r="A2973" i="1"/>
  <c r="A2972" i="1"/>
  <c r="A2971" i="1"/>
  <c r="A2970" i="1"/>
  <c r="A2969" i="1"/>
  <c r="A2968" i="1"/>
  <c r="A2967" i="1"/>
  <c r="A2966" i="1"/>
  <c r="A2965" i="1"/>
  <c r="A2964" i="1"/>
  <c r="A2963" i="1"/>
  <c r="A2962" i="1"/>
  <c r="A2961" i="1"/>
  <c r="A2960" i="1"/>
  <c r="A2959" i="1"/>
  <c r="A2958" i="1"/>
  <c r="A2957" i="1"/>
  <c r="A2956" i="1"/>
  <c r="A2955" i="1"/>
  <c r="A2954" i="1"/>
  <c r="A2953" i="1"/>
  <c r="A2952" i="1"/>
  <c r="A2951" i="1"/>
  <c r="A2950" i="1"/>
  <c r="A2949" i="1"/>
  <c r="A2948" i="1"/>
  <c r="A2947" i="1"/>
  <c r="A2946" i="1"/>
  <c r="A2945" i="1"/>
  <c r="A2944" i="1"/>
  <c r="A2943" i="1"/>
  <c r="A2942" i="1"/>
  <c r="A2941" i="1"/>
  <c r="A2940" i="1"/>
  <c r="A2939" i="1"/>
  <c r="A2938" i="1"/>
  <c r="A2937" i="1"/>
  <c r="A2936" i="1"/>
  <c r="A2935" i="1"/>
  <c r="A2934" i="1"/>
  <c r="A2933" i="1"/>
  <c r="A2932" i="1"/>
  <c r="A2931" i="1"/>
  <c r="A2930" i="1"/>
  <c r="A2929" i="1"/>
  <c r="A2928" i="1"/>
  <c r="A2927" i="1"/>
  <c r="A2926" i="1"/>
  <c r="A2925" i="1"/>
  <c r="A2924" i="1"/>
  <c r="A2923" i="1"/>
  <c r="A2922" i="1"/>
  <c r="A2921" i="1"/>
  <c r="A2920" i="1"/>
  <c r="A2919" i="1"/>
  <c r="A2918" i="1"/>
  <c r="A2917" i="1"/>
  <c r="A2916" i="1"/>
  <c r="A2915" i="1"/>
  <c r="A2914" i="1"/>
  <c r="A2913" i="1"/>
  <c r="A2912" i="1"/>
  <c r="A2911" i="1"/>
  <c r="A2910" i="1"/>
  <c r="A2909" i="1"/>
  <c r="A2908" i="1"/>
  <c r="A2907" i="1"/>
  <c r="A2906" i="1"/>
  <c r="A2905" i="1"/>
  <c r="A2904" i="1"/>
  <c r="A2903" i="1"/>
  <c r="A2902" i="1"/>
  <c r="A2901" i="1"/>
  <c r="A2900" i="1"/>
  <c r="A2899" i="1"/>
  <c r="A2898" i="1"/>
  <c r="A2897" i="1"/>
  <c r="A2896" i="1"/>
  <c r="A2895" i="1"/>
  <c r="A2894" i="1"/>
  <c r="A2893" i="1"/>
  <c r="A2892" i="1"/>
  <c r="A2891" i="1"/>
  <c r="A2890" i="1"/>
  <c r="A2889" i="1"/>
  <c r="A2888" i="1"/>
  <c r="A2887" i="1"/>
  <c r="A2886" i="1"/>
  <c r="A2885" i="1"/>
  <c r="A2884" i="1"/>
  <c r="A2883" i="1"/>
  <c r="A2882" i="1"/>
  <c r="A2881" i="1"/>
  <c r="A2880" i="1"/>
  <c r="A2879" i="1"/>
  <c r="A2878" i="1"/>
  <c r="A2877" i="1"/>
  <c r="A2876" i="1"/>
  <c r="A2875" i="1"/>
  <c r="A2874" i="1"/>
  <c r="A2873" i="1"/>
  <c r="A2872" i="1"/>
  <c r="A2871" i="1"/>
  <c r="A2870" i="1"/>
  <c r="A2869" i="1"/>
  <c r="A2868" i="1"/>
  <c r="A2867" i="1"/>
  <c r="A2866" i="1"/>
  <c r="A2865" i="1"/>
  <c r="A2864" i="1"/>
  <c r="A2863" i="1"/>
  <c r="A2862" i="1"/>
  <c r="A2861" i="1"/>
  <c r="A2860" i="1"/>
  <c r="A2859" i="1"/>
  <c r="A2858" i="1"/>
  <c r="A2857" i="1"/>
  <c r="A2856" i="1"/>
  <c r="A2855" i="1"/>
  <c r="A2854" i="1"/>
  <c r="A2853" i="1"/>
  <c r="A2852" i="1"/>
  <c r="A2851" i="1"/>
  <c r="A2850" i="1"/>
  <c r="A2849" i="1"/>
  <c r="A2848" i="1"/>
  <c r="A2847" i="1"/>
  <c r="A2846" i="1"/>
  <c r="A2845" i="1"/>
  <c r="A2844" i="1"/>
  <c r="A2843" i="1"/>
  <c r="A2842" i="1"/>
  <c r="A2841" i="1"/>
  <c r="A2840" i="1"/>
  <c r="A2839" i="1"/>
  <c r="A2838" i="1"/>
  <c r="A2837" i="1"/>
  <c r="A2836" i="1"/>
  <c r="A2835" i="1"/>
  <c r="A2834" i="1"/>
  <c r="A2833" i="1"/>
  <c r="A2832" i="1"/>
  <c r="A2831" i="1"/>
  <c r="A2830" i="1"/>
  <c r="A2829" i="1"/>
  <c r="A2828" i="1"/>
  <c r="A2827" i="1"/>
  <c r="A2826" i="1"/>
  <c r="A2825" i="1"/>
  <c r="A2824" i="1"/>
  <c r="A2823" i="1"/>
  <c r="A2822" i="1"/>
  <c r="A2821" i="1"/>
  <c r="A2820" i="1"/>
  <c r="A2819" i="1"/>
  <c r="A2818" i="1"/>
  <c r="A2817" i="1"/>
  <c r="A2816" i="1"/>
  <c r="A2815" i="1"/>
  <c r="A2814" i="1"/>
  <c r="A2813" i="1"/>
  <c r="A2812" i="1"/>
  <c r="A2811" i="1"/>
  <c r="A2810" i="1"/>
  <c r="A2809" i="1"/>
  <c r="A2808" i="1"/>
  <c r="A2807" i="1"/>
  <c r="A2806" i="1"/>
  <c r="A2805" i="1"/>
  <c r="A2804" i="1"/>
  <c r="A2803" i="1"/>
  <c r="A2802" i="1"/>
  <c r="A2801" i="1"/>
  <c r="A2800" i="1"/>
  <c r="A2799" i="1"/>
  <c r="A2798" i="1"/>
  <c r="A2797" i="1"/>
  <c r="A2796" i="1"/>
  <c r="A2795" i="1"/>
  <c r="A2794" i="1"/>
  <c r="A2793" i="1"/>
  <c r="A2792" i="1"/>
  <c r="A2791" i="1"/>
  <c r="A2790" i="1"/>
  <c r="A2789" i="1"/>
  <c r="A2788" i="1"/>
  <c r="A2787" i="1"/>
  <c r="A2786" i="1"/>
  <c r="A2785" i="1"/>
  <c r="A2784" i="1"/>
  <c r="A2783" i="1"/>
  <c r="A2782" i="1"/>
  <c r="A2781" i="1"/>
  <c r="A2780" i="1"/>
  <c r="A2779" i="1"/>
  <c r="A2778" i="1"/>
  <c r="A2777" i="1"/>
  <c r="A2776" i="1"/>
  <c r="A2775" i="1"/>
  <c r="A2774" i="1"/>
  <c r="A2773" i="1"/>
  <c r="A2772" i="1"/>
  <c r="A2771" i="1"/>
  <c r="A2770" i="1"/>
  <c r="A2769" i="1"/>
  <c r="A2768" i="1"/>
  <c r="A2767" i="1"/>
  <c r="A2766" i="1"/>
  <c r="A2765" i="1"/>
  <c r="A2764" i="1"/>
  <c r="A2763" i="1"/>
  <c r="A2762" i="1"/>
  <c r="A2761" i="1"/>
  <c r="A2760" i="1"/>
  <c r="A2759" i="1"/>
  <c r="A2758" i="1"/>
  <c r="A2757" i="1"/>
  <c r="A2756" i="1"/>
  <c r="A2755" i="1"/>
  <c r="A2754" i="1"/>
  <c r="A2753" i="1"/>
  <c r="A2752" i="1"/>
  <c r="A2751" i="1"/>
  <c r="A2750" i="1"/>
  <c r="A2749" i="1"/>
  <c r="A2748" i="1"/>
  <c r="A2747" i="1"/>
  <c r="A2746" i="1"/>
  <c r="A2745" i="1"/>
  <c r="A2744" i="1"/>
  <c r="A2743" i="1"/>
  <c r="A2742" i="1"/>
  <c r="A2741" i="1"/>
  <c r="A2740" i="1"/>
  <c r="A2739" i="1"/>
  <c r="A2738" i="1"/>
  <c r="A2737" i="1"/>
  <c r="A2736" i="1"/>
  <c r="A2735" i="1"/>
  <c r="A2734" i="1"/>
  <c r="A2733" i="1"/>
  <c r="A2732" i="1"/>
  <c r="A2731" i="1"/>
  <c r="A2730" i="1"/>
  <c r="A2729" i="1"/>
  <c r="A2728" i="1"/>
  <c r="A2727" i="1"/>
  <c r="A2726" i="1"/>
  <c r="A2725" i="1"/>
  <c r="A2724" i="1"/>
  <c r="A2723" i="1"/>
  <c r="A2722" i="1"/>
  <c r="A2721" i="1"/>
  <c r="A2720" i="1"/>
  <c r="A2719" i="1"/>
  <c r="A2718" i="1"/>
  <c r="A2717" i="1"/>
  <c r="A2716" i="1"/>
  <c r="A2715" i="1"/>
  <c r="A2714" i="1"/>
  <c r="A2713" i="1"/>
  <c r="A2712" i="1"/>
  <c r="A2711" i="1"/>
  <c r="A2710" i="1"/>
  <c r="A2709" i="1"/>
  <c r="A2708" i="1"/>
  <c r="A2707" i="1"/>
  <c r="A2706" i="1"/>
  <c r="A2705" i="1"/>
  <c r="A2704" i="1"/>
  <c r="A2703" i="1"/>
  <c r="A2702" i="1"/>
  <c r="A2701" i="1"/>
  <c r="A2700" i="1"/>
  <c r="A2699" i="1"/>
  <c r="A2698" i="1"/>
  <c r="A2697" i="1"/>
  <c r="A2696" i="1"/>
  <c r="A2695" i="1"/>
  <c r="A2694" i="1"/>
  <c r="A2693" i="1"/>
  <c r="A2692" i="1"/>
  <c r="A2691" i="1"/>
  <c r="A2690" i="1"/>
  <c r="A2689" i="1"/>
  <c r="A2688" i="1"/>
  <c r="A2687" i="1"/>
  <c r="A2686" i="1"/>
  <c r="A2685" i="1"/>
  <c r="A2684" i="1"/>
  <c r="A2683" i="1"/>
  <c r="A2682" i="1"/>
  <c r="A2681" i="1"/>
  <c r="A2680" i="1"/>
  <c r="A2679" i="1"/>
  <c r="A2678" i="1"/>
  <c r="A2677" i="1"/>
  <c r="A2676" i="1"/>
  <c r="A2675" i="1"/>
  <c r="A2674" i="1"/>
  <c r="A2673" i="1"/>
  <c r="A2672" i="1"/>
  <c r="A2671" i="1"/>
  <c r="A2670" i="1"/>
  <c r="A2669" i="1"/>
  <c r="A2668" i="1"/>
  <c r="A2667" i="1"/>
  <c r="A2666" i="1"/>
  <c r="A2665" i="1"/>
  <c r="A2664" i="1"/>
  <c r="A2663" i="1"/>
  <c r="A2662" i="1"/>
  <c r="A2661" i="1"/>
  <c r="A2660" i="1"/>
  <c r="A2659" i="1"/>
  <c r="A2658" i="1"/>
  <c r="A2657" i="1"/>
  <c r="A2656" i="1"/>
  <c r="A2655" i="1"/>
  <c r="A2654" i="1"/>
  <c r="A2653" i="1"/>
  <c r="A2652" i="1"/>
  <c r="A2651" i="1"/>
  <c r="A2650" i="1"/>
  <c r="A2649" i="1"/>
  <c r="A2648" i="1"/>
  <c r="A2647" i="1"/>
  <c r="A2646" i="1"/>
  <c r="A2645" i="1"/>
  <c r="A2644" i="1"/>
  <c r="A2643" i="1"/>
  <c r="A2642" i="1"/>
  <c r="A2641" i="1"/>
  <c r="A2640" i="1"/>
  <c r="A2639" i="1"/>
  <c r="A2638" i="1"/>
  <c r="A2637" i="1"/>
  <c r="A2636" i="1"/>
  <c r="A2635" i="1"/>
  <c r="A2634" i="1"/>
  <c r="A2633" i="1"/>
  <c r="A2632" i="1"/>
  <c r="A2631" i="1"/>
  <c r="A2630" i="1"/>
  <c r="A2629" i="1"/>
  <c r="A2628" i="1"/>
  <c r="A2627" i="1"/>
  <c r="A2626" i="1"/>
  <c r="A2625" i="1"/>
  <c r="A2624" i="1"/>
  <c r="A2623" i="1"/>
  <c r="A2622" i="1"/>
  <c r="A2621" i="1"/>
  <c r="A2620" i="1"/>
  <c r="A2619" i="1"/>
  <c r="A2618" i="1"/>
  <c r="A2617" i="1"/>
  <c r="A2616" i="1"/>
  <c r="A2615" i="1"/>
  <c r="A2614" i="1"/>
  <c r="A2613" i="1"/>
  <c r="A2612" i="1"/>
  <c r="A2611" i="1"/>
  <c r="A2610" i="1"/>
  <c r="A2609" i="1"/>
  <c r="A2608" i="1"/>
  <c r="A2607" i="1"/>
  <c r="A2606" i="1"/>
  <c r="A2605" i="1"/>
  <c r="A2604" i="1"/>
  <c r="A2603" i="1"/>
  <c r="A2602" i="1"/>
  <c r="A2601" i="1"/>
  <c r="A2600" i="1"/>
  <c r="A2599" i="1"/>
  <c r="A2598" i="1"/>
  <c r="A2597" i="1"/>
  <c r="A2596" i="1"/>
  <c r="A2595" i="1"/>
  <c r="A2594" i="1"/>
  <c r="A2593" i="1"/>
  <c r="A2592" i="1"/>
  <c r="A2591" i="1"/>
  <c r="A2590" i="1"/>
  <c r="A2589" i="1"/>
  <c r="A2588" i="1"/>
  <c r="A2587" i="1"/>
  <c r="A2586" i="1"/>
  <c r="A2585" i="1"/>
  <c r="A2584" i="1"/>
  <c r="A2583" i="1"/>
  <c r="A2582" i="1"/>
  <c r="A2581" i="1"/>
  <c r="A2580" i="1"/>
  <c r="A2579" i="1"/>
  <c r="A2578" i="1"/>
  <c r="A2577" i="1"/>
  <c r="A2576" i="1"/>
  <c r="A2575" i="1"/>
  <c r="A2574" i="1"/>
  <c r="A2573" i="1"/>
  <c r="A2572" i="1"/>
  <c r="A2571" i="1"/>
  <c r="A2570" i="1"/>
  <c r="A2569" i="1"/>
  <c r="A2568" i="1"/>
  <c r="A2567" i="1"/>
  <c r="A2566" i="1"/>
  <c r="A2565" i="1"/>
  <c r="A2564" i="1"/>
  <c r="A2563" i="1"/>
  <c r="A2562" i="1"/>
  <c r="A2561" i="1"/>
  <c r="A2560" i="1"/>
  <c r="A2559" i="1"/>
  <c r="A2558" i="1"/>
  <c r="A2557" i="1"/>
  <c r="A2556" i="1"/>
  <c r="A2555" i="1"/>
  <c r="A2554" i="1"/>
  <c r="A2553" i="1"/>
  <c r="A2552" i="1"/>
  <c r="A2551" i="1"/>
  <c r="A2550" i="1"/>
  <c r="A2549" i="1"/>
  <c r="A2548" i="1"/>
  <c r="A2547" i="1"/>
  <c r="A2546" i="1"/>
  <c r="A2545" i="1"/>
  <c r="A2544" i="1"/>
  <c r="A2543" i="1"/>
  <c r="A2542" i="1"/>
  <c r="A2541" i="1"/>
  <c r="A2540" i="1"/>
  <c r="A2539" i="1"/>
  <c r="A2538" i="1"/>
  <c r="A2537" i="1"/>
  <c r="A2536" i="1"/>
  <c r="A2535" i="1"/>
  <c r="A2534" i="1"/>
  <c r="A2533" i="1"/>
  <c r="A2532" i="1"/>
  <c r="A2531" i="1"/>
  <c r="A2530" i="1"/>
  <c r="A2529" i="1"/>
  <c r="A2528" i="1"/>
  <c r="A2527" i="1"/>
  <c r="A2526" i="1"/>
  <c r="A2525" i="1"/>
  <c r="A2524" i="1"/>
  <c r="A2523" i="1"/>
  <c r="A2522" i="1"/>
  <c r="A2521" i="1"/>
  <c r="A2520" i="1"/>
  <c r="A2519" i="1"/>
  <c r="A2518" i="1"/>
  <c r="A2517" i="1"/>
  <c r="A2516" i="1"/>
  <c r="A2515" i="1"/>
  <c r="A2514" i="1"/>
  <c r="A2513" i="1"/>
  <c r="A2512" i="1"/>
  <c r="A2511" i="1"/>
  <c r="A2510" i="1"/>
  <c r="A2509" i="1"/>
  <c r="A2508" i="1"/>
  <c r="A2507" i="1"/>
  <c r="A2506" i="1"/>
  <c r="A2505" i="1"/>
  <c r="A2504" i="1"/>
  <c r="A2503" i="1"/>
  <c r="A2502" i="1"/>
  <c r="A2501" i="1"/>
  <c r="A2500" i="1"/>
  <c r="A2499" i="1"/>
  <c r="A2498" i="1"/>
  <c r="A2497" i="1"/>
  <c r="A2496" i="1"/>
  <c r="A2495" i="1"/>
  <c r="A2494" i="1"/>
  <c r="A2493" i="1"/>
  <c r="A2492" i="1"/>
  <c r="A2491" i="1"/>
  <c r="A2490" i="1"/>
  <c r="A2489" i="1"/>
  <c r="A2488" i="1"/>
  <c r="A2487" i="1"/>
  <c r="A2486" i="1"/>
  <c r="A2485" i="1"/>
  <c r="A2484" i="1"/>
  <c r="A2483" i="1"/>
  <c r="A2482" i="1"/>
  <c r="A2481" i="1"/>
  <c r="A2480" i="1"/>
  <c r="A2479" i="1"/>
  <c r="A2478" i="1"/>
  <c r="A2477" i="1"/>
  <c r="A2476" i="1"/>
  <c r="A2475" i="1"/>
  <c r="A2474" i="1"/>
  <c r="A2473" i="1"/>
  <c r="A2472" i="1"/>
  <c r="A2471" i="1"/>
  <c r="A2470" i="1"/>
  <c r="A2469" i="1"/>
  <c r="A2468" i="1"/>
  <c r="A2467" i="1"/>
  <c r="A2466" i="1"/>
  <c r="A2465" i="1"/>
  <c r="A2464" i="1"/>
  <c r="A2463" i="1"/>
  <c r="A2462" i="1"/>
  <c r="A2461" i="1"/>
  <c r="A2460" i="1"/>
  <c r="A2459" i="1"/>
  <c r="A2458" i="1"/>
  <c r="A2457" i="1"/>
  <c r="A2456" i="1"/>
  <c r="A2455" i="1"/>
  <c r="A2454" i="1"/>
  <c r="A2453" i="1"/>
  <c r="A2452" i="1"/>
  <c r="A2451" i="1"/>
  <c r="A2450" i="1"/>
  <c r="A2449" i="1"/>
  <c r="A2448" i="1"/>
  <c r="A2447" i="1"/>
  <c r="A2446" i="1"/>
  <c r="A2445" i="1"/>
  <c r="A2444" i="1"/>
  <c r="A2443" i="1"/>
  <c r="A2442" i="1"/>
  <c r="A2441" i="1"/>
  <c r="A2440" i="1"/>
  <c r="A2439" i="1"/>
  <c r="A2438" i="1"/>
  <c r="A2437" i="1"/>
  <c r="A2436" i="1"/>
  <c r="A2435" i="1"/>
  <c r="A2434" i="1"/>
  <c r="A2433" i="1"/>
  <c r="A2432" i="1"/>
  <c r="A2431" i="1"/>
  <c r="A2430" i="1"/>
  <c r="A2429" i="1"/>
  <c r="A2428" i="1"/>
  <c r="A2427" i="1"/>
  <c r="A2426" i="1"/>
  <c r="A2425" i="1"/>
  <c r="A2424" i="1"/>
  <c r="A2423" i="1"/>
  <c r="A2422" i="1"/>
  <c r="A2421" i="1"/>
  <c r="A2420" i="1"/>
  <c r="A2419" i="1"/>
  <c r="A2418" i="1"/>
  <c r="A2417" i="1"/>
  <c r="A2416" i="1"/>
  <c r="A2415" i="1"/>
  <c r="A2414" i="1"/>
  <c r="A2413" i="1"/>
  <c r="A2412" i="1"/>
  <c r="A2411" i="1"/>
  <c r="A2410" i="1"/>
  <c r="A2409" i="1"/>
  <c r="A2408" i="1"/>
  <c r="A2407" i="1"/>
  <c r="A2406" i="1"/>
  <c r="A2405" i="1"/>
  <c r="A2404" i="1"/>
  <c r="A2403" i="1"/>
  <c r="A2402" i="1"/>
  <c r="A2401" i="1"/>
  <c r="A2400" i="1"/>
  <c r="A2399" i="1"/>
  <c r="A2398" i="1"/>
  <c r="A2397" i="1"/>
  <c r="A2396" i="1"/>
  <c r="A2395" i="1"/>
  <c r="A2394" i="1"/>
  <c r="A2393" i="1"/>
  <c r="A2392" i="1"/>
  <c r="A2391" i="1"/>
  <c r="A2390" i="1"/>
  <c r="A2389" i="1"/>
  <c r="A2388" i="1"/>
  <c r="A2387" i="1"/>
  <c r="A2386" i="1"/>
  <c r="A2385" i="1"/>
  <c r="A2384" i="1"/>
  <c r="A2383" i="1"/>
  <c r="A2382" i="1"/>
  <c r="A2381" i="1"/>
  <c r="A2380" i="1"/>
  <c r="A2379" i="1"/>
  <c r="A2378" i="1"/>
  <c r="A2377" i="1"/>
  <c r="A2376" i="1"/>
  <c r="A2375" i="1"/>
  <c r="A2374" i="1"/>
  <c r="A2373" i="1"/>
  <c r="A2372" i="1"/>
  <c r="A2371" i="1"/>
  <c r="A2370" i="1"/>
  <c r="A2369" i="1"/>
  <c r="A2368" i="1"/>
  <c r="A2367" i="1"/>
  <c r="A2366" i="1"/>
  <c r="A2365" i="1"/>
  <c r="A2364" i="1"/>
  <c r="A2363" i="1"/>
  <c r="A2362" i="1"/>
  <c r="A2361" i="1"/>
  <c r="A2360" i="1"/>
  <c r="A2359" i="1"/>
  <c r="A2358" i="1"/>
  <c r="A2357" i="1"/>
  <c r="A2356" i="1"/>
  <c r="A2355" i="1"/>
  <c r="A2354" i="1"/>
  <c r="A2353" i="1"/>
  <c r="A2352" i="1"/>
  <c r="A2351" i="1"/>
  <c r="A2350" i="1"/>
  <c r="A2349" i="1"/>
  <c r="A2348" i="1"/>
  <c r="A2347" i="1"/>
  <c r="A2346" i="1"/>
  <c r="A2345" i="1"/>
  <c r="A2344" i="1"/>
  <c r="A2343" i="1"/>
  <c r="A2342" i="1"/>
  <c r="A2341" i="1"/>
  <c r="A2340" i="1"/>
  <c r="A2339" i="1"/>
  <c r="A2338" i="1"/>
  <c r="A2337" i="1"/>
  <c r="A2336" i="1"/>
  <c r="A2335" i="1"/>
  <c r="A2334" i="1"/>
  <c r="A2333" i="1"/>
  <c r="A2332" i="1"/>
  <c r="A2331" i="1"/>
  <c r="A2330" i="1"/>
  <c r="A2329" i="1"/>
  <c r="A2328" i="1"/>
  <c r="A2327" i="1"/>
  <c r="A2326" i="1"/>
  <c r="A2325" i="1"/>
  <c r="A2324" i="1"/>
  <c r="A2323" i="1"/>
  <c r="A2322" i="1"/>
  <c r="A2321" i="1"/>
  <c r="A2320" i="1"/>
  <c r="A2319" i="1"/>
  <c r="A2318" i="1"/>
  <c r="A2317" i="1"/>
  <c r="A2316" i="1"/>
  <c r="A2315" i="1"/>
  <c r="A2314" i="1"/>
  <c r="A2313" i="1"/>
  <c r="A2312" i="1"/>
  <c r="A2311" i="1"/>
  <c r="A2310" i="1"/>
  <c r="A2309" i="1"/>
  <c r="A2308" i="1"/>
  <c r="A2307" i="1"/>
  <c r="A2306" i="1"/>
  <c r="A2305" i="1"/>
  <c r="A2304" i="1"/>
  <c r="A2303" i="1"/>
  <c r="A2302" i="1"/>
  <c r="A2301" i="1"/>
  <c r="A2300" i="1"/>
  <c r="A2299" i="1"/>
  <c r="A2298" i="1"/>
  <c r="A2297" i="1"/>
  <c r="A2296" i="1"/>
  <c r="A2295" i="1"/>
  <c r="A2294" i="1"/>
  <c r="A2293" i="1"/>
  <c r="A2292" i="1"/>
  <c r="A2291" i="1"/>
  <c r="A2290" i="1"/>
  <c r="A2289" i="1"/>
  <c r="A2288" i="1"/>
  <c r="A2287" i="1"/>
  <c r="A2286" i="1"/>
  <c r="A2285" i="1"/>
  <c r="A2284" i="1"/>
  <c r="A2283" i="1"/>
  <c r="A2282" i="1"/>
  <c r="A2281" i="1"/>
  <c r="A2280" i="1"/>
  <c r="A2279" i="1"/>
  <c r="A2278" i="1"/>
  <c r="A2277" i="1"/>
  <c r="A2276" i="1"/>
  <c r="A2275" i="1"/>
  <c r="A2274" i="1"/>
  <c r="A2273" i="1"/>
  <c r="A2272" i="1"/>
  <c r="A2271" i="1"/>
  <c r="A2270" i="1"/>
  <c r="A2269" i="1"/>
  <c r="A2268" i="1"/>
  <c r="A2267" i="1"/>
  <c r="A2266" i="1"/>
  <c r="A2265" i="1"/>
  <c r="A2264" i="1"/>
  <c r="A2263" i="1"/>
  <c r="A2262" i="1"/>
  <c r="A2261" i="1"/>
  <c r="A2260" i="1"/>
  <c r="A2259" i="1"/>
  <c r="A2258" i="1"/>
  <c r="A2257" i="1"/>
  <c r="A2256" i="1"/>
  <c r="A2255" i="1"/>
  <c r="A2254" i="1"/>
  <c r="A2253" i="1"/>
  <c r="A2252" i="1"/>
  <c r="A2251" i="1"/>
  <c r="A2250" i="1"/>
  <c r="A2249" i="1"/>
  <c r="A2248" i="1"/>
  <c r="A2247" i="1"/>
  <c r="A2246" i="1"/>
  <c r="A2245" i="1"/>
  <c r="A2244" i="1"/>
  <c r="A2243" i="1"/>
  <c r="A2242" i="1"/>
  <c r="A2241" i="1"/>
  <c r="A2240" i="1"/>
  <c r="A2239" i="1"/>
  <c r="A2238" i="1"/>
  <c r="A2237" i="1"/>
  <c r="A2236" i="1"/>
  <c r="A2235" i="1"/>
  <c r="A2234" i="1"/>
  <c r="A2233" i="1"/>
  <c r="A2232" i="1"/>
  <c r="A2231" i="1"/>
  <c r="A2230" i="1"/>
  <c r="A2229" i="1"/>
  <c r="A2228" i="1"/>
  <c r="A2227" i="1"/>
  <c r="A2226" i="1"/>
  <c r="A2225" i="1"/>
  <c r="A2224" i="1"/>
  <c r="A2223" i="1"/>
  <c r="A2222" i="1"/>
  <c r="A2221" i="1"/>
  <c r="A2220" i="1"/>
  <c r="A2219" i="1"/>
  <c r="A2218" i="1"/>
  <c r="A2217" i="1"/>
  <c r="A2216" i="1"/>
  <c r="A2215" i="1"/>
  <c r="A2214" i="1"/>
  <c r="A2213" i="1"/>
  <c r="A2212" i="1"/>
  <c r="A2211" i="1"/>
  <c r="A2210" i="1"/>
  <c r="A2209" i="1"/>
  <c r="A2208" i="1"/>
  <c r="A2207" i="1"/>
  <c r="A2206" i="1"/>
  <c r="A2205" i="1"/>
  <c r="A2204" i="1"/>
  <c r="A2203" i="1"/>
  <c r="A2202" i="1"/>
  <c r="A2201" i="1"/>
  <c r="A2200" i="1"/>
  <c r="A2199" i="1"/>
  <c r="A2198" i="1"/>
  <c r="A2197" i="1"/>
  <c r="A2196" i="1"/>
  <c r="A2195" i="1"/>
  <c r="A2194" i="1"/>
  <c r="A2193" i="1"/>
  <c r="A2192" i="1"/>
  <c r="A2191" i="1"/>
  <c r="A2190" i="1"/>
  <c r="A2189" i="1"/>
  <c r="A2188" i="1"/>
  <c r="A2187" i="1"/>
  <c r="A2186" i="1"/>
  <c r="A2185" i="1"/>
  <c r="A2184" i="1"/>
  <c r="A2183" i="1"/>
  <c r="A2182" i="1"/>
  <c r="A2181" i="1"/>
  <c r="A2180" i="1"/>
  <c r="A2179" i="1"/>
  <c r="A2178" i="1"/>
  <c r="A2177" i="1"/>
  <c r="A2176" i="1"/>
  <c r="A2175" i="1"/>
  <c r="A2174" i="1"/>
  <c r="A2173" i="1"/>
  <c r="A2172" i="1"/>
  <c r="A2171" i="1"/>
  <c r="A2170" i="1"/>
  <c r="A2169" i="1"/>
  <c r="A2168" i="1"/>
  <c r="A2167" i="1"/>
  <c r="A2166" i="1"/>
  <c r="A2165" i="1"/>
  <c r="A2164" i="1"/>
  <c r="A2163" i="1"/>
  <c r="A2162" i="1"/>
  <c r="A2161" i="1"/>
  <c r="A2160" i="1"/>
  <c r="A2159" i="1"/>
  <c r="A2158" i="1"/>
  <c r="A2157" i="1"/>
  <c r="A2156" i="1"/>
  <c r="A2155" i="1"/>
  <c r="A2154" i="1"/>
  <c r="A2153" i="1"/>
  <c r="A2152" i="1"/>
  <c r="A2151" i="1"/>
  <c r="A2150" i="1"/>
  <c r="A2149" i="1"/>
  <c r="A2148" i="1"/>
  <c r="A2147" i="1"/>
  <c r="A2146" i="1"/>
  <c r="A2145" i="1"/>
  <c r="A2144" i="1"/>
  <c r="A2143" i="1"/>
  <c r="A2142" i="1"/>
  <c r="A2141" i="1"/>
  <c r="A2140" i="1"/>
  <c r="A2139" i="1"/>
  <c r="A2138" i="1"/>
  <c r="A2137" i="1"/>
  <c r="A2136" i="1"/>
  <c r="A2135" i="1"/>
  <c r="A2134" i="1"/>
  <c r="A2133" i="1"/>
  <c r="A2132" i="1"/>
  <c r="A2131" i="1"/>
  <c r="A2130" i="1"/>
  <c r="A2129" i="1"/>
  <c r="A2128" i="1"/>
  <c r="A2127" i="1"/>
  <c r="A2126" i="1"/>
  <c r="A2125" i="1"/>
  <c r="A2124" i="1"/>
  <c r="A2123" i="1"/>
  <c r="A2122" i="1"/>
  <c r="A2121" i="1"/>
  <c r="A2120" i="1"/>
  <c r="A2119" i="1"/>
  <c r="A2118" i="1"/>
  <c r="A2117" i="1"/>
  <c r="A2116" i="1"/>
  <c r="A2115" i="1"/>
  <c r="A2114" i="1"/>
  <c r="A2113" i="1"/>
  <c r="A2112" i="1"/>
  <c r="A2111" i="1"/>
  <c r="A2110" i="1"/>
  <c r="A2109" i="1"/>
  <c r="A2108" i="1"/>
  <c r="A2107" i="1"/>
  <c r="A2106" i="1"/>
  <c r="A2105" i="1"/>
  <c r="A2104" i="1"/>
  <c r="A2103" i="1"/>
  <c r="A2102" i="1"/>
  <c r="A2101" i="1"/>
  <c r="A2100" i="1"/>
  <c r="A2099" i="1"/>
  <c r="A2098" i="1"/>
  <c r="A2097" i="1"/>
  <c r="A2096" i="1"/>
  <c r="A2095" i="1"/>
  <c r="A2094" i="1"/>
  <c r="A2093" i="1"/>
  <c r="A2092" i="1"/>
  <c r="A2091" i="1"/>
  <c r="A2090" i="1"/>
  <c r="A2089" i="1"/>
  <c r="A2088" i="1"/>
  <c r="A2087" i="1"/>
  <c r="A2086" i="1"/>
  <c r="A2085" i="1"/>
  <c r="A2084" i="1"/>
  <c r="A2083" i="1"/>
  <c r="A2082" i="1"/>
  <c r="A2081" i="1"/>
  <c r="A2080" i="1"/>
  <c r="A2079" i="1"/>
  <c r="A2078" i="1"/>
  <c r="A2077" i="1"/>
  <c r="A2076" i="1"/>
  <c r="A2075" i="1"/>
  <c r="A2074" i="1"/>
  <c r="A2073" i="1"/>
  <c r="A2072" i="1"/>
  <c r="A2071" i="1"/>
  <c r="A2070" i="1"/>
  <c r="A2069" i="1"/>
  <c r="A2068" i="1"/>
  <c r="A2067" i="1"/>
  <c r="A2066" i="1"/>
  <c r="A2065" i="1"/>
  <c r="A2064" i="1"/>
  <c r="A2063" i="1"/>
  <c r="A2062" i="1"/>
  <c r="A2061" i="1"/>
  <c r="A2060" i="1"/>
  <c r="A2059" i="1"/>
  <c r="A2058" i="1"/>
  <c r="A2057" i="1"/>
  <c r="A2056" i="1"/>
  <c r="A2055" i="1"/>
  <c r="A2054" i="1"/>
  <c r="A2053" i="1"/>
  <c r="A2052" i="1"/>
  <c r="A2051" i="1"/>
  <c r="A2050" i="1"/>
  <c r="A2049" i="1"/>
  <c r="A2048" i="1"/>
  <c r="A2047" i="1"/>
  <c r="A2046" i="1"/>
  <c r="A2045" i="1"/>
  <c r="A2044" i="1"/>
  <c r="A2043" i="1"/>
  <c r="A2042" i="1"/>
  <c r="A2041" i="1"/>
  <c r="A2040" i="1"/>
  <c r="A2039" i="1"/>
  <c r="A2038" i="1"/>
  <c r="A2037" i="1"/>
  <c r="A2036" i="1"/>
  <c r="A2035" i="1"/>
  <c r="A2034" i="1"/>
  <c r="A2033" i="1"/>
  <c r="A2032" i="1"/>
  <c r="A2031" i="1"/>
  <c r="A2030" i="1"/>
  <c r="A2029" i="1"/>
  <c r="A2028" i="1"/>
  <c r="A2027" i="1"/>
  <c r="A2026" i="1"/>
  <c r="A2025" i="1"/>
  <c r="A2024" i="1"/>
  <c r="A2023" i="1"/>
  <c r="A2022" i="1"/>
  <c r="A2021" i="1"/>
  <c r="A2020" i="1"/>
  <c r="A2019" i="1"/>
  <c r="A2018" i="1"/>
  <c r="A2017" i="1"/>
  <c r="A2016" i="1"/>
  <c r="A2015" i="1"/>
  <c r="A2014" i="1"/>
  <c r="A2013" i="1"/>
  <c r="A2012" i="1"/>
  <c r="A2011" i="1"/>
  <c r="A2010" i="1"/>
  <c r="A2009" i="1"/>
  <c r="A2008" i="1"/>
  <c r="A2007" i="1"/>
  <c r="A2006" i="1"/>
  <c r="A2005" i="1"/>
  <c r="A2004" i="1"/>
  <c r="A2003" i="1"/>
  <c r="A2002" i="1"/>
  <c r="A2001" i="1"/>
  <c r="A2000" i="1"/>
  <c r="A1999" i="1"/>
  <c r="A1998" i="1"/>
  <c r="A1997" i="1"/>
  <c r="A1996" i="1"/>
  <c r="A1995" i="1"/>
  <c r="A1994" i="1"/>
  <c r="A1993" i="1"/>
  <c r="A1992" i="1"/>
  <c r="A1991" i="1"/>
  <c r="A1990" i="1"/>
  <c r="A1989" i="1"/>
  <c r="A1988" i="1"/>
  <c r="A1987" i="1"/>
  <c r="A1986" i="1"/>
  <c r="A1985" i="1"/>
  <c r="A1984" i="1"/>
  <c r="A1983" i="1"/>
  <c r="A1982" i="1"/>
  <c r="A1981" i="1"/>
  <c r="A1980" i="1"/>
  <c r="A1979" i="1"/>
  <c r="A1978" i="1"/>
  <c r="A1977" i="1"/>
  <c r="A1976" i="1"/>
  <c r="A1975" i="1"/>
  <c r="A1974" i="1"/>
  <c r="A1973" i="1"/>
  <c r="A1972" i="1"/>
  <c r="A1971" i="1"/>
  <c r="A1970" i="1"/>
  <c r="A1969" i="1"/>
  <c r="A1968" i="1"/>
  <c r="A1967" i="1"/>
  <c r="A1966" i="1"/>
  <c r="A1965" i="1"/>
  <c r="A1964" i="1"/>
  <c r="A1963" i="1"/>
  <c r="A1962" i="1"/>
  <c r="A1961" i="1"/>
  <c r="A1960" i="1"/>
  <c r="A1959" i="1"/>
  <c r="A1958" i="1"/>
  <c r="A1957" i="1"/>
  <c r="A1956" i="1"/>
  <c r="A1955" i="1"/>
  <c r="A1954" i="1"/>
  <c r="A1953" i="1"/>
  <c r="A1952" i="1"/>
  <c r="A1951" i="1"/>
  <c r="A1950" i="1"/>
  <c r="A1949" i="1"/>
  <c r="A1948" i="1"/>
  <c r="A1947" i="1"/>
  <c r="A1946" i="1"/>
  <c r="A1945" i="1"/>
  <c r="A1944" i="1"/>
  <c r="A1943" i="1"/>
  <c r="A1942" i="1"/>
  <c r="A1941" i="1"/>
  <c r="A1940" i="1"/>
  <c r="A1939" i="1"/>
  <c r="A1938" i="1"/>
  <c r="A1937" i="1"/>
  <c r="A1936" i="1"/>
  <c r="A1935" i="1"/>
  <c r="A1934" i="1"/>
  <c r="A1933" i="1"/>
  <c r="A1932" i="1"/>
  <c r="A1931" i="1"/>
  <c r="A1930" i="1"/>
  <c r="A1929" i="1"/>
  <c r="A1928" i="1"/>
  <c r="A1927" i="1"/>
  <c r="A1926" i="1"/>
  <c r="A1925" i="1"/>
  <c r="A1924" i="1"/>
  <c r="A1923" i="1"/>
  <c r="A1922" i="1"/>
  <c r="A1921" i="1"/>
  <c r="A1920" i="1"/>
  <c r="A1919" i="1"/>
  <c r="A1918" i="1"/>
  <c r="A1917" i="1"/>
  <c r="A1916" i="1"/>
  <c r="A1915" i="1"/>
  <c r="A1914" i="1"/>
  <c r="A1913" i="1"/>
  <c r="A1912" i="1"/>
  <c r="A1911" i="1"/>
  <c r="A1910" i="1"/>
  <c r="A1909" i="1"/>
  <c r="A1908" i="1"/>
  <c r="A1907" i="1"/>
  <c r="A1906" i="1"/>
  <c r="A1905" i="1"/>
  <c r="A1904" i="1"/>
  <c r="A1903" i="1"/>
  <c r="A1902" i="1"/>
  <c r="A1901" i="1"/>
  <c r="A1900" i="1"/>
  <c r="A1899" i="1"/>
  <c r="A1898" i="1"/>
  <c r="A1897" i="1"/>
  <c r="A1896" i="1"/>
  <c r="A1895" i="1"/>
  <c r="A1894" i="1"/>
  <c r="A1893" i="1"/>
  <c r="A1892" i="1"/>
  <c r="A1891" i="1"/>
  <c r="A1890" i="1"/>
  <c r="A1889" i="1"/>
  <c r="A1888" i="1"/>
  <c r="A1887" i="1"/>
  <c r="A1886" i="1"/>
  <c r="A1885" i="1"/>
  <c r="A1884" i="1"/>
  <c r="A1883" i="1"/>
  <c r="A1882" i="1"/>
  <c r="A1881" i="1"/>
  <c r="A1880" i="1"/>
  <c r="A1879" i="1"/>
  <c r="A1878" i="1"/>
  <c r="A1877" i="1"/>
  <c r="A1876" i="1"/>
  <c r="A1875" i="1"/>
  <c r="A1874" i="1"/>
  <c r="A1873" i="1"/>
  <c r="A1872" i="1"/>
  <c r="A1871" i="1"/>
  <c r="A1870" i="1"/>
  <c r="A1869" i="1"/>
  <c r="A1868" i="1"/>
  <c r="A1867" i="1"/>
  <c r="A1866" i="1"/>
  <c r="A1865" i="1"/>
  <c r="A1864" i="1"/>
  <c r="A1863" i="1"/>
  <c r="A1862" i="1"/>
  <c r="A1861" i="1"/>
  <c r="A1860" i="1"/>
  <c r="A1859" i="1"/>
  <c r="A1858" i="1"/>
  <c r="A1857" i="1"/>
  <c r="A1856" i="1"/>
  <c r="A1855" i="1"/>
  <c r="A1854" i="1"/>
  <c r="A1853" i="1"/>
  <c r="A1852" i="1"/>
  <c r="A1851" i="1"/>
  <c r="A1850" i="1"/>
  <c r="A1849" i="1"/>
  <c r="A1848" i="1"/>
  <c r="A1847" i="1"/>
  <c r="A1846" i="1"/>
  <c r="A1845" i="1"/>
  <c r="A1844" i="1"/>
  <c r="A1843" i="1"/>
  <c r="A1842" i="1"/>
  <c r="A1841" i="1"/>
  <c r="A1840" i="1"/>
  <c r="A1839" i="1"/>
  <c r="A1838" i="1"/>
  <c r="A1837" i="1"/>
  <c r="A1836" i="1"/>
  <c r="A1835" i="1"/>
  <c r="A1834" i="1"/>
  <c r="A1833" i="1"/>
  <c r="A1832" i="1"/>
  <c r="A1831" i="1"/>
  <c r="A1830" i="1"/>
  <c r="A1829" i="1"/>
  <c r="A1828" i="1"/>
  <c r="A1827" i="1"/>
  <c r="A1826" i="1"/>
  <c r="A1825" i="1"/>
  <c r="A1824" i="1"/>
  <c r="A1823" i="1"/>
  <c r="A1822" i="1"/>
  <c r="A1821" i="1"/>
  <c r="A1820" i="1"/>
  <c r="A1819" i="1"/>
  <c r="A1818" i="1"/>
  <c r="A1817" i="1"/>
  <c r="A1816" i="1"/>
  <c r="A1815" i="1"/>
  <c r="A1814" i="1"/>
  <c r="A1813" i="1"/>
  <c r="A1812" i="1"/>
  <c r="A1811" i="1"/>
  <c r="A1810" i="1"/>
  <c r="A1809" i="1"/>
  <c r="A1808" i="1"/>
  <c r="A1807" i="1"/>
  <c r="A1806" i="1"/>
  <c r="A1805" i="1"/>
  <c r="A1804" i="1"/>
  <c r="A1803" i="1"/>
  <c r="A1802" i="1"/>
  <c r="A1801" i="1"/>
  <c r="A1800" i="1"/>
  <c r="A1799" i="1"/>
  <c r="A1798" i="1"/>
  <c r="A1797" i="1"/>
  <c r="A1796" i="1"/>
  <c r="A1795" i="1"/>
  <c r="A1794" i="1"/>
  <c r="A1793" i="1"/>
  <c r="A1792" i="1"/>
  <c r="A1791" i="1"/>
  <c r="A1790" i="1"/>
  <c r="A1789" i="1"/>
  <c r="A1788" i="1"/>
  <c r="A1787" i="1"/>
  <c r="A1786" i="1"/>
  <c r="A1785" i="1"/>
  <c r="A1784" i="1"/>
  <c r="A1783" i="1"/>
  <c r="A1782" i="1"/>
  <c r="A1781" i="1"/>
  <c r="A1780" i="1"/>
  <c r="A1779" i="1"/>
  <c r="A1778" i="1"/>
  <c r="A1777" i="1"/>
  <c r="A1776" i="1"/>
  <c r="A1775" i="1"/>
  <c r="A1774" i="1"/>
  <c r="A1773" i="1"/>
  <c r="A1772" i="1"/>
  <c r="A1771" i="1"/>
  <c r="A1770" i="1"/>
  <c r="A1769" i="1"/>
  <c r="A1768" i="1"/>
  <c r="A1767" i="1"/>
  <c r="A1766" i="1"/>
  <c r="A1765" i="1"/>
  <c r="A1764" i="1"/>
  <c r="A1763" i="1"/>
  <c r="A1762" i="1"/>
  <c r="A1761" i="1"/>
  <c r="A1760" i="1"/>
  <c r="A1759" i="1"/>
  <c r="A1758" i="1"/>
  <c r="A1757" i="1"/>
  <c r="A1756" i="1"/>
  <c r="A1755" i="1"/>
  <c r="A1754" i="1"/>
  <c r="A1753" i="1"/>
  <c r="A1752" i="1"/>
  <c r="A1751" i="1"/>
  <c r="A1750" i="1"/>
  <c r="A1749" i="1"/>
  <c r="A1748" i="1"/>
  <c r="A1747" i="1"/>
  <c r="A1746" i="1"/>
  <c r="A1745" i="1"/>
  <c r="A1744" i="1"/>
  <c r="A1743" i="1"/>
  <c r="A1742" i="1"/>
  <c r="A1741" i="1"/>
  <c r="A1740" i="1"/>
  <c r="A1739" i="1"/>
  <c r="A1738" i="1"/>
  <c r="A1737" i="1"/>
  <c r="A1736" i="1"/>
  <c r="A1735" i="1"/>
  <c r="A1734" i="1"/>
  <c r="A1733" i="1"/>
  <c r="A1732" i="1"/>
  <c r="A1731" i="1"/>
  <c r="A1730" i="1"/>
  <c r="A1729" i="1"/>
  <c r="A1728" i="1"/>
  <c r="A1727" i="1"/>
  <c r="A1726" i="1"/>
  <c r="A1725" i="1"/>
  <c r="A1724" i="1"/>
  <c r="A1723" i="1"/>
  <c r="A1722" i="1"/>
  <c r="A1721" i="1"/>
  <c r="A1720" i="1"/>
  <c r="A1719" i="1"/>
  <c r="A1718" i="1"/>
  <c r="A1717" i="1"/>
  <c r="A1716" i="1"/>
  <c r="A1715" i="1"/>
  <c r="A1714" i="1"/>
  <c r="A1713" i="1"/>
  <c r="A1712" i="1"/>
  <c r="A1711" i="1"/>
  <c r="A1710" i="1"/>
  <c r="A1709" i="1"/>
  <c r="A1708" i="1"/>
  <c r="A1707" i="1"/>
  <c r="A1706" i="1"/>
  <c r="A1705" i="1"/>
  <c r="A1704" i="1"/>
  <c r="A1703" i="1"/>
  <c r="A1702" i="1"/>
  <c r="A1701" i="1"/>
  <c r="A1700" i="1"/>
  <c r="A1699" i="1"/>
  <c r="A1698" i="1"/>
  <c r="A1697" i="1"/>
  <c r="A1696" i="1"/>
  <c r="A1695" i="1"/>
  <c r="A1694" i="1"/>
  <c r="A1693" i="1"/>
  <c r="A1692" i="1"/>
  <c r="A1691" i="1"/>
  <c r="A1690" i="1"/>
  <c r="A1689" i="1"/>
  <c r="A1688" i="1"/>
  <c r="A1687" i="1"/>
  <c r="A1686" i="1"/>
  <c r="A1685" i="1"/>
  <c r="A1684" i="1"/>
  <c r="A1683" i="1"/>
  <c r="A1682" i="1"/>
  <c r="A1681" i="1"/>
  <c r="A1680" i="1"/>
  <c r="A1679" i="1"/>
  <c r="A1678" i="1"/>
  <c r="A1677" i="1"/>
  <c r="A1676" i="1"/>
  <c r="A1675" i="1"/>
  <c r="A1674" i="1"/>
  <c r="A1673" i="1"/>
  <c r="A1672" i="1"/>
  <c r="A1671" i="1"/>
  <c r="A1670" i="1"/>
  <c r="A1669" i="1"/>
  <c r="A1668" i="1"/>
  <c r="A1667" i="1"/>
  <c r="A1666" i="1"/>
  <c r="A1665" i="1"/>
  <c r="A1664" i="1"/>
  <c r="A1663" i="1"/>
  <c r="A1662" i="1"/>
  <c r="A1661" i="1"/>
  <c r="A1660" i="1"/>
  <c r="A1659" i="1"/>
  <c r="A1658" i="1"/>
  <c r="A1657" i="1"/>
  <c r="A1656" i="1"/>
  <c r="A1655" i="1"/>
  <c r="A1654" i="1"/>
  <c r="A1653" i="1"/>
  <c r="A1652" i="1"/>
  <c r="A1651" i="1"/>
  <c r="A1650" i="1"/>
  <c r="A1649" i="1"/>
  <c r="A1648" i="1"/>
  <c r="A1647" i="1"/>
  <c r="A1646" i="1"/>
  <c r="A1645" i="1"/>
  <c r="A1644" i="1"/>
  <c r="A1643" i="1"/>
  <c r="A1642" i="1"/>
  <c r="A1641" i="1"/>
  <c r="A1640" i="1"/>
  <c r="A1639" i="1"/>
  <c r="A1638" i="1"/>
  <c r="A1637" i="1"/>
  <c r="A1636" i="1"/>
  <c r="A1635" i="1"/>
  <c r="A1634" i="1"/>
  <c r="A1633" i="1"/>
  <c r="A1632" i="1"/>
  <c r="A1631" i="1"/>
  <c r="A1630" i="1"/>
  <c r="A1629" i="1"/>
  <c r="A1628" i="1"/>
  <c r="A1627" i="1"/>
  <c r="A1626" i="1"/>
  <c r="A1625" i="1"/>
  <c r="A1624" i="1"/>
  <c r="A1623" i="1"/>
  <c r="A1622" i="1"/>
  <c r="A1621" i="1"/>
  <c r="A1620" i="1"/>
  <c r="A1619" i="1"/>
  <c r="A1618" i="1"/>
  <c r="A1617" i="1"/>
  <c r="A1616" i="1"/>
  <c r="A1615" i="1"/>
  <c r="A1614" i="1"/>
  <c r="A1613" i="1"/>
  <c r="A1612" i="1"/>
  <c r="A1611" i="1"/>
  <c r="A1610" i="1"/>
  <c r="A1609" i="1"/>
  <c r="A1608" i="1"/>
  <c r="A1607" i="1"/>
  <c r="A1606" i="1"/>
  <c r="A1605" i="1"/>
  <c r="A1604" i="1"/>
  <c r="A1603" i="1"/>
  <c r="A1602" i="1"/>
  <c r="A1601" i="1"/>
  <c r="A1600" i="1"/>
  <c r="A1599" i="1"/>
  <c r="A1598" i="1"/>
  <c r="A1597" i="1"/>
  <c r="A1596" i="1"/>
  <c r="A1595" i="1"/>
  <c r="A1594" i="1"/>
  <c r="A1593" i="1"/>
  <c r="A1592" i="1"/>
  <c r="A1591" i="1"/>
  <c r="A1590" i="1"/>
  <c r="A1589" i="1"/>
  <c r="A1588" i="1"/>
  <c r="A1587" i="1"/>
  <c r="A1586" i="1"/>
  <c r="A1585" i="1"/>
  <c r="A1584" i="1"/>
  <c r="A1583" i="1"/>
  <c r="A1582" i="1"/>
  <c r="A1581" i="1"/>
  <c r="A1580" i="1"/>
  <c r="A1579" i="1"/>
  <c r="A1578" i="1"/>
  <c r="A1577" i="1"/>
  <c r="A1576" i="1"/>
  <c r="A1575" i="1"/>
  <c r="A1574" i="1"/>
  <c r="A1573" i="1"/>
  <c r="A1572" i="1"/>
  <c r="A1571" i="1"/>
  <c r="A1570" i="1"/>
  <c r="A1569" i="1"/>
  <c r="A1568" i="1"/>
  <c r="A1567" i="1"/>
  <c r="A1566" i="1"/>
  <c r="A1565" i="1"/>
  <c r="A1564" i="1"/>
  <c r="A1563" i="1"/>
  <c r="A1562" i="1"/>
  <c r="A1561" i="1"/>
  <c r="A1560" i="1"/>
  <c r="A1559" i="1"/>
  <c r="A1558" i="1"/>
  <c r="A1557" i="1"/>
  <c r="A1556" i="1"/>
  <c r="A1555" i="1"/>
  <c r="A1554" i="1"/>
  <c r="A1553" i="1"/>
  <c r="A1552" i="1"/>
  <c r="A1551" i="1"/>
  <c r="A1550" i="1"/>
  <c r="A1549" i="1"/>
  <c r="A1548" i="1"/>
  <c r="A1547" i="1"/>
  <c r="A1546" i="1"/>
  <c r="A1545" i="1"/>
  <c r="A1544" i="1"/>
  <c r="A1543" i="1"/>
  <c r="A1542" i="1"/>
  <c r="A1541" i="1"/>
  <c r="A1540" i="1"/>
  <c r="A1539" i="1"/>
  <c r="A1538" i="1"/>
  <c r="A1537" i="1"/>
  <c r="A1536" i="1"/>
  <c r="A1535" i="1"/>
  <c r="A1534" i="1"/>
  <c r="A1533" i="1"/>
  <c r="A1532" i="1"/>
  <c r="A1531" i="1"/>
  <c r="A1530" i="1"/>
  <c r="A1529" i="1"/>
  <c r="A1528" i="1"/>
  <c r="A1527" i="1"/>
  <c r="A1526" i="1"/>
  <c r="A1525" i="1"/>
  <c r="A1524" i="1"/>
  <c r="A1523" i="1"/>
  <c r="A1522" i="1"/>
  <c r="A1521" i="1"/>
  <c r="A1520" i="1"/>
  <c r="A1519" i="1"/>
  <c r="A1518" i="1"/>
  <c r="A1517" i="1"/>
  <c r="A1516" i="1"/>
  <c r="A1515" i="1"/>
  <c r="A1514" i="1"/>
  <c r="A1513" i="1"/>
  <c r="A1512" i="1"/>
  <c r="A1511" i="1"/>
  <c r="A1510" i="1"/>
  <c r="A1509" i="1"/>
  <c r="A1508" i="1"/>
  <c r="A1507" i="1"/>
  <c r="A1506" i="1"/>
  <c r="A1505" i="1"/>
  <c r="A1504" i="1"/>
  <c r="A1503" i="1"/>
  <c r="A1502" i="1"/>
  <c r="A1501" i="1"/>
  <c r="A1500" i="1"/>
  <c r="A1499" i="1"/>
  <c r="A1498" i="1"/>
  <c r="A1497" i="1"/>
  <c r="A1496" i="1"/>
  <c r="A1495" i="1"/>
  <c r="A1494" i="1"/>
  <c r="A1493" i="1"/>
  <c r="A1492" i="1"/>
  <c r="A1491" i="1"/>
  <c r="A1490" i="1"/>
  <c r="A1489" i="1"/>
  <c r="A1488" i="1"/>
  <c r="A1487" i="1"/>
  <c r="A1486" i="1"/>
  <c r="A1485" i="1"/>
  <c r="A1484" i="1"/>
  <c r="A1483" i="1"/>
  <c r="A1482" i="1"/>
  <c r="A1481" i="1"/>
  <c r="A1480" i="1"/>
  <c r="A1479" i="1"/>
  <c r="A1478" i="1"/>
  <c r="A1477" i="1"/>
  <c r="A1476" i="1"/>
  <c r="A1475" i="1"/>
  <c r="A1474" i="1"/>
  <c r="A1473" i="1"/>
  <c r="A1472" i="1"/>
  <c r="A1471" i="1"/>
  <c r="A1470" i="1"/>
  <c r="A1469" i="1"/>
  <c r="A1468" i="1"/>
  <c r="A1467" i="1"/>
  <c r="A1466" i="1"/>
  <c r="A1465" i="1"/>
  <c r="A1464" i="1"/>
  <c r="A1463" i="1"/>
  <c r="A1462" i="1"/>
  <c r="A1461" i="1"/>
  <c r="A1460" i="1"/>
  <c r="A1459" i="1"/>
  <c r="A1458" i="1"/>
  <c r="A1457" i="1"/>
  <c r="A1456" i="1"/>
  <c r="A1455" i="1"/>
  <c r="A1454" i="1"/>
  <c r="A1453" i="1"/>
  <c r="A1452" i="1"/>
  <c r="A1451" i="1"/>
  <c r="A1450" i="1"/>
  <c r="A1449" i="1"/>
  <c r="A1448" i="1"/>
  <c r="A1447" i="1"/>
  <c r="A1446" i="1"/>
  <c r="A1445" i="1"/>
  <c r="A1444" i="1"/>
  <c r="A1443" i="1"/>
  <c r="A1442" i="1"/>
  <c r="A1441" i="1"/>
  <c r="A1440" i="1"/>
  <c r="A1439" i="1"/>
  <c r="A1438" i="1"/>
  <c r="A1437" i="1"/>
  <c r="A1436" i="1"/>
  <c r="A1435" i="1"/>
  <c r="A1434" i="1"/>
  <c r="A1433" i="1"/>
  <c r="A1432" i="1"/>
  <c r="A1431" i="1"/>
  <c r="A1430" i="1"/>
  <c r="A1429" i="1"/>
  <c r="A1428" i="1"/>
  <c r="A1427" i="1"/>
  <c r="A1426" i="1"/>
  <c r="A1425" i="1"/>
  <c r="A1424" i="1"/>
  <c r="A1423" i="1"/>
  <c r="A1422" i="1"/>
  <c r="A1421" i="1"/>
  <c r="A1420" i="1"/>
  <c r="A1419" i="1"/>
  <c r="A1418" i="1"/>
  <c r="A1417" i="1"/>
  <c r="A1416" i="1"/>
  <c r="A1415" i="1"/>
  <c r="A1414" i="1"/>
  <c r="A1413" i="1"/>
  <c r="A1412" i="1"/>
  <c r="A1411" i="1"/>
  <c r="A1410" i="1"/>
  <c r="A1409" i="1"/>
  <c r="A1408" i="1"/>
  <c r="A1407" i="1"/>
  <c r="A1406" i="1"/>
  <c r="A1405" i="1"/>
  <c r="A1404" i="1"/>
  <c r="A1403" i="1"/>
  <c r="A1402" i="1"/>
  <c r="A1401" i="1"/>
  <c r="A1400" i="1"/>
  <c r="A1399" i="1"/>
  <c r="A1398" i="1"/>
  <c r="A1397" i="1"/>
  <c r="A1396" i="1"/>
  <c r="A1395" i="1"/>
  <c r="A1394" i="1"/>
  <c r="A1393" i="1"/>
  <c r="A1392" i="1"/>
  <c r="A1391" i="1"/>
  <c r="A1390" i="1"/>
  <c r="A1389" i="1"/>
  <c r="A1388" i="1"/>
  <c r="A1387" i="1"/>
  <c r="A1386" i="1"/>
  <c r="A1385" i="1"/>
  <c r="A1384" i="1"/>
  <c r="A1383" i="1"/>
  <c r="A1382" i="1"/>
  <c r="A1381" i="1"/>
  <c r="A1380" i="1"/>
  <c r="A1379" i="1"/>
  <c r="A1378" i="1"/>
  <c r="A1377" i="1"/>
  <c r="A1376" i="1"/>
  <c r="A1375" i="1"/>
  <c r="A1374" i="1"/>
  <c r="A1373" i="1"/>
  <c r="A1372" i="1"/>
  <c r="A1371" i="1"/>
  <c r="A1370" i="1"/>
  <c r="A1369" i="1"/>
  <c r="A1368" i="1"/>
  <c r="A1367" i="1"/>
  <c r="A1366" i="1"/>
  <c r="A1365" i="1"/>
  <c r="A1364" i="1"/>
  <c r="A1363" i="1"/>
  <c r="A1362" i="1"/>
  <c r="A1361" i="1"/>
  <c r="A1360" i="1"/>
  <c r="A1359" i="1"/>
  <c r="A1358" i="1"/>
  <c r="A1357" i="1"/>
  <c r="A1356" i="1"/>
  <c r="A1355" i="1"/>
  <c r="A1354" i="1"/>
  <c r="A1353" i="1"/>
  <c r="A1352" i="1"/>
  <c r="A1351" i="1"/>
  <c r="A1350" i="1"/>
  <c r="A1349" i="1"/>
  <c r="A1348" i="1"/>
  <c r="A1347" i="1"/>
  <c r="A1346" i="1"/>
  <c r="A1345" i="1"/>
  <c r="A1344" i="1"/>
  <c r="A1343" i="1"/>
  <c r="A1342" i="1"/>
  <c r="A1341" i="1"/>
  <c r="A1340" i="1"/>
  <c r="A1339" i="1"/>
  <c r="A1338" i="1"/>
  <c r="A1337" i="1"/>
  <c r="A1336" i="1"/>
  <c r="A1335" i="1"/>
  <c r="A1334" i="1"/>
  <c r="A1333" i="1"/>
  <c r="A1332" i="1"/>
  <c r="A1331" i="1"/>
  <c r="A1330" i="1"/>
  <c r="A1329" i="1"/>
  <c r="A1328" i="1"/>
  <c r="A1327" i="1"/>
  <c r="A1326" i="1"/>
  <c r="A1325" i="1"/>
  <c r="A1324" i="1"/>
  <c r="A1323" i="1"/>
  <c r="A1322" i="1"/>
  <c r="A1321" i="1"/>
  <c r="A1320" i="1"/>
  <c r="A1319" i="1"/>
  <c r="A1318" i="1"/>
  <c r="A1317" i="1"/>
  <c r="A1316" i="1"/>
  <c r="A1315" i="1"/>
  <c r="A1314" i="1"/>
  <c r="A1313" i="1"/>
  <c r="A1312" i="1"/>
  <c r="A1311" i="1"/>
  <c r="A1310" i="1"/>
  <c r="A1309" i="1"/>
  <c r="A1308" i="1"/>
  <c r="A1307" i="1"/>
  <c r="A1306" i="1"/>
  <c r="A1305" i="1"/>
  <c r="A1304" i="1"/>
  <c r="A1303" i="1"/>
  <c r="A1302" i="1"/>
  <c r="A1301" i="1"/>
  <c r="A1300" i="1"/>
  <c r="A1299" i="1"/>
  <c r="A1298" i="1"/>
  <c r="A1297" i="1"/>
  <c r="A1296" i="1"/>
  <c r="A1295" i="1"/>
  <c r="A1294" i="1"/>
  <c r="A1293" i="1"/>
  <c r="A1292" i="1"/>
  <c r="A1291" i="1"/>
  <c r="A1290" i="1"/>
  <c r="A1289" i="1"/>
  <c r="A1288" i="1"/>
  <c r="A1287" i="1"/>
  <c r="A1286" i="1"/>
  <c r="A1285" i="1"/>
  <c r="A1284" i="1"/>
  <c r="A1283" i="1"/>
  <c r="A1282" i="1"/>
  <c r="A1281" i="1"/>
  <c r="A1280" i="1"/>
  <c r="A1279" i="1"/>
  <c r="A1278" i="1"/>
  <c r="A1277" i="1"/>
  <c r="A1276" i="1"/>
  <c r="A1275" i="1"/>
  <c r="A1274" i="1"/>
  <c r="A1273" i="1"/>
  <c r="A1272" i="1"/>
  <c r="A1271" i="1"/>
  <c r="A1270" i="1"/>
  <c r="A1269" i="1"/>
  <c r="A1268" i="1"/>
  <c r="A1267" i="1"/>
  <c r="A1266" i="1"/>
  <c r="A1265" i="1"/>
  <c r="A1264" i="1"/>
  <c r="A1263" i="1"/>
  <c r="A1262" i="1"/>
  <c r="A1261" i="1"/>
  <c r="A1260" i="1"/>
  <c r="A1259" i="1"/>
  <c r="A1258" i="1"/>
  <c r="A1257" i="1"/>
  <c r="A1256" i="1"/>
  <c r="A1255" i="1"/>
  <c r="A1254" i="1"/>
  <c r="A1253" i="1"/>
  <c r="A1252" i="1"/>
  <c r="A1251" i="1"/>
  <c r="A1250" i="1"/>
  <c r="A1249" i="1"/>
  <c r="A1248" i="1"/>
  <c r="A1247" i="1"/>
  <c r="A1246" i="1"/>
  <c r="A1245" i="1"/>
  <c r="A1244" i="1"/>
  <c r="A1243" i="1"/>
  <c r="A1242" i="1"/>
  <c r="A1241" i="1"/>
  <c r="A1240" i="1"/>
  <c r="A1239" i="1"/>
  <c r="A1238" i="1"/>
  <c r="A1237" i="1"/>
  <c r="A1236" i="1"/>
  <c r="A1235" i="1"/>
  <c r="A1234" i="1"/>
  <c r="A1233" i="1"/>
  <c r="A1232" i="1"/>
  <c r="A1231" i="1"/>
  <c r="A1230" i="1"/>
  <c r="A1229" i="1"/>
  <c r="A1228" i="1"/>
  <c r="A1227" i="1"/>
  <c r="A1226" i="1"/>
  <c r="A1225" i="1"/>
  <c r="A1224" i="1"/>
  <c r="A1223" i="1"/>
  <c r="A1222" i="1"/>
  <c r="A1221" i="1"/>
  <c r="A1220" i="1"/>
  <c r="A1219" i="1"/>
  <c r="A1218" i="1"/>
  <c r="A1217" i="1"/>
  <c r="A1216" i="1"/>
  <c r="A1215" i="1"/>
  <c r="A1214" i="1"/>
  <c r="A1213" i="1"/>
  <c r="A1212" i="1"/>
  <c r="A1211" i="1"/>
  <c r="A1210" i="1"/>
  <c r="A1209" i="1"/>
  <c r="A1208" i="1"/>
  <c r="A1207" i="1"/>
  <c r="A1206" i="1"/>
  <c r="A1205" i="1"/>
  <c r="A1204" i="1"/>
  <c r="A1203" i="1"/>
  <c r="A1202" i="1"/>
  <c r="A1201" i="1"/>
  <c r="A1200" i="1"/>
  <c r="A1199" i="1"/>
  <c r="A1198" i="1"/>
  <c r="A1197" i="1"/>
  <c r="A1196" i="1"/>
  <c r="A1195" i="1"/>
  <c r="A1194" i="1"/>
  <c r="A1193" i="1"/>
  <c r="A1192" i="1"/>
  <c r="A1191" i="1"/>
  <c r="A1190" i="1"/>
  <c r="A1189" i="1"/>
  <c r="A1188" i="1"/>
  <c r="A1187" i="1"/>
  <c r="A1186" i="1"/>
  <c r="A1185" i="1"/>
  <c r="A1184" i="1"/>
  <c r="A1183" i="1"/>
  <c r="A1182" i="1"/>
  <c r="A1181" i="1"/>
  <c r="A1180" i="1"/>
  <c r="A1179" i="1"/>
  <c r="A1178" i="1"/>
  <c r="A1177" i="1"/>
  <c r="A1176" i="1"/>
  <c r="A1175" i="1"/>
  <c r="A1174" i="1"/>
  <c r="A1173" i="1"/>
  <c r="A1172" i="1"/>
  <c r="A1171" i="1"/>
  <c r="A1170" i="1"/>
  <c r="A1169" i="1"/>
  <c r="A1168" i="1"/>
  <c r="A1167" i="1"/>
  <c r="A1166" i="1"/>
  <c r="A1165" i="1"/>
  <c r="A1164" i="1"/>
  <c r="A1163" i="1"/>
  <c r="A1162" i="1"/>
  <c r="A1161" i="1"/>
  <c r="A1160" i="1"/>
  <c r="A1159" i="1"/>
  <c r="A1158" i="1"/>
  <c r="A1157" i="1"/>
  <c r="A1156" i="1"/>
  <c r="A1155" i="1"/>
  <c r="A1154" i="1"/>
  <c r="A1153" i="1"/>
  <c r="A1152" i="1"/>
  <c r="A1151" i="1"/>
  <c r="A1150" i="1"/>
  <c r="A1149" i="1"/>
  <c r="A1148" i="1"/>
  <c r="A1147" i="1"/>
  <c r="A1146" i="1"/>
  <c r="A1145" i="1"/>
  <c r="A1144" i="1"/>
  <c r="A1143" i="1"/>
  <c r="A1142" i="1"/>
  <c r="A1141" i="1"/>
  <c r="A1140" i="1"/>
  <c r="A1139" i="1"/>
  <c r="A1138" i="1"/>
  <c r="A1137" i="1"/>
  <c r="A1136" i="1"/>
  <c r="A1135" i="1"/>
  <c r="A1134" i="1"/>
  <c r="A1133" i="1"/>
  <c r="A1132" i="1"/>
  <c r="A1131" i="1"/>
  <c r="A1130" i="1"/>
  <c r="A1129" i="1"/>
  <c r="A1128" i="1"/>
  <c r="A1127" i="1"/>
  <c r="A1126" i="1"/>
  <c r="A1125" i="1"/>
  <c r="A1124" i="1"/>
  <c r="A1123" i="1"/>
  <c r="A1122" i="1"/>
  <c r="A1121" i="1"/>
  <c r="A1120" i="1"/>
  <c r="A1119" i="1"/>
  <c r="A1118" i="1"/>
  <c r="A1117" i="1"/>
  <c r="A1116" i="1"/>
  <c r="A1115" i="1"/>
  <c r="A1114" i="1"/>
  <c r="A1113" i="1"/>
  <c r="A1112" i="1"/>
  <c r="A1111" i="1"/>
  <c r="A1110" i="1"/>
  <c r="A1109" i="1"/>
  <c r="A1108" i="1"/>
  <c r="A1107" i="1"/>
  <c r="A1106" i="1"/>
  <c r="A1105" i="1"/>
  <c r="A1104" i="1"/>
  <c r="A1103" i="1"/>
  <c r="A1102" i="1"/>
  <c r="A1101" i="1"/>
  <c r="A1100" i="1"/>
  <c r="A1099" i="1"/>
  <c r="A1098" i="1"/>
  <c r="A1097" i="1"/>
  <c r="A1096" i="1"/>
  <c r="A1095" i="1"/>
  <c r="A1094" i="1"/>
  <c r="A1093" i="1"/>
  <c r="A1092" i="1"/>
  <c r="A1091" i="1"/>
  <c r="A1090" i="1"/>
  <c r="A1089" i="1"/>
  <c r="A1088" i="1"/>
  <c r="A1087" i="1"/>
  <c r="A1086" i="1"/>
  <c r="A1085" i="1"/>
  <c r="A1084" i="1"/>
  <c r="A1083" i="1"/>
  <c r="A1082" i="1"/>
  <c r="A1081" i="1"/>
  <c r="A1080" i="1"/>
  <c r="A1079" i="1"/>
  <c r="A1078" i="1"/>
  <c r="A1077" i="1"/>
  <c r="A1076" i="1"/>
  <c r="A1075" i="1"/>
  <c r="A1074" i="1"/>
  <c r="A1073" i="1"/>
  <c r="A1072" i="1"/>
  <c r="A1071" i="1"/>
  <c r="A1070" i="1"/>
  <c r="A1069" i="1"/>
  <c r="A1068" i="1"/>
  <c r="A1067" i="1"/>
  <c r="A1066" i="1"/>
  <c r="A1065" i="1"/>
  <c r="A1064" i="1"/>
  <c r="A1063" i="1"/>
  <c r="A1062" i="1"/>
  <c r="A1061" i="1"/>
  <c r="A1060" i="1"/>
  <c r="A1059" i="1"/>
  <c r="A1058" i="1"/>
  <c r="A1057" i="1"/>
  <c r="A1056" i="1"/>
  <c r="A1055" i="1"/>
  <c r="A1054" i="1"/>
  <c r="A1053" i="1"/>
  <c r="A1052" i="1"/>
  <c r="A1051" i="1"/>
  <c r="A1050" i="1"/>
  <c r="A1049" i="1"/>
  <c r="A1048" i="1"/>
  <c r="A1047" i="1"/>
  <c r="A1046" i="1"/>
  <c r="A1045" i="1"/>
  <c r="A1044" i="1"/>
  <c r="A1043" i="1"/>
  <c r="A1042" i="1"/>
  <c r="A1041" i="1"/>
  <c r="A1040" i="1"/>
  <c r="A1039" i="1"/>
  <c r="A1038" i="1"/>
  <c r="A1037" i="1"/>
  <c r="A1036" i="1"/>
  <c r="A1035" i="1"/>
  <c r="A1034" i="1"/>
  <c r="A1033" i="1"/>
  <c r="A1032" i="1"/>
  <c r="A1031" i="1"/>
  <c r="A1030" i="1"/>
  <c r="A1029" i="1"/>
  <c r="A1028" i="1"/>
  <c r="A1027" i="1"/>
  <c r="A1026" i="1"/>
  <c r="A1025" i="1"/>
  <c r="A1024" i="1"/>
  <c r="A1023" i="1"/>
  <c r="A1022" i="1"/>
  <c r="A1021" i="1"/>
  <c r="A1020" i="1"/>
  <c r="A1019" i="1"/>
  <c r="A1018" i="1"/>
  <c r="A1017" i="1"/>
  <c r="A1016" i="1"/>
  <c r="A1015" i="1"/>
  <c r="A1014" i="1"/>
  <c r="A1013" i="1"/>
  <c r="A1012" i="1"/>
  <c r="A1011" i="1"/>
  <c r="A1010" i="1"/>
  <c r="A1009" i="1"/>
  <c r="A1008" i="1"/>
  <c r="A1007" i="1"/>
  <c r="A1006" i="1"/>
  <c r="A1005" i="1"/>
  <c r="A1004" i="1"/>
  <c r="A1003" i="1"/>
  <c r="A1002" i="1"/>
  <c r="A1001" i="1"/>
  <c r="A1000" i="1"/>
  <c r="A999" i="1"/>
  <c r="A998" i="1"/>
  <c r="A997" i="1"/>
  <c r="A996" i="1"/>
  <c r="A995" i="1"/>
  <c r="A994" i="1"/>
  <c r="A993" i="1"/>
  <c r="A992" i="1"/>
  <c r="A991" i="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5293" i="1"/>
  <c r="A5292" i="1"/>
  <c r="A5291" i="1"/>
  <c r="A5290" i="1"/>
  <c r="A5289" i="1"/>
  <c r="A5288" i="1"/>
  <c r="A5287" i="1"/>
  <c r="A5286" i="1"/>
  <c r="A5285" i="1"/>
  <c r="A5284" i="1"/>
  <c r="A5283" i="1"/>
  <c r="A5282" i="1"/>
  <c r="A5281" i="1"/>
  <c r="A5280" i="1"/>
  <c r="A5279" i="1"/>
  <c r="A5278" i="1"/>
  <c r="A5277" i="1"/>
  <c r="A5276" i="1"/>
  <c r="A5275" i="1"/>
  <c r="A5274" i="1"/>
  <c r="A5273" i="1"/>
  <c r="A5272" i="1"/>
  <c r="A5271" i="1"/>
  <c r="A5270" i="1"/>
  <c r="A5269" i="1"/>
  <c r="A5268" i="1"/>
  <c r="A5267" i="1"/>
  <c r="A5266" i="1"/>
  <c r="A5265" i="1"/>
  <c r="A5264" i="1"/>
  <c r="A5263" i="1"/>
  <c r="A5262" i="1"/>
  <c r="A5261" i="1"/>
  <c r="A5260" i="1"/>
  <c r="A5259" i="1"/>
  <c r="A5258" i="1"/>
  <c r="A5257" i="1"/>
  <c r="A5256" i="1"/>
  <c r="A5255" i="1"/>
  <c r="A5254" i="1"/>
  <c r="A5253" i="1"/>
  <c r="A5252" i="1"/>
  <c r="A5251" i="1"/>
  <c r="A5250" i="1"/>
  <c r="A5249" i="1"/>
  <c r="A5248" i="1"/>
  <c r="A5247" i="1"/>
  <c r="A5246" i="1"/>
  <c r="A5245" i="1"/>
  <c r="A5244" i="1"/>
  <c r="A5243" i="1"/>
  <c r="A5242" i="1"/>
  <c r="A5241" i="1"/>
  <c r="A5240" i="1"/>
  <c r="A5239" i="1"/>
  <c r="A5238" i="1"/>
  <c r="A5237" i="1"/>
  <c r="A5236" i="1"/>
  <c r="A5235" i="1"/>
  <c r="A5234" i="1"/>
  <c r="A5233" i="1"/>
  <c r="A5232" i="1"/>
  <c r="A5231" i="1"/>
  <c r="A5230" i="1"/>
  <c r="A5229" i="1"/>
  <c r="A5228" i="1"/>
  <c r="A5227" i="1"/>
  <c r="A5226" i="1"/>
  <c r="A5225" i="1"/>
  <c r="A5224" i="1"/>
  <c r="A5223" i="1"/>
  <c r="A5222" i="1"/>
  <c r="A5221" i="1"/>
  <c r="A5220" i="1"/>
  <c r="A5219" i="1"/>
  <c r="A5218" i="1"/>
  <c r="A5217" i="1"/>
  <c r="A5216" i="1"/>
  <c r="A5215" i="1"/>
  <c r="A5214" i="1"/>
  <c r="A5213" i="1"/>
  <c r="A5212" i="1"/>
  <c r="A5211" i="1"/>
  <c r="A5210" i="1"/>
  <c r="A5209" i="1"/>
  <c r="A5208" i="1"/>
  <c r="A5207" i="1"/>
  <c r="A5206" i="1"/>
  <c r="A5205" i="1"/>
  <c r="A5204" i="1"/>
  <c r="A5203" i="1"/>
  <c r="A5202" i="1"/>
  <c r="A5201" i="1"/>
  <c r="A5200" i="1"/>
  <c r="A5199" i="1"/>
  <c r="A5198" i="1"/>
  <c r="A5197" i="1"/>
  <c r="A5196" i="1"/>
  <c r="A5195" i="1"/>
  <c r="A5194" i="1"/>
  <c r="A5193" i="1"/>
  <c r="A5192" i="1"/>
  <c r="A5191" i="1"/>
  <c r="A5190" i="1"/>
  <c r="A5189" i="1"/>
  <c r="A5188" i="1"/>
  <c r="A5187" i="1"/>
  <c r="A5186" i="1"/>
  <c r="A5185" i="1"/>
  <c r="A5184" i="1"/>
  <c r="A5183" i="1"/>
  <c r="A5182" i="1"/>
  <c r="A5181" i="1"/>
  <c r="A5180" i="1"/>
  <c r="A5179" i="1"/>
  <c r="A5178" i="1"/>
  <c r="A5177" i="1"/>
  <c r="A5176" i="1"/>
  <c r="A5175" i="1"/>
  <c r="A5174" i="1"/>
  <c r="A5173" i="1"/>
  <c r="A5172" i="1"/>
  <c r="A5171" i="1"/>
  <c r="A5170" i="1"/>
  <c r="A5169" i="1"/>
  <c r="A5168" i="1"/>
  <c r="A5167" i="1"/>
  <c r="A5166" i="1"/>
  <c r="A5165" i="1"/>
  <c r="A5164" i="1"/>
  <c r="A5163" i="1"/>
  <c r="A5162" i="1"/>
  <c r="A5161" i="1"/>
  <c r="A5160" i="1"/>
  <c r="A5159" i="1"/>
  <c r="A5158" i="1"/>
  <c r="A5157" i="1"/>
  <c r="A5156" i="1"/>
  <c r="A5155" i="1"/>
  <c r="A5154" i="1"/>
  <c r="A5153" i="1"/>
  <c r="A5152" i="1"/>
  <c r="A5151" i="1"/>
  <c r="A5150" i="1"/>
  <c r="A5149"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5148" i="1"/>
  <c r="A5147"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5146" i="1"/>
  <c r="A514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alcChain>
</file>

<file path=xl/sharedStrings.xml><?xml version="1.0" encoding="utf-8"?>
<sst xmlns="http://schemas.openxmlformats.org/spreadsheetml/2006/main" count="7829" uniqueCount="7141">
  <si>
    <t>Notes:</t>
  </si>
  <si>
    <t>Reimbursement utilizes the most recent January ASC Fee Schedule published by CMS at the following link:</t>
  </si>
  <si>
    <t>https://www.cms.gov/Medicare/Medicare-Fee-for-Service-Payment/ASCPayment/11_Addenda_Updates.html</t>
  </si>
  <si>
    <t>Adjusting them as follows:</t>
  </si>
  <si>
    <r>
      <rPr>
        <sz val="10"/>
        <color rgb="FF000000"/>
        <rFont val="Calibri"/>
        <family val="2"/>
      </rPr>
      <t xml:space="preserve">1. </t>
    </r>
    <r>
      <rPr>
        <sz val="10"/>
        <color rgb="FF000000"/>
        <rFont val="Times New Roman"/>
        <family val="1"/>
      </rPr>
      <t>Reimbursement for a procedure shall be the rate specific to that procedure as assigned by CMS, adjusted by the wage index utilized by</t>
    </r>
  </si>
  <si>
    <t>2.  Procedure codes that are considered a packaged service by CMS with a Medicare rate of $0 shall be reimbursed at a rate of $0.</t>
  </si>
  <si>
    <t>3.  Medicaid covered procedures not included on the Medicare fee schedule shall be reimbursed at forty-five (45) percent of billed charges.</t>
  </si>
  <si>
    <t xml:space="preserve">    CMS for the Cincinnati, OH, Core-Based Statistical Area, or its equivalent, in accordance with 42 C.F.R. 416.172(c)</t>
  </si>
  <si>
    <t xml:space="preserve">4.  Bilateral procedures shall be reimbursed at one hundred and fifty (150) percent of the rate established in subparagraphs 1 and 2 </t>
  </si>
  <si>
    <t xml:space="preserve">  of this paragraph.</t>
  </si>
  <si>
    <t>Effective Date</t>
  </si>
  <si>
    <t>Add/Delete/Change</t>
  </si>
  <si>
    <t>Date Fee schedule 
updated</t>
  </si>
  <si>
    <t>Various</t>
  </si>
  <si>
    <t>KY Medicaid ASC Fee Schedule Updates</t>
  </si>
  <si>
    <r>
      <rPr>
        <b/>
        <sz val="11"/>
        <color theme="1"/>
        <rFont val="Calibri"/>
        <family val="2"/>
        <scheme val="minor"/>
      </rPr>
      <t>Added the following codes as payable effective 1/1/2024:</t>
    </r>
    <r>
      <rPr>
        <sz val="10"/>
        <color rgb="FF000000"/>
        <rFont val="Times New Roman"/>
        <family val="1"/>
      </rPr>
      <t xml:space="preserve">
99459, 22836, 22837, 22838, 27278, 31242, 31243, 33276, 33277, 33278, 33279, 33280, 33281, 33287, 33288, 52284, 58580, 61889, 61891, 61892, 64596, 64597, 64598, 67516, 75580, 76984, 76987, 76988, 76989, 92622, 92623, 92972, 93150, 93151, 93152, 93153, 93584, 93585, 93586, 93587, 93588, 96547, 96548, 97037, 97550, 97551, 97552</t>
    </r>
    <r>
      <rPr>
        <sz val="10"/>
        <color rgb="FF000000"/>
        <rFont val="Times New Roman"/>
        <family val="2"/>
        <charset val="204"/>
      </rPr>
      <t xml:space="preserve">
</t>
    </r>
    <r>
      <rPr>
        <b/>
        <sz val="10"/>
        <color rgb="FF000000"/>
        <rFont val="Times New Roman"/>
        <family val="1"/>
      </rPr>
      <t xml:space="preserve">CMS End dated the following codes:
</t>
    </r>
    <r>
      <rPr>
        <sz val="10"/>
        <color rgb="FF000000"/>
        <rFont val="Times New Roman"/>
        <family val="2"/>
        <charset val="204"/>
      </rPr>
      <t>91300, 91301, 91303, 91307, 0001A, 0002A, 0003A, 0004A, 0011A, 0012A, 0013A, 0031A, 0034A, 0071A, 0072A</t>
    </r>
  </si>
  <si>
    <t>Procedure Code</t>
  </si>
  <si>
    <t>Description</t>
  </si>
  <si>
    <t>End Date</t>
  </si>
  <si>
    <t>Amount</t>
  </si>
  <si>
    <t>C9113</t>
  </si>
  <si>
    <t>J9070</t>
  </si>
  <si>
    <t>Q4210</t>
  </si>
  <si>
    <t>Q4244</t>
  </si>
  <si>
    <t>Remove the notation that states: The reimbursement rule is set up to look for the ASD rate (a provider percent rate found on the provider panel. If the provider does not have an ASD percent rate, default pricing (45% of billed amount) is applied.).   All providers receive the 45% of billed amount and does not have a provider specific rate.</t>
  </si>
  <si>
    <t xml:space="preserve"> Anesthesia for procedure on saliva gland</t>
  </si>
  <si>
    <t xml:space="preserve"> Anesthesia for plastic repair of lip defect</t>
  </si>
  <si>
    <t xml:space="preserve"> Anesthesia for procedure on eyelid</t>
  </si>
  <si>
    <t xml:space="preserve"> Anesthesia for electroshock therapy</t>
  </si>
  <si>
    <t xml:space="preserve"> Anesthesia for other procedure on external middle and inner ear</t>
  </si>
  <si>
    <t xml:space="preserve"> Anesthesia for exam of ear using an endoscope</t>
  </si>
  <si>
    <t xml:space="preserve"> Anesthesia for incision of ear drum</t>
  </si>
  <si>
    <t xml:space="preserve"> Anesthesia for other procedure on eye</t>
  </si>
  <si>
    <t xml:space="preserve"> Anesthesia for lens surgery</t>
  </si>
  <si>
    <t xml:space="preserve"> Anesthesia for procedure on eye for corneal transplant</t>
  </si>
  <si>
    <t xml:space="preserve"> Anesthesia for retinal surgery</t>
  </si>
  <si>
    <t xml:space="preserve"> Anesthesia for procedure on eye for removal of iris</t>
  </si>
  <si>
    <t xml:space="preserve"> Anesthesia for exam of inner eye using an endoscope</t>
  </si>
  <si>
    <t xml:space="preserve"> Anesthesia for other procedure on nose and sinuses</t>
  </si>
  <si>
    <t xml:space="preserve"> Anesthesia for extensive surgery on nose and sinuses</t>
  </si>
  <si>
    <t xml:space="preserve"> Anesthesia for biopsy of soft tissue of nose and sinus</t>
  </si>
  <si>
    <t xml:space="preserve"> Anesthesia for other procedure on mouth</t>
  </si>
  <si>
    <t xml:space="preserve"> Anesthesia for procedure on mouth to repair palate deformity</t>
  </si>
  <si>
    <t xml:space="preserve"> Anesthesia for procedure on throat for removal of tumor</t>
  </si>
  <si>
    <t xml:space="preserve"> Anesthesia for other procedure on face bones or skull</t>
  </si>
  <si>
    <t xml:space="preserve"> Anesthesia for other procedure on brain</t>
  </si>
  <si>
    <t xml:space="preserve"> Anesthesia for removal of fluid from brain</t>
  </si>
  <si>
    <t xml:space="preserve"> Anesthesia for procedure on blood vessels in brain</t>
  </si>
  <si>
    <t xml:space="preserve"> Anesthesia for procedure on brain while sitting up</t>
  </si>
  <si>
    <t xml:space="preserve"> Anesthesia for procedure to drain brain and spinal cord fluid</t>
  </si>
  <si>
    <t xml:space="preserve"> Anesthesia for procedure on nerve in brain</t>
  </si>
  <si>
    <t xml:space="preserve"> Anesthesia for other procedure on skin, muscles, or nerves of head, neck, and upper back</t>
  </si>
  <si>
    <t xml:space="preserve"> Anesthesia for other procedure on neck area (1 year or older)</t>
  </si>
  <si>
    <t xml:space="preserve"> Anesthesia for needle biopsy of thyroid</t>
  </si>
  <si>
    <t xml:space="preserve"> Anesthesia for other procedure on large blood vessel of neck</t>
  </si>
  <si>
    <t xml:space="preserve"> Anesthesia for tying large blood vessels of neck</t>
  </si>
  <si>
    <t xml:space="preserve"> Anesthesia for other procedure on skin of arms, legs, and front body</t>
  </si>
  <si>
    <t xml:space="preserve"> Anesthesia for reconstruction of breast</t>
  </si>
  <si>
    <t xml:space="preserve"> Anesthesia for removal of all or part of breast</t>
  </si>
  <si>
    <t xml:space="preserve"> Anesthesia for removal of breast and lymph nodes</t>
  </si>
  <si>
    <t xml:space="preserve"> Anesthesia for procedure to correct abnormal heart rhythm</t>
  </si>
  <si>
    <t xml:space="preserve"> Anesthesia for other procedure on collar bone and shoulder blade</t>
  </si>
  <si>
    <t xml:space="preserve"> Anesthesia for biopsy of collar bone</t>
  </si>
  <si>
    <t xml:space="preserve"> Anesthesia for other partial removal of rib</t>
  </si>
  <si>
    <t xml:space="preserve"> Anesthesia for partial removal of rib and chest wall repair</t>
  </si>
  <si>
    <t xml:space="preserve"> Anesthesia for procedure on esophagus</t>
  </si>
  <si>
    <t xml:space="preserve"> Anesthesia for other closed procedure on chest</t>
  </si>
  <si>
    <t xml:space="preserve"> Anesthesia for closed needle biopsy of lung</t>
  </si>
  <si>
    <t xml:space="preserve"> Anesthesia for closed exam of chest using an endoscope</t>
  </si>
  <si>
    <t xml:space="preserve"> Anesthesia for insertion of permanent heart pacemaker</t>
  </si>
  <si>
    <t xml:space="preserve"> Anesthesia for access to central vein</t>
  </si>
  <si>
    <t xml:space="preserve"> Anesthesia for insertion or replace of pacing heart defibrillator</t>
  </si>
  <si>
    <t xml:space="preserve"> Anesthesia for procedure on airway</t>
  </si>
  <si>
    <t xml:space="preserve"> Computer-assisted, fluoroscopic image-guided musculoskeletal surgical navigational orthopedic operation</t>
  </si>
  <si>
    <t xml:space="preserve"> Musculoskeletal surgical navigational orthopedic operation using imaging guidance</t>
  </si>
  <si>
    <t xml:space="preserve"> Anesthesia for other procedure on upper spine</t>
  </si>
  <si>
    <t xml:space="preserve"> Anesthesia for other procedure on middle spine</t>
  </si>
  <si>
    <t xml:space="preserve"> Anesthesia for other procedure on lower spine</t>
  </si>
  <si>
    <t xml:space="preserve"> Anesthesia for extensive surgery on spine</t>
  </si>
  <si>
    <t xml:space="preserve"> Anesthesia for other procedure on upper front abdomen</t>
  </si>
  <si>
    <t xml:space="preserve"> Anesthesia for biopsy of liver</t>
  </si>
  <si>
    <t xml:space="preserve"> Anesthesia for procedure on upper rear abdomen</t>
  </si>
  <si>
    <t xml:space="preserve"> Anesthesia for other procedure on esophagus, stomach, or upper small bowel using an endoscope</t>
  </si>
  <si>
    <t xml:space="preserve"> Anesthesia for procedure on gallbladder, pancreas, or liver using an endoscope</t>
  </si>
  <si>
    <t xml:space="preserve"> Anesthesia for other repair of upper abdomen hernia</t>
  </si>
  <si>
    <t xml:space="preserve"> Anesthesia for procedure to repair upper abdominal incisional hernia and/or wound opening</t>
  </si>
  <si>
    <t xml:space="preserve"> Anesthesia for procedure to repair upper abdominal hernia present at birth</t>
  </si>
  <si>
    <t xml:space="preserve"> Anesthesia for procedure to repair abdominal hernia</t>
  </si>
  <si>
    <t xml:space="preserve"> Anesthesia for procedure on large blood vessels in abdomen</t>
  </si>
  <si>
    <t xml:space="preserve"> Anesthesia for other procedure on upper abdomen</t>
  </si>
  <si>
    <t xml:space="preserve"> Anesthesia for other procedure on lower front abdomen</t>
  </si>
  <si>
    <t xml:space="preserve"> Anesthesia for other procedure on large bowel using an endoscope</t>
  </si>
  <si>
    <t xml:space="preserve"> Anesthesia for exam of colon using an endoscope</t>
  </si>
  <si>
    <t xml:space="preserve"> Anesthesia for procedure on small and large bowel using an endoscope</t>
  </si>
  <si>
    <t xml:space="preserve"> Anesthesia for procedure on lower rear abdomen</t>
  </si>
  <si>
    <t xml:space="preserve"> Anesthesia for other repair of lower abdomen hernia (1 year or older)</t>
  </si>
  <si>
    <t xml:space="preserve"> Anesthesia for repair of abdominal wall hernia</t>
  </si>
  <si>
    <t xml:space="preserve"> Anesthesia for other procedure on lower abdomen</t>
  </si>
  <si>
    <t xml:space="preserve"> Anesthesia for removal of amniotic fluid from uterus</t>
  </si>
  <si>
    <t xml:space="preserve"> Anesthesia for other procedure on lower abdomen outside abdominal cavity</t>
  </si>
  <si>
    <t xml:space="preserve"> Anesthesia for procedure on upper urinary tubes or removal of kidney for transplant</t>
  </si>
  <si>
    <t xml:space="preserve"> Anesthesia for removal of urinary bladder stone</t>
  </si>
  <si>
    <t xml:space="preserve"> Anesthesia for shock wave therapy for urinary system stones with water bath</t>
  </si>
  <si>
    <t xml:space="preserve"> Anesthesia for shock wave therapy for urinary system stones without water bath</t>
  </si>
  <si>
    <t xml:space="preserve"> Anesthesia for other procedure on large blood vessel of lower abdomen</t>
  </si>
  <si>
    <t xml:space="preserve"> Anesthesia for procedure on anus and rectum</t>
  </si>
  <si>
    <t xml:space="preserve"> Anesthesia for removal of external female genitals</t>
  </si>
  <si>
    <t xml:space="preserve"> Anesthesia for other procedure on urinary system through urethra</t>
  </si>
  <si>
    <t xml:space="preserve"> Anesthesia for removal of urinary bladder tumors including use of an endoscope</t>
  </si>
  <si>
    <t xml:space="preserve"> Anesthesia for removal of prostate including use of an endoscope</t>
  </si>
  <si>
    <t xml:space="preserve"> Anesthesia for procedure to control urinary system bleeding including use of an endoscope</t>
  </si>
  <si>
    <t xml:space="preserve"> Anesthesia for fragmenting, manipulation and/or removal of kidney stone including use of an endoscope</t>
  </si>
  <si>
    <t xml:space="preserve"> Anesthesia for other procedure on male genitals</t>
  </si>
  <si>
    <t xml:space="preserve"> Anesthesia for procedure on male genital glands</t>
  </si>
  <si>
    <t xml:space="preserve"> Anesthesia for procedure on undescended testicle</t>
  </si>
  <si>
    <t xml:space="preserve"> Anesthesia for removal of testicle through groin</t>
  </si>
  <si>
    <t xml:space="preserve"> Anesthesia for removal of testicle through incision in abdomen</t>
  </si>
  <si>
    <t xml:space="preserve"> Anesthesia for relocation of undescended testicle into scrotum</t>
  </si>
  <si>
    <t xml:space="preserve"> Anesthesia for insertion of penile prosthesis</t>
  </si>
  <si>
    <t xml:space="preserve"> Anesthesia for other procedure on female genitals</t>
  </si>
  <si>
    <t xml:space="preserve"> Anesthesia for repair or removal of vagina and urinary procedure</t>
  </si>
  <si>
    <t xml:space="preserve"> Anesthesia for suture closure of cervix</t>
  </si>
  <si>
    <t xml:space="preserve"> Anesthesia for exam of cervix using an endoscope</t>
  </si>
  <si>
    <t xml:space="preserve"> Anesthesia for exam of uterus using an endoscope</t>
  </si>
  <si>
    <t xml:space="preserve"> High energy shock wave therapy of musculoskeletal system</t>
  </si>
  <si>
    <t xml:space="preserve"> High energy shock wave therapy of outer side of lower end of upper arm bone (lateral epicondyle of humerus) under anesthesia</t>
  </si>
  <si>
    <t xml:space="preserve"> Anesthesia for procedure on hip bone</t>
  </si>
  <si>
    <t xml:space="preserve"> Anesthesia for application or revision of body cast</t>
  </si>
  <si>
    <t xml:space="preserve"> Anesthesia for closed procedure on pubic bone or pelvic joint</t>
  </si>
  <si>
    <t xml:space="preserve"> Anesthesia for procedure on pubic bone or pelvic joint</t>
  </si>
  <si>
    <t xml:space="preserve"> Anesthesia for closed procedure on hip joint</t>
  </si>
  <si>
    <t xml:space="preserve"> Anesthesia for procedure on hip joint using an endoscope</t>
  </si>
  <si>
    <t xml:space="preserve"> Anesthesia for other procedure on hip joint</t>
  </si>
  <si>
    <t xml:space="preserve"> Anesthesia for closed procedure on upper 2/3rd of thigh bone</t>
  </si>
  <si>
    <t xml:space="preserve"> Anesthesia for procedure on upper 2/3rd of thigh bone</t>
  </si>
  <si>
    <t xml:space="preserve"> Anesthesia for procedure on nerves, muscles, tendons, and tissue of upper leg</t>
  </si>
  <si>
    <t xml:space="preserve"> Anesthesia for procedure on veins in upper leg</t>
  </si>
  <si>
    <t xml:space="preserve"> Anesthesia for other procedure on artery of upper leg</t>
  </si>
  <si>
    <t xml:space="preserve"> Anesthesia for procedure on nerves, muscles, tendons, and tissue of knee</t>
  </si>
  <si>
    <t xml:space="preserve"> Anesthesia for closed procedure on lower 1/3rd of thigh bone</t>
  </si>
  <si>
    <t xml:space="preserve"> Anesthesia for procedure on lower 1/3rd of thigh bone</t>
  </si>
  <si>
    <t xml:space="preserve"> Anesthesia for closed procedure on knee joint</t>
  </si>
  <si>
    <t xml:space="preserve"> Anesthesia for exam of knee joint using an endoscope</t>
  </si>
  <si>
    <t xml:space="preserve"> Anesthesia for closed procedure on kneecap and/or upper part of lower leg bones</t>
  </si>
  <si>
    <t xml:space="preserve"> Anesthesia for procedure on kneecap and/or upper part of lower leg bones</t>
  </si>
  <si>
    <t xml:space="preserve"> Anesthesia for other procedure or exam of knee joint using an endoscope</t>
  </si>
  <si>
    <t xml:space="preserve"> Anesthesia for application, removal, or repair of cast to knee</t>
  </si>
  <si>
    <t xml:space="preserve"> Anesthesia for other procedure on vein of knee</t>
  </si>
  <si>
    <t xml:space="preserve"> Anesthesia for repair of abnormal artery-vein formation of knee</t>
  </si>
  <si>
    <t xml:space="preserve"> Anesthesia for other procedure on artery of knee</t>
  </si>
  <si>
    <t xml:space="preserve"> Anesthesia for closed procedure on lower leg, ankle, and foot</t>
  </si>
  <si>
    <t xml:space="preserve"> Anesthesia for procedure on ankle or foot using an endoscope</t>
  </si>
  <si>
    <t xml:space="preserve"> Anesthesia for other procedure on nerves, muscles, tendons, and tissue of lower leg, ankle, and foot</t>
  </si>
  <si>
    <t xml:space="preserve"> Anesthesia for repair of Achilles tendon</t>
  </si>
  <si>
    <t xml:space="preserve"> Anesthesia for repair of calf muscle</t>
  </si>
  <si>
    <t xml:space="preserve"> Anesthesia for other procedure on lower leg, ankle, and foot bones</t>
  </si>
  <si>
    <t xml:space="preserve"> Anesthesia for open amputation below the knee</t>
  </si>
  <si>
    <t xml:space="preserve"> Anesthesia for open reconstruction of lower leg, ankle, and/or foot bone</t>
  </si>
  <si>
    <t xml:space="preserve"> Anesthesia for application, removal, or repair of cast to lower leg</t>
  </si>
  <si>
    <t xml:space="preserve"> Anesthesia for other procedure on artery of lower leg</t>
  </si>
  <si>
    <t xml:space="preserve"> Anesthesia for other procedure on vein of lower leg</t>
  </si>
  <si>
    <t xml:space="preserve"> Anesthesia for removal of obstruction in vein of lower leg</t>
  </si>
  <si>
    <t xml:space="preserve"> Anesthesia for procedure on nerves, muscles, tendons, fascia, and bursae of shoulder and underarm</t>
  </si>
  <si>
    <t xml:space="preserve"> Anesthesia for closed procedure on top of arm bone and shoulder joint</t>
  </si>
  <si>
    <t xml:space="preserve"> Anesthesia for exam of shoulder joint using an endoscope</t>
  </si>
  <si>
    <t xml:space="preserve"> Anesthesia for other procedure on top of arm bone and shoulder joint</t>
  </si>
  <si>
    <t xml:space="preserve"> Anesthesia for other procedure on arteries of shoulder and underarm</t>
  </si>
  <si>
    <t xml:space="preserve"> Anesthesia for procedure on veins of shoulder and underarm</t>
  </si>
  <si>
    <t xml:space="preserve"> Anesthesia for other application, removal, or repair of cast</t>
  </si>
  <si>
    <t xml:space="preserve"> Anesthesia for other procedures on nerves, muscles, tendons, and tissue of upper arm and elbow</t>
  </si>
  <si>
    <t xml:space="preserve"> Anesthesia for procedure on tendon of elbow to shoulder</t>
  </si>
  <si>
    <t xml:space="preserve"> Anesthesia for repair of elbow to shoulder tendon</t>
  </si>
  <si>
    <t xml:space="preserve"> Anesthesia for procedure on tendon of upper arm muscle</t>
  </si>
  <si>
    <t xml:space="preserve"> Anesthesia for closed procedure on upper arm and elbow</t>
  </si>
  <si>
    <t xml:space="preserve"> Anesthesia for exam of elbow joint using an endoscope</t>
  </si>
  <si>
    <t xml:space="preserve"> Anesthesia for other procedure on elbow</t>
  </si>
  <si>
    <t xml:space="preserve"> Anesthesia for incision or partial removal of upper arm bone</t>
  </si>
  <si>
    <t xml:space="preserve"> Anesthesia for repair of nonhealed broken upper arm bone</t>
  </si>
  <si>
    <t xml:space="preserve"> Anesthesia for removal of cyst or growth of upper arm</t>
  </si>
  <si>
    <t xml:space="preserve"> Anesthesia for total elbow joint replacement</t>
  </si>
  <si>
    <t xml:space="preserve"> Anesthesia for other procedure on arteries of upper arm and elbow</t>
  </si>
  <si>
    <t xml:space="preserve"> Anesthesia for removal of blood clot from upper arm or elbow artery</t>
  </si>
  <si>
    <t xml:space="preserve"> Anesthesia for other procedure on veins of upper arm and elbow</t>
  </si>
  <si>
    <t xml:space="preserve"> Anesthesia for suture of vein of upper arm and elbow</t>
  </si>
  <si>
    <t xml:space="preserve"> Anesthesia for procedure on nerves, muscles, tendons, and tissue of forearm, wrist, and hand</t>
  </si>
  <si>
    <t xml:space="preserve"> Anesthesia for closed procedure on bones of forearm, wrist, or hand</t>
  </si>
  <si>
    <t xml:space="preserve"> Anesthesia for other procedure on forearm, wrist, or hand bones</t>
  </si>
  <si>
    <t xml:space="preserve"> Anesthesia for total wrist joint replacement</t>
  </si>
  <si>
    <t xml:space="preserve"> Anesthesia for other procedure on arteries of forearm, wrist, and hand</t>
  </si>
  <si>
    <t xml:space="preserve"> Anesthesia for removal of blood clot in artery of forearm, wrist, and hand</t>
  </si>
  <si>
    <t xml:space="preserve"> Anesthesia for placement or revision of blood flow shunt</t>
  </si>
  <si>
    <t xml:space="preserve"> Anesthesia for other procedure on veins of forearm, wrist, and hand</t>
  </si>
  <si>
    <t xml:space="preserve"> Anesthesia for suture of forearm, wrist, or hand vein</t>
  </si>
  <si>
    <t xml:space="preserve"> Anesthesia for application, removal, or repair cast to forearm, wrist and hand</t>
  </si>
  <si>
    <t xml:space="preserve"> Anesthesia for X-ray exam of arteries and veins using contrast</t>
  </si>
  <si>
    <t xml:space="preserve"> Anesthesia for X-ray on heart vessels and chambers</t>
  </si>
  <si>
    <t xml:space="preserve"> Anesthesia for X-ray or radiation therapy</t>
  </si>
  <si>
    <t xml:space="preserve"> Daily hospital management of continuous spinal drug administration</t>
  </si>
  <si>
    <t xml:space="preserve"> Other anesthesia procedure</t>
  </si>
  <si>
    <t xml:space="preserve"> Injections of one side of sacrum for enlargement, 1 or more needles, accessed through the skin</t>
  </si>
  <si>
    <t xml:space="preserve"> Injections of both sides of sacrum for enlargement, 2 or more needles, accessed through the skin</t>
  </si>
  <si>
    <t xml:space="preserve"> Injections of upper or middle spine joint or nerves using ultrasound guidance, single level</t>
  </si>
  <si>
    <t xml:space="preserve"> Injections of upper or middle spine joint or nerves using ultrasound guidance, second level</t>
  </si>
  <si>
    <t xml:space="preserve"> Injections of upper or middle spine joint or nerves using imaging guidance</t>
  </si>
  <si>
    <t xml:space="preserve"> Injections of lower or sacral spine joint or nerves using ultrasound guidance, single level</t>
  </si>
  <si>
    <t xml:space="preserve"> Injections of lower or sacral spine joint or nerves using ultrasound guidance, second level</t>
  </si>
  <si>
    <t xml:space="preserve"> Injections of lower or sacral spine joint or nerves using imaging guidance</t>
  </si>
  <si>
    <t xml:space="preserve"> Harvest and injections of platelet rich plasma using imaging guidance</t>
  </si>
  <si>
    <t xml:space="preserve"> Catheter removal of plaque from groin artery, accessed through the skin or open procedure including radiological supervision and interpretation</t>
  </si>
  <si>
    <t xml:space="preserve"> Insertion of eye fluid drainage device, internal approach</t>
  </si>
  <si>
    <t xml:space="preserve"> Multiple injections of patient-derived bone marrow cells into a muscle of one leg including bone marrow harvest</t>
  </si>
  <si>
    <t xml:space="preserve"> Multiple injections of patient-derived bone marrow cells into a muscle of one leg</t>
  </si>
  <si>
    <t xml:space="preserve"> Harvest of patient-derived bone marrow cells for multiple injections into a muscle of one leg</t>
  </si>
  <si>
    <t xml:space="preserve"> Insertion or replacement of carotid sinus baroreflex activation device</t>
  </si>
  <si>
    <t xml:space="preserve"> Implantation or replacement of carotid sinus baroreflex activation device pulse generator</t>
  </si>
  <si>
    <t xml:space="preserve"> Revision or removal of carotid sinus baroreflex activation device</t>
  </si>
  <si>
    <t xml:space="preserve"> Revision or removal of carotid sinus baroreflex activation device lead on one side</t>
  </si>
  <si>
    <t xml:space="preserve"> Revision or removal of carotid sinus baroreflex activation device pulse generator</t>
  </si>
  <si>
    <t xml:space="preserve"> Removal of bone from upper or middle spine for decompression of nerve tissue using imaging guidance, accessed through the skin</t>
  </si>
  <si>
    <t xml:space="preserve"> Removal of bone from lower spine for decompression of nerve tissue using imaging guidance, accessed through the skin</t>
  </si>
  <si>
    <t xml:space="preserve"> Transcutaneous electrical modulation pain reprocessing each treatment session</t>
  </si>
  <si>
    <t xml:space="preserve"> Insertion of prosthetic telescope in eye for the treatment of central vision</t>
  </si>
  <si>
    <t xml:space="preserve"> Tear film imaging of one or both eyes</t>
  </si>
  <si>
    <t xml:space="preserve"> Imaging of heart muscle</t>
  </si>
  <si>
    <t xml:space="preserve"> Imaging of heart muscle with SPECT</t>
  </si>
  <si>
    <t xml:space="preserve"> Insertion of implant into subtalar (below ankle) foot joint</t>
  </si>
  <si>
    <t xml:space="preserve"> Destruction of nerves of arteries of both kidneys accessed through the skin with fluoroscopy and radiological supervision and interpretation</t>
  </si>
  <si>
    <t xml:space="preserve"> Destruction of nerves of arteries of one kidney accessed through the skin with fluoroscopy and radiological supervision and interpretation</t>
  </si>
  <si>
    <t xml:space="preserve"> Therapeutic apheresis with selective hdl delipidation and plasma reinfusion</t>
  </si>
  <si>
    <t xml:space="preserve"> Insertion of devices in bone for visualization and measurement using radiostereometric analysis (RSA)</t>
  </si>
  <si>
    <t xml:space="preserve"> X-ray of spine with radiostereometric analysis (RSA)</t>
  </si>
  <si>
    <t xml:space="preserve"> X-ray of arms with radiostereometric analysis (RSA)</t>
  </si>
  <si>
    <t xml:space="preserve"> X-ray of legs with radiostereometric analysis (RSA)</t>
  </si>
  <si>
    <t xml:space="preserve"> Intraoperative tomography of breast or lymph nodes or tissue</t>
  </si>
  <si>
    <t xml:space="preserve"> Intraoperative tomography of breast</t>
  </si>
  <si>
    <t xml:space="preserve"> Technical component for assessment of field of vision with concurrent data analysis and data storage with patient initiated data transmitted to a remote surveillance center for up to 30 days</t>
  </si>
  <si>
    <t xml:space="preserve"> High dose rate electronic brachytherapy, external</t>
  </si>
  <si>
    <t xml:space="preserve"> High dose rate electronic brachytherapy, internal</t>
  </si>
  <si>
    <t xml:space="preserve"> Diagnostic examination of gallbladder and pancreatic, liver, and bile ducts using an endoscope, with optical endomicroscopy</t>
  </si>
  <si>
    <t xml:space="preserve"> Collagen cross-linking treatment of disease of cornea</t>
  </si>
  <si>
    <t xml:space="preserve"> Insertion or replacement of pulse generator and electrodes of heart contractility modulator system</t>
  </si>
  <si>
    <t xml:space="preserve"> Insertion or replacement of pulse generator of heart contractility modulator system</t>
  </si>
  <si>
    <t xml:space="preserve"> Insertion or replacement of electrodes in upper chamber of heart for heart contractility modulator system</t>
  </si>
  <si>
    <t xml:space="preserve"> Insertion or replacement of electrodes in lower chamber of heart for heart contractility modulator system</t>
  </si>
  <si>
    <t xml:space="preserve"> Removal of pulse generator for heart contractility modulator system</t>
  </si>
  <si>
    <t xml:space="preserve"> Removal of electrode for heart contractility modulator system</t>
  </si>
  <si>
    <t xml:space="preserve"> Replacement of pulse generator of heart contractility modulator system</t>
  </si>
  <si>
    <t xml:space="preserve"> Repositioning of electrode of heart contractility modulator system</t>
  </si>
  <si>
    <t xml:space="preserve"> Relocation of skin pocket for pulse generator of heart contractility modulator system</t>
  </si>
  <si>
    <t xml:space="preserve"> Programming evaluation of heart contractility modulator system</t>
  </si>
  <si>
    <t xml:space="preserve"> Interrogation evaluation of heart contractility modulator system</t>
  </si>
  <si>
    <t xml:space="preserve"> Destruction of more than 50 neurofibromas of skin of head and neck</t>
  </si>
  <si>
    <t xml:space="preserve"> Destruction of more than 100 neurofibromas of skin of head and neck</t>
  </si>
  <si>
    <t xml:space="preserve"> Waterjet destruction of prostrate accessed through the urethra</t>
  </si>
  <si>
    <t xml:space="preserve"> Tactile imaging of one or both breasts</t>
  </si>
  <si>
    <t xml:space="preserve"> Reinforcement of fascia of abdominal wall with synthetic implant</t>
  </si>
  <si>
    <t xml:space="preserve"> Ultrasound of heart with injection of X-ray contrast material performed during rest or stress for assessment of heart muscle</t>
  </si>
  <si>
    <t xml:space="preserve"> Freezing destruction of nerve in arm, accessed through the skin, using imaging guidance</t>
  </si>
  <si>
    <t xml:space="preserve"> Freezing destruction of nerve in leg, accessed through the skin, using imaging guidance</t>
  </si>
  <si>
    <t xml:space="preserve"> Freezing destruction of nerve plexus, accessed through the skin, using imaging guidance</t>
  </si>
  <si>
    <t xml:space="preserve"> Real time analysis of prostate tissue using fluorescence spectroscopy</t>
  </si>
  <si>
    <t xml:space="preserve"> Initial insertion of drug-releasing implant under one or both eyelids</t>
  </si>
  <si>
    <t xml:space="preserve"> Replacement of drug-releasing implant under one or both eyelids</t>
  </si>
  <si>
    <t xml:space="preserve"> Creation of skin pocket and insertion of glucose sensor, with patient training</t>
  </si>
  <si>
    <t xml:space="preserve"> Removal of glucose sensor from skin pocket</t>
  </si>
  <si>
    <t xml:space="preserve"> Removal of glucose sensor from skin pocket with creation of new skin pocket and insertion of new glucose sensor</t>
  </si>
  <si>
    <t xml:space="preserve"> Insertion of initial aqueous fluid drainage device into eye</t>
  </si>
  <si>
    <t xml:space="preserve"> Insertion of each additional aqueous fluid drainage device into eye</t>
  </si>
  <si>
    <t xml:space="preserve"> Laser destruction of scar tissue, first 100 cm2, or 1% of body surface area of infants and children</t>
  </si>
  <si>
    <t xml:space="preserve"> Laser destruction of scar tissue, each additional 100 cm2, or 1% of body surface area of infants and children</t>
  </si>
  <si>
    <t xml:space="preserve"> Removal of implant from tunnel on outer side of foot (sinus tarsi)</t>
  </si>
  <si>
    <t xml:space="preserve"> Removal and reinsertion of implant from tunnel on outer side of foot (sinus tarsi)</t>
  </si>
  <si>
    <t xml:space="preserve"> High energy shock wave therapy for initial wound of outer body surface</t>
  </si>
  <si>
    <t xml:space="preserve"> High energy shock wave therapy for additional wound of outer body surface</t>
  </si>
  <si>
    <t xml:space="preserve"> Measurement fractional flow reserve in arteries of heart with 3D functional mapping during procedure</t>
  </si>
  <si>
    <t xml:space="preserve"> Chemical destruction of insufficient vein of arm or leg via catheter using imaging guidance</t>
  </si>
  <si>
    <t xml:space="preserve"> Insertion or replacement of complete monitoring system for deficient blood flow in heart muscle using imaging guidance</t>
  </si>
  <si>
    <t xml:space="preserve"> Insertion or replacement of electrode of monitoring system for deficient blood flow in heart muscle with imaging supervision and interpretation</t>
  </si>
  <si>
    <t xml:space="preserve"> Insertion or replacement of implantable monitor of monitoring system for deficient blood flow in heart muscle with imaging supervision and interpretation</t>
  </si>
  <si>
    <t xml:space="preserve"> Removal of complete monitoring system for deficient blood flow in heart muscle with imaging supervision and interpretation</t>
  </si>
  <si>
    <t xml:space="preserve"> Removal of electrode of monitoring system for deficient blood flow in heart muscle with imaging supervision and interpretation</t>
  </si>
  <si>
    <t xml:space="preserve"> Removal of implantable monitor of monitoring system for deficient blood flow in heart muscle with imaging supervision and interpretation</t>
  </si>
  <si>
    <t xml:space="preserve"> Freezing destruction of malignant breast tumors in one breast, accessed through skin</t>
  </si>
  <si>
    <t xml:space="preserve"> Insertion of ventilating tube in eardrum using an automated tube delivery system under local anesthesia</t>
  </si>
  <si>
    <t xml:space="preserve"> Implantation or replacement of posterior tibial nerve stimulating system for bladder dysfunction, accessed through skin</t>
  </si>
  <si>
    <t xml:space="preserve"> Revision or removal of posterior tibial nerve stimulating system for bladder dysfunction, accessed through skin</t>
  </si>
  <si>
    <t xml:space="preserve"> Incision of upper arm bone and insertion of bone-lengthening device in marrow cavity</t>
  </si>
  <si>
    <t xml:space="preserve"> Initial insertion of temporary valve-pump in female urethra</t>
  </si>
  <si>
    <t xml:space="preserve"> Replacement of temporary valve-pump in female urethra</t>
  </si>
  <si>
    <t xml:space="preserve"> Fluorescence wound imaging for bacteria, first anatomic site</t>
  </si>
  <si>
    <t xml:space="preserve"> Fluorescence wound imaging for bacteria, each additional anatomic site</t>
  </si>
  <si>
    <t xml:space="preserve"> Irreversible electroporation destruction of growths of internal organ, accessed through skin</t>
  </si>
  <si>
    <t xml:space="preserve"> Irreversible electroporation destruction of growths of internal organ, open procedure</t>
  </si>
  <si>
    <t xml:space="preserve"> Acquisition of MR spectroscopy data on biomarkers for spinal disc pain</t>
  </si>
  <si>
    <t xml:space="preserve"> Analysis of MR spectroscopy data on biomarkers for spinal disc pain</t>
  </si>
  <si>
    <t xml:space="preserve"> Removal and replacement of substernal implantable defibrillator pulse generator</t>
  </si>
  <si>
    <t xml:space="preserve"> Insertion of iris prosthesis into eye</t>
  </si>
  <si>
    <t xml:space="preserve"> Insertion of iris prosthesis into eye with removal of lens and insertion of artificial lens</t>
  </si>
  <si>
    <t xml:space="preserve"> Insertion of iris prosthesis into eye with insertion or replacementof artificial lens</t>
  </si>
  <si>
    <t xml:space="preserve"> Examination of urethra and bladder with incision of opening of prostate gland and drug delivery using endoscope</t>
  </si>
  <si>
    <t xml:space="preserve"> Insertion of stent to shunt arterial blood to deep vein of lower leg via catheter using imaging guidance</t>
  </si>
  <si>
    <t xml:space="preserve"> Injection of cell or tissue-based material into spinal disc of lower back accessed through skin, first level</t>
  </si>
  <si>
    <t xml:space="preserve"> Injection of cell or tissue-based material into spinal disc of lower back accessed through skin, each additional level</t>
  </si>
  <si>
    <t xml:space="preserve"> Injection of cell or tissue-based material into spinal disc of lower back accessed through skin using CT imaging guidance, first level</t>
  </si>
  <si>
    <t xml:space="preserve"> Injection of cell or tissue-based material into spinal disc of lower back accessed through skin using CT imaging guidance, each additional level</t>
  </si>
  <si>
    <t xml:space="preserve"> Destruction of nerves to main arteries of lung, accessed through skin via catheter using imaging guidance</t>
  </si>
  <si>
    <t xml:space="preserve"> CT of one breast with 3D rendering</t>
  </si>
  <si>
    <t xml:space="preserve"> CT of one breast with contrast and 3D rendering</t>
  </si>
  <si>
    <t xml:space="preserve"> CT of one breast before and after contrast with 3D rendering</t>
  </si>
  <si>
    <t xml:space="preserve"> CT of both breasts with 3D rendering</t>
  </si>
  <si>
    <t xml:space="preserve"> CT of both breasts with contrast and 3D rendering</t>
  </si>
  <si>
    <t xml:space="preserve"> CT of both breasts before and after contrast with 3D rendering</t>
  </si>
  <si>
    <t xml:space="preserve"> Removal or reduction of mass within heart by suction through catheter</t>
  </si>
  <si>
    <t xml:space="preserve"> Insertion of tube into stomach through skin using ultrasound guidance</t>
  </si>
  <si>
    <t xml:space="preserve"> Quantitative magnetic resonance analysis of tissue composition without diagnostic MRI examination</t>
  </si>
  <si>
    <t xml:space="preserve"> Examination of esophagus and stomach using a magnetically controlled capsule endoscope</t>
  </si>
  <si>
    <t xml:space="preserve"> Diagnostic inspection of esophagus, stomach, and upper small intestine using a flexible endoscope through nose</t>
  </si>
  <si>
    <t xml:space="preserve"> Inspection of esophagus, stomach, and upper small intestine with biopsy using a flexible endoscope through nose</t>
  </si>
  <si>
    <t xml:space="preserve"> Inspection of esophagus, stomach, and upper small intestine with insertion of tube or catheter using a flexible endoscope through nose</t>
  </si>
  <si>
    <t xml:space="preserve"> Destruction of prostate cancer tissue by laser using ultrasound guidance</t>
  </si>
  <si>
    <t xml:space="preserve"> Insertion of drainage device into drainage tissue within eye (trabecular meshwork)</t>
  </si>
  <si>
    <t xml:space="preserve"> Laser destruction of benign growth of thyroid using imaging guidance</t>
  </si>
  <si>
    <t xml:space="preserve"> Acoustic energy destruction of malignant liver tissue using imaging guidance</t>
  </si>
  <si>
    <t xml:space="preserve"> Quantitative ultrasound tissue characterization with interpretation and report</t>
  </si>
  <si>
    <t xml:space="preserve"> Quantitative magnetic resonance for analysis of tissue composition of multiple organs, with interpretation and report</t>
  </si>
  <si>
    <t xml:space="preserve"> Quantitative magnetic resonance for analysis of tissue composition of multiple organs obtained with diagnostic MRI of same anatomy, with interpretation and report</t>
  </si>
  <si>
    <t xml:space="preserve"> Injection of medication into posterior chamber of eye</t>
  </si>
  <si>
    <t xml:space="preserve"> Injection of bone-substitute material into defect of bone using imaging guidance and endoscope</t>
  </si>
  <si>
    <t xml:space="preserve"> Transperineal laser destruction of benign prostatic enlargement using imaging guidance</t>
  </si>
  <si>
    <t xml:space="preserve"> Insertion or replacement of spinal integrated nerve stimulating system with electrode array, accessed through the skin</t>
  </si>
  <si>
    <t xml:space="preserve"> Revision or removal of spinal integrated nerve stimulating system with electrode array</t>
  </si>
  <si>
    <t xml:space="preserve"> Insertion or replacement of sacral integrated never stimulating system with electrode array, accessed through the skin</t>
  </si>
  <si>
    <t xml:space="preserve"> Revision or removal of sacral integrated nerve stimulating system with electrode array</t>
  </si>
  <si>
    <t xml:space="preserve"> Percutaneous transcatheter thermal ablation of pulmonary artery nerves, including right heart catheterization, pulmonary artery angiography, and all imaging guidance</t>
  </si>
  <si>
    <t xml:space="preserve"> Transcatheter insertion of a permanent dual chamber leadless pacemaker using fluoroscopy and device interrogation of right ventricular pacemaker component</t>
  </si>
  <si>
    <t xml:space="preserve"> Transcatheter removal of the right ventricular component of a permanent dual-chamber leadless pacemaker using fluoroscopy</t>
  </si>
  <si>
    <t xml:space="preserve"> Transcatheter removal and replacement of permanent dual-chamber leadless pacemaker using fluoroscopy and device interrogation of right ventricular component</t>
  </si>
  <si>
    <t xml:space="preserve"> Subretinal injection of a drug, including vitrectomy and retinotomy</t>
  </si>
  <si>
    <t xml:space="preserve"> Volume adjustment of intragastric bariatric balloon using a flexible endoscope through the mouth</t>
  </si>
  <si>
    <t xml:space="preserve"> Insertion or replacement of integrated posterior tibial nerve stimulating system under the skin, for bladder dysfunction</t>
  </si>
  <si>
    <t xml:space="preserve"> Insertion or replacement of integrated posterior tibial nerve stimulating system under muscle, for bladder dysfunction</t>
  </si>
  <si>
    <t xml:space="preserve"> Revision or removal of integrated posterior nerve stimulating system under skin, for bladder dysfunction</t>
  </si>
  <si>
    <t xml:space="preserve"> Revision or removal of integrated posterior nerve stimulating system under muscle, for bladder dysfunction</t>
  </si>
  <si>
    <t xml:space="preserve"> Low energy shockwave therapy of penis</t>
  </si>
  <si>
    <t xml:space="preserve"> Fine needle aspiration biopsy, each additional growth</t>
  </si>
  <si>
    <t xml:space="preserve"> Fine needle aspiration biopsy using ultrasound guidance, first growth</t>
  </si>
  <si>
    <t xml:space="preserve"> Fine needle aspiration biopsy using ultrasound guidance, each additional growth</t>
  </si>
  <si>
    <t xml:space="preserve"> Fine needle aspiration biopsy using fluoroscopic guidance, first growth</t>
  </si>
  <si>
    <t xml:space="preserve"> Fine needle aspiration biopsy using fluoroscopic guidance, each additional growth</t>
  </si>
  <si>
    <t xml:space="preserve"> Fine needle aspiration biopsy of growth using CT guidance, first growth</t>
  </si>
  <si>
    <t xml:space="preserve"> Fine needle aspiration biopsy of growth using CT guidance, each additional growth</t>
  </si>
  <si>
    <t xml:space="preserve"> Fine needle aspiration biopsy of growth using MRI guidance, first growth</t>
  </si>
  <si>
    <t xml:space="preserve"> Fine needle aspiration biopsy of growth using MRI guidance, each additional growth</t>
  </si>
  <si>
    <t xml:space="preserve"> Fine needle aspiration biopsy, first growth</t>
  </si>
  <si>
    <t xml:space="preserve"> Drainage of fluid collection in soft tissue using imaging guidance</t>
  </si>
  <si>
    <t xml:space="preserve"> Placement of soft tissue locating device using X-ray, first growth</t>
  </si>
  <si>
    <t xml:space="preserve"> Placement of soft tissue locating device using X-ray, each additional growth</t>
  </si>
  <si>
    <t xml:space="preserve"> Acne surgery</t>
  </si>
  <si>
    <t xml:space="preserve"> Simple or single drainage of skin abscess</t>
  </si>
  <si>
    <t xml:space="preserve"> Complicated or multiple drainage of skin abscess</t>
  </si>
  <si>
    <t xml:space="preserve"> Simple drainage of cyst of tailbone</t>
  </si>
  <si>
    <t xml:space="preserve"> Complicated drainage of cyst of tailbone</t>
  </si>
  <si>
    <t xml:space="preserve"> Removal of foreign body from tissue, accessed beneath the skin, simple</t>
  </si>
  <si>
    <t xml:space="preserve"> Removal of foreign body from tissue, accessed beneath the skin, complex</t>
  </si>
  <si>
    <t xml:space="preserve"> Drainage of blood or fluid accumulation</t>
  </si>
  <si>
    <t xml:space="preserve"> Aspiration of abscess, blood, or cyst</t>
  </si>
  <si>
    <t xml:space="preserve"> Complex drainage of wound infection after surgery</t>
  </si>
  <si>
    <t xml:space="preserve"> Removal of inflamed or infected skin, up to 10% of body surface</t>
  </si>
  <si>
    <t xml:space="preserve"> Removal of inflamed or infected skin, each additional 10% of body surface or less</t>
  </si>
  <si>
    <t xml:space="preserve"> Removal of foreign material from skin and tissue at open broken and/or dislocated bone</t>
  </si>
  <si>
    <t xml:space="preserve"> Removal of foreign material from skin, tissue, and muscle at open broken and/or dislocated bone</t>
  </si>
  <si>
    <t xml:space="preserve"> Removal of foreign material from skin, tissue, muscle, and bone at open broken and/or dislocated bone</t>
  </si>
  <si>
    <t xml:space="preserve"> Removal of skin and tissue, 20.0 sq cm or less</t>
  </si>
  <si>
    <t xml:space="preserve"> Removal of muscle and/or tissue, 20.0 sq cm or less</t>
  </si>
  <si>
    <t xml:space="preserve"> Removal of bone, 20.0 sq cm or less</t>
  </si>
  <si>
    <t xml:space="preserve"> Removal of skin and tissue, each additional 20.0 sq cm or less</t>
  </si>
  <si>
    <t xml:space="preserve"> Removal of muscle and/or tissue, each additional 20.0 sq cm or less</t>
  </si>
  <si>
    <t xml:space="preserve"> Removal of bone, each additional 20.0 sq cm or less</t>
  </si>
  <si>
    <t xml:space="preserve"> Removal of noncancer thickened skin growth, 1 growth</t>
  </si>
  <si>
    <t xml:space="preserve"> Removal of noncancer thickened skin growth, 2-4 growths</t>
  </si>
  <si>
    <t xml:space="preserve"> Removal of noncancer thickened skin growth, more than 4 growths</t>
  </si>
  <si>
    <t xml:space="preserve"> Biopsy of related skin growth, first growth</t>
  </si>
  <si>
    <t xml:space="preserve"> Biopsy of related skin growth, each additional growth</t>
  </si>
  <si>
    <t xml:space="preserve"> Punch biopsy, first skin growth</t>
  </si>
  <si>
    <t xml:space="preserve"> Punch biopsy, each additional skin growth</t>
  </si>
  <si>
    <t xml:space="preserve"> Incision biopsy, first skin growth</t>
  </si>
  <si>
    <t xml:space="preserve"> Incision biopsy, each additional skin growth</t>
  </si>
  <si>
    <t xml:space="preserve"> Removal of skin tag, 1-15 skin tags</t>
  </si>
  <si>
    <t xml:space="preserve"> Removal of skin tag, each additional 10 skin tags</t>
  </si>
  <si>
    <t xml:space="preserve"> Shaving of skin growth of body, arms, or legs, 0.5 cm or less</t>
  </si>
  <si>
    <t xml:space="preserve"> Shaving of skin growth of body, arms, or legs, 0.6-1.0 cm</t>
  </si>
  <si>
    <t xml:space="preserve"> Shaving of skin growth of body, arms, or legs, 1.1-2.0 cm</t>
  </si>
  <si>
    <t xml:space="preserve"> Shaving of skin growth of body, arms, or legs, more than 2.0 cm</t>
  </si>
  <si>
    <t xml:space="preserve"> Shaving of skin growth of scalp, neck, hands, feet, or genitals, 0.5 cm or less</t>
  </si>
  <si>
    <t xml:space="preserve"> Shaving of skin growth of scalp, neck, hands, feet, or genitals, 0.6-1.0 cm</t>
  </si>
  <si>
    <t xml:space="preserve"> Shaving of skin growth of scalp, neck, hands, feet, or genitals, 1.1-2.0 cm</t>
  </si>
  <si>
    <t xml:space="preserve"> Shaving of skin growth of scalp, neck, hands, feet, or genitals, more than 2.0 cm</t>
  </si>
  <si>
    <t xml:space="preserve"> Shaving of skin growth of face, ears, eyelids, nose, lips, or mouth, 0.5 cm or less</t>
  </si>
  <si>
    <t xml:space="preserve"> Shaving of skin growth of face, ears, eyelids, nose, lips, or mouth, 0.6-1.0 cm</t>
  </si>
  <si>
    <t xml:space="preserve"> Shaving of skin growth of face, ears, eyelids, nose, lips, or mouth, 1.1-2.0 cm</t>
  </si>
  <si>
    <t xml:space="preserve"> Shaving of skin growth of face, ears, eyelids, nose, lips, or mouth, more than 2.0 cm</t>
  </si>
  <si>
    <t xml:space="preserve"> Removal of noncancer skin growth of body, arms, or legs, 0.5 cm or less</t>
  </si>
  <si>
    <t xml:space="preserve"> Removal of noncancer skin growth of body, arms, or legs, 0.6-1.0 cm</t>
  </si>
  <si>
    <t xml:space="preserve"> Removal of noncancer skin growth of body, arms, or legs, 1.1-2.0 cm</t>
  </si>
  <si>
    <t xml:space="preserve"> Removal of noncancer skin growth of body, arms, or legs, 2.1-3.0 cm</t>
  </si>
  <si>
    <t xml:space="preserve"> Removal of noncancer skin growth of body, arms, or legs, 3.1-4.0 cm</t>
  </si>
  <si>
    <t xml:space="preserve"> Removal of noncancer skin growth of body, arms, or legs, more than 4.0 cm</t>
  </si>
  <si>
    <t xml:space="preserve"> Removal of noncancer skin growth of scalp, neck, hands, feet, or genitals, 0.5 cm or less</t>
  </si>
  <si>
    <t xml:space="preserve"> Removal of noncancer skin growth of scalp, neck, hands, feet, or genitals, 0.6-1.0 cm</t>
  </si>
  <si>
    <t xml:space="preserve"> Removal of noncancer skin growth of scalp, neck, hands, feet, or genitals, 1.1-2.0 cm</t>
  </si>
  <si>
    <t xml:space="preserve"> Removal of noncancer skin growth of scalp, neck, hands, feet, or genitals, 2.1-3.0 cm</t>
  </si>
  <si>
    <t xml:space="preserve"> Removal of noncancer skin growth of scalp, neck, hands, feet, or genitals, 3.1-4.0 cm</t>
  </si>
  <si>
    <t xml:space="preserve"> Removal of noncancer skin growth of scalp, neck, hands, feet, or genitals, more than 4.0 cm</t>
  </si>
  <si>
    <t xml:space="preserve"> Removal of noncancer skin growth of face, ears, eyelids, nose, lips, or mouth, 0.5 cm or less</t>
  </si>
  <si>
    <t xml:space="preserve"> Removal of noncancer skin growth of face, ears, eyelids, nose, lips, or mouth, 0.6-1.0 cm</t>
  </si>
  <si>
    <t xml:space="preserve"> Removal of noncancer skin growth of face, ears, eyelids, nose, lips, or mouth, 1.1-2.0 cm</t>
  </si>
  <si>
    <t xml:space="preserve"> Removal of noncancer skin growth of face, ears, eyelids, nose, lips, or mouth, 2.1-3.0 cm</t>
  </si>
  <si>
    <t xml:space="preserve"> Removal of noncancer skin growth of face, ears, eyelids, nose, lips, or mouth, 3.1-4.0 cm</t>
  </si>
  <si>
    <t xml:space="preserve"> Removal of noncancer skin growth of face, ears, eyelids, nose, lips, or mouth, more than 4.0 cm</t>
  </si>
  <si>
    <t xml:space="preserve"> Removal of skin and tissue of underarms for inflamed sweat glands with simple or intermediate repair</t>
  </si>
  <si>
    <t xml:space="preserve"> Removal of skin and tissue of underarms for inflamed sweat glands with complex repair</t>
  </si>
  <si>
    <t xml:space="preserve"> Removal of skin and tissue of groin for inflamed sweat glands with simple or intermediate repair</t>
  </si>
  <si>
    <t xml:space="preserve"> Removal of skin and tissue of groin for inflamed sweat glands with complicated repair</t>
  </si>
  <si>
    <t xml:space="preserve"> Removal of skin and tissue of anus or navel for inflamed sweat glands with simple or intermediate repair</t>
  </si>
  <si>
    <t xml:space="preserve"> Removal of skin and tissue of anus or navel for inflamed sweat glands with complicated repair</t>
  </si>
  <si>
    <t xml:space="preserve"> Removal of cancer skin growth of body, arms, or legs, 0.5 cm or less</t>
  </si>
  <si>
    <t xml:space="preserve"> Removal of cancer skin growth of body, arms, or legs, 0.6-1.0 cm</t>
  </si>
  <si>
    <t xml:space="preserve"> Removal of cancer skin growth of body, arms, or legs, 1.1-2.0 cm</t>
  </si>
  <si>
    <t xml:space="preserve"> Removal of cancer skin growth of body, arms, or legs, 2.1-3.0 cm</t>
  </si>
  <si>
    <t xml:space="preserve"> Removal of cancer skin growth of body, arms, or legs, 3.1-4.0 cm</t>
  </si>
  <si>
    <t xml:space="preserve"> Removal of cancer skin growth of body, arms, or legs, more than 4.0 cm</t>
  </si>
  <si>
    <t xml:space="preserve"> Removal of cancer skin growth of scalp, neck, hands, feet, or genitals, 0.5 cm or less</t>
  </si>
  <si>
    <t xml:space="preserve"> Removal of cancer skin growth of scalp, neck, hands, feet, or genitals, 0.6-1.0 cm</t>
  </si>
  <si>
    <t xml:space="preserve"> Removal of cancer skin growth of scalp, neck, hands, feet, or genitals, 1.1-2.0 cm</t>
  </si>
  <si>
    <t xml:space="preserve"> Removal of cancer skin growth of scalp, neck, hands, feet, or genitals, 2.1-3.0 cm</t>
  </si>
  <si>
    <t xml:space="preserve"> Removal of cancer skin growth of scalp, neck, hands, feet, or genitals, 3.1-4.0 cm</t>
  </si>
  <si>
    <t xml:space="preserve"> Removal of cancer skin growth of scalp, neck, hands, feet, or genitals, more than 4.0 cm</t>
  </si>
  <si>
    <t xml:space="preserve"> Removal of cancer skin growth of face, ears, eyelids, nose, lips, or mouth, 0.5 cm or less</t>
  </si>
  <si>
    <t xml:space="preserve"> Removal of cancer skin growth of face, ears, eyelids, nose, lips, or mouth, 0.6-1.0 cm</t>
  </si>
  <si>
    <t xml:space="preserve"> Removal of cancer skin growth of face, ears, eyelids, nose, lips, or mouth, 1.1-2.0 cm</t>
  </si>
  <si>
    <t xml:space="preserve"> Removal of cancer skin growth of face, ears, eyelids, nose, lips, or mouth, 2.1-3.0 cm</t>
  </si>
  <si>
    <t xml:space="preserve"> Removal of cancer skin growth of face, ears, eyelids, nose, lips, or mouth, 3.1-4.0 cm</t>
  </si>
  <si>
    <t xml:space="preserve"> Removal of cancer skin growth of face, ears, eyelids, nose, lips, or mouth, more than 4.0 cm</t>
  </si>
  <si>
    <t xml:space="preserve"> Trimming of fingernails or toenails</t>
  </si>
  <si>
    <t xml:space="preserve"> Removal of fingernails or toenails, 1-5 nails</t>
  </si>
  <si>
    <t xml:space="preserve"> Removal of fingernails or toenails, 6 or more nails</t>
  </si>
  <si>
    <t xml:space="preserve"> Simple separation of fingernail or toenail from nail bed, first nail</t>
  </si>
  <si>
    <t xml:space="preserve"> Simple separation of fingernail or toenail from nail bed, each additional nail</t>
  </si>
  <si>
    <t xml:space="preserve"> Removal of blood accumulation under fingernail or toenail</t>
  </si>
  <si>
    <t xml:space="preserve"> Permanent removal fingernail or toenail</t>
  </si>
  <si>
    <t xml:space="preserve"> Biopsy of fingernail or toenail</t>
  </si>
  <si>
    <t xml:space="preserve"> Repair of fingernail or toenail bed</t>
  </si>
  <si>
    <t xml:space="preserve"> Repair of fingernail or toenail bed with graft</t>
  </si>
  <si>
    <t xml:space="preserve"> Removal of skin of fingernail or toenail</t>
  </si>
  <si>
    <t xml:space="preserve"> Simple removal of cyst of tailbone</t>
  </si>
  <si>
    <t xml:space="preserve"> Extensive removal of cyst of tailbone</t>
  </si>
  <si>
    <t xml:space="preserve"> Complicated removal of cyst of tailbone</t>
  </si>
  <si>
    <t xml:space="preserve"> Injection into skin growth, 1-7 growths</t>
  </si>
  <si>
    <t xml:space="preserve"> Injection into skin growth, more than 7 growths</t>
  </si>
  <si>
    <t xml:space="preserve"> Tattooing of skin to correct color issue, 6.0 sq cm or less</t>
  </si>
  <si>
    <t xml:space="preserve"> Tattooing of skin to correct color issue, 6.1-20.0 sq cm</t>
  </si>
  <si>
    <t xml:space="preserve"> Tattooing of skin to correct color issue, each additional 20.0 sq cm</t>
  </si>
  <si>
    <t xml:space="preserve"> Injection of filling material under skin, 1.0 cc or less</t>
  </si>
  <si>
    <t xml:space="preserve"> Injection of filling material under skin, 1.1-5.0 cc</t>
  </si>
  <si>
    <t xml:space="preserve"> Injection of filling material under skin, 5.1-10.0 cc</t>
  </si>
  <si>
    <t xml:space="preserve"> Injection of filling material under skin, more than 10.0 cc</t>
  </si>
  <si>
    <t xml:space="preserve"> Insertion of tissue expander</t>
  </si>
  <si>
    <t xml:space="preserve"> Replacement of tissue expander with permanent implant</t>
  </si>
  <si>
    <t xml:space="preserve"> Removal of tissue expander</t>
  </si>
  <si>
    <t xml:space="preserve"> Removal of implantable contraceptive capsules</t>
  </si>
  <si>
    <t xml:space="preserve"> Placement of hormone pellet under skin</t>
  </si>
  <si>
    <t xml:space="preserve"> Insertion of drug delivery implant into tissue</t>
  </si>
  <si>
    <t xml:space="preserve"> Removal of drug delivery implant from tissue</t>
  </si>
  <si>
    <t xml:space="preserve"> Removal with reinsertion of drug delivery implant into tissue</t>
  </si>
  <si>
    <t xml:space="preserve"> Simple repair of surface wound of scalp, neck, underarms, trunk, arms, or legs, 2.5 cm or less</t>
  </si>
  <si>
    <t xml:space="preserve"> Simple repair of surface wound of scalp, neck, underarms, trunk, arms, or legs, 2.6-7.5 cm</t>
  </si>
  <si>
    <t xml:space="preserve"> Simple repair of surface wound of scalp, neck, underarms, trunk, arms, or legs, 7.6-12.5 cm</t>
  </si>
  <si>
    <t xml:space="preserve"> Simple repair of surface wound of scalp, neck, underarms, trunk, arms, or legs, 12.6-20.0 cm</t>
  </si>
  <si>
    <t xml:space="preserve"> Simple repair of surface wound of scalp, neck, underarms, trunk, arms, or legs, 20.1-30.0 cm</t>
  </si>
  <si>
    <t xml:space="preserve"> Simple repair of surface wound to scalp, neck, underarms, trunk, arms, or legs, more than 30.0 cm</t>
  </si>
  <si>
    <t xml:space="preserve"> Simple repair of surface wound of face, ears, eyelids, nose, lips, or mouth, 2.5 cm or less</t>
  </si>
  <si>
    <t xml:space="preserve"> Simple repair of surface wound of face, ears, eyelids, nose, lips, or mouth, 2.6-5.0 cm</t>
  </si>
  <si>
    <t xml:space="preserve"> Simple repair of surface wound of face, ears, eyelids, nose, lips, or mouth, 5.1-7.5 cm</t>
  </si>
  <si>
    <t xml:space="preserve"> Simple repair of surface wound of face, ears, eyelids, nose, lips, or mouth, 7.6-12.5 cm</t>
  </si>
  <si>
    <t xml:space="preserve"> Simple repair of surface wound of face, ears, eyelids, nose, lips, or mouth, 12.6-20.0 cm</t>
  </si>
  <si>
    <t xml:space="preserve"> Simple repair of surface wound of face, ears, eyelids, nose, lips, or mouth, 20.1-30.0 cm</t>
  </si>
  <si>
    <t xml:space="preserve"> Simple repair of surface wound of face, ears, eyelids, nose, lips, or mouth, more than 30.0 cm</t>
  </si>
  <si>
    <t xml:space="preserve"> Simple closure of surface wound reopening</t>
  </si>
  <si>
    <t xml:space="preserve"> Repair of separation of wound closure with insertion of packing</t>
  </si>
  <si>
    <t xml:space="preserve"> Intermediate repair of wound of scalp, underarms, trunk, arms, or legs, 2.5 cm or less</t>
  </si>
  <si>
    <t xml:space="preserve"> Intermediate repair of wound of scalp, underarms, trunk, arms, or legs, 2.6-7.5 cm</t>
  </si>
  <si>
    <t xml:space="preserve"> Intermediate repair of wound of scalp, underarms, trunk, arms, or legs, 7.6-12.5 cm</t>
  </si>
  <si>
    <t xml:space="preserve"> Intermediate repair of wound of scalp, underarms, trunk, arms, or legs, 12.6-20.0 cm</t>
  </si>
  <si>
    <t xml:space="preserve"> Intermediate repair of wound of scalp, underarms, trunk, arms, or legs, 20.1-30.0 cm</t>
  </si>
  <si>
    <t xml:space="preserve"> Intermediate repair of wound of scalp, underarms, trunk, arms, or legs, more than 30.0 cm</t>
  </si>
  <si>
    <t xml:space="preserve"> Intermediate repair of wound of neck, hands, feet, or genitals, 2.5 cm or less</t>
  </si>
  <si>
    <t xml:space="preserve"> Intermediate repair of wound of neck, hands, feet, or genitals, 2.6-7.5 cm</t>
  </si>
  <si>
    <t xml:space="preserve"> Intermediate repair of wound of neck, hands, feet, or genitals, 7.6-12.5 cm</t>
  </si>
  <si>
    <t xml:space="preserve"> Intermediate repair of wound of neck, hands, feet, or genitals, 12.6-20.0 cm</t>
  </si>
  <si>
    <t xml:space="preserve"> Intermediate repair of wound of neck, hands, feet, or genitals, 20.1-30.0 cm</t>
  </si>
  <si>
    <t xml:space="preserve"> Intermediate repair of wound of neck, hands, feet, or genitals, more than 30.0 cm</t>
  </si>
  <si>
    <t xml:space="preserve"> Intermediate repair of wound of face, ears, eyelids, nose, lips, or mouth, 2.5 cm or less</t>
  </si>
  <si>
    <t xml:space="preserve"> Intermediate repair of wound of face, ears, eyelids, nose, lips, or mouth, 2.6-5.0 cm</t>
  </si>
  <si>
    <t xml:space="preserve"> Intermediate repair of wound of face, ears, eyelids, nose, lips, or mouth, 5.1-7.5 cm</t>
  </si>
  <si>
    <t xml:space="preserve"> Intermediate repair of wound of face, ears, eyelids, nose, lips, or mouth, 7.6-12.5 cm</t>
  </si>
  <si>
    <t xml:space="preserve"> Intermediate repair of wound of face, ears, eyelids, nose, lips, or mouth, 12.6-20.0 cm</t>
  </si>
  <si>
    <t xml:space="preserve"> Intermediate repair of wound of face, ears, eyelids, nose, lips, or mouth, 20.1-30.0 cm</t>
  </si>
  <si>
    <t xml:space="preserve"> Intermediate repair of wound of face, ears, eyelids, nose, lips, or mouth, more than 30.0 cm</t>
  </si>
  <si>
    <t xml:space="preserve"> Complicated repair of wound of trunk, 1.1-2.5 cm</t>
  </si>
  <si>
    <t xml:space="preserve"> Complicated repair of wound of trunk, 2.6-7.5 cm</t>
  </si>
  <si>
    <t xml:space="preserve"> Complicated repair of wound of trunk, each additional 5.0 cm or less</t>
  </si>
  <si>
    <t xml:space="preserve"> Complicated repair of wound of scalp, arms, or legs, 1.1-2.5 cm</t>
  </si>
  <si>
    <t xml:space="preserve"> Complicated repair of wound of scalp, arms, or legs, 2.6-7.5 cm</t>
  </si>
  <si>
    <t xml:space="preserve"> Complicated repair of wound of scalp, arms, or legs, each additional 5.0 cm or less</t>
  </si>
  <si>
    <t xml:space="preserve"> Complicated repair of wound of forehead, cheeks, chin, mouth, neck, underarms, genitals, hands, or feet, 1.1-2.5 cm</t>
  </si>
  <si>
    <t xml:space="preserve"> Complicated repair of wound of forehead, cheeks, chin, mouth, neck, underarms, genitals, hands, or feet, 2.6-7.5 cm</t>
  </si>
  <si>
    <t xml:space="preserve"> Complicated repair of wound of forehead, cheeks, chin, mouth, neck, underarms, genitals, hands, or feet, each additional 5.0 cm or less</t>
  </si>
  <si>
    <t xml:space="preserve"> Complicated repair of wound of eyelids, nose, ears, or lip, 1.1-2.5 cm</t>
  </si>
  <si>
    <t xml:space="preserve"> Complicated repair of wound of eyelids, nose, ears, or lip, 2.6-7.5 cm</t>
  </si>
  <si>
    <t xml:space="preserve"> Complicated repair of wound of eyelids, nose, ears, or lip, each additional 5.0 cm or less</t>
  </si>
  <si>
    <t xml:space="preserve"> Extensive or complicated repair of surface wound reopening</t>
  </si>
  <si>
    <t xml:space="preserve"> Repair of wound of trunk by transferring skin, 10.0 sq cm or less</t>
  </si>
  <si>
    <t xml:space="preserve"> Repair of wound of trunk by transferring skin, 10.1-30.0 sq cm</t>
  </si>
  <si>
    <t xml:space="preserve"> Repair of wound of scalp, arms, or legs by transferring skin, 10.0 sq cm or less</t>
  </si>
  <si>
    <t xml:space="preserve"> Repair of wound of scalp, arms, or legs by transferring skin, 10.1-30.0 sq cm</t>
  </si>
  <si>
    <t xml:space="preserve"> Repair of wound of forehead, cheeks, chin, mouth, neck, underarms, genitals, hands, or feet by transferring skin, 10.0 sq cm or less</t>
  </si>
  <si>
    <t xml:space="preserve"> Repair of wound of forehead, cheeks, chin, mouth, neck, underarms, genitals, hands, or feet by transferring skin, 10.1-30.0 sq cm</t>
  </si>
  <si>
    <t xml:space="preserve"> Repair of wound of eyelids, nose, ears, or lips by transferring skin, 10.0 sq cm or less</t>
  </si>
  <si>
    <t xml:space="preserve"> Repair of wound of eyelids, nose, ears, or lips by transferring skin, 10.1-30.0 sq cm</t>
  </si>
  <si>
    <t xml:space="preserve"> Repair of wound by transferring skin, 30.1-60.0 sq cm</t>
  </si>
  <si>
    <t xml:space="preserve"> Repair of wound by transferring skin, each additional 30.0 sq cm</t>
  </si>
  <si>
    <t xml:space="preserve"> Repair of tissue loss of finger or toe</t>
  </si>
  <si>
    <t xml:space="preserve"> Preparation of skin graft site of trunk, arms, or legs, 100.0 sq cm or 1% body area for infants and children, or less</t>
  </si>
  <si>
    <t xml:space="preserve"> Preparation of skin graft site of trunk, arms, or legs, each additional 100.0 sq cm or 1% body area for infants and children, or less</t>
  </si>
  <si>
    <t xml:space="preserve"> Preparation of skin graft site of face, scalp, eyelids, mouth, neck, ears, around eyes, genitals, hands, feet, fingers, or toes, 100.0 sq cm or 1% body area for infants and children, or less</t>
  </si>
  <si>
    <t xml:space="preserve"> Preparation of skin graft site of face, scalp, eyelids, mouth, neck, ears, around eyes, genitals, hands, feet, fingers, or toes, each additional 100.0 sq cm or 1% body area for infants and children, or less</t>
  </si>
  <si>
    <t xml:space="preserve"> Relocation of skin for self skin graft, 100.0 sq cm or less</t>
  </si>
  <si>
    <t xml:space="preserve"> Skin graft to tip of finger or toe, 2.0 cm or less</t>
  </si>
  <si>
    <t xml:space="preserve"> Partial thickness self skin graft to trunk, arms, or legs, 100.0 sq cm or 1% body area for infants and children, or less</t>
  </si>
  <si>
    <t xml:space="preserve"> Partial thickness self skin graft of trunk, arms, or legs, each additional 100.0 sq cm or 1% body area for infants and children, or less</t>
  </si>
  <si>
    <t xml:space="preserve"> Outer layer self skin graft of trunk, arms, or legs, 100.0 sq cm or 1% body area for infants and children, or less</t>
  </si>
  <si>
    <t xml:space="preserve"> Outer layer self skin graft to trunk, arms, or legs, each additional 100.0 sq cm or 1% body area for infants and children, or less</t>
  </si>
  <si>
    <t xml:space="preserve"> Outer layer self skin graft of face, scalp, eyelids, mouth, neck, ears, around eyes, genitals, hands, feet, fingers, or toes, 100.0 sq cm or 1% body area for infants and children, or less</t>
  </si>
  <si>
    <t xml:space="preserve"> Outer layer self skin graft of face, scalp, eyelids, mouth, neck, ears, around eyes, genitals, hands, feet, fingers, or toes, each additional 100.0 sq cm or 1% body area for infants and children, or less</t>
  </si>
  <si>
    <t xml:space="preserve"> Partial thickness self skin graft to face, scalp, eyelids, mouth, neck, ears, around eyes, genitals, hands, feet, fingers, or toes, 100.0 sq cm or 1% body area for infants and children, or less</t>
  </si>
  <si>
    <t xml:space="preserve"> Partial thickness self skin graft of face, scalp, eyelids, mouth, neck, ears, around eyes, genitals, hands, feet, fingers, or toes, each additional 100.0 sq cm or 1% body area for infants and children, or less</t>
  </si>
  <si>
    <t xml:space="preserve"> Deep layer self skin graft of trunk, arms, or legs, 100.0 sq cm or 1% body area of infants and children, or less</t>
  </si>
  <si>
    <t xml:space="preserve"> Deep layer self skin graft of trunk, arms, or legs, each additional 100.0 sq cm or 1% body area of infants and children, or less</t>
  </si>
  <si>
    <t xml:space="preserve"> Deep layer self skin graft of face, scalp, eyelids, mouth, neck, ears, around eyes, genitals, hands, feet, fingers, or toes, 100.0 sq cm or 1% body area of infants and children, or less</t>
  </si>
  <si>
    <t xml:space="preserve"> Deep layer self skin graft of face, scalp, eyelids, mouth, neck, ears, around eyes, genitals, hands, feet, fingers, or toes, each additional 100.0 sq cm or 1% body area of infants and children, or less</t>
  </si>
  <si>
    <t xml:space="preserve"> Tissue skin graft from self of trunk, arms, or legs, 25.0 sq cm or less</t>
  </si>
  <si>
    <t xml:space="preserve"> Tissue skin graft from self of trunk, arms, or legs, each additional 1.0-75.0 sq cm</t>
  </si>
  <si>
    <t xml:space="preserve"> Tissue skin graft from self of trunk, arms, or legs, each additional 100.0 sq cm or 1% of body area for infants and children, or less</t>
  </si>
  <si>
    <t xml:space="preserve"> Tissue self skin graft of face, scalp, eyelids, mouth, neck, ears, around eyes, genitals, hands, feet, fingers, or toes, 25.0 sq cm or less</t>
  </si>
  <si>
    <t xml:space="preserve"> Tissue skin graft from self of face, scalp, eyelids, mouth, neck, ears, around eyes, genitals, hands, feet, fingers, or toes, each additional 75.0 sq cm</t>
  </si>
  <si>
    <t xml:space="preserve"> Tissue skin graft from self of face, scalp, eyelids, mouth, neck, ears, around eyes, genitals, hands, feet, fingers, or toes, each additional 100.0 sq cm or 1% of body area for infants and children, or less</t>
  </si>
  <si>
    <t xml:space="preserve"> Full thickness skin graft to trunk, 20.0 sq cm or less</t>
  </si>
  <si>
    <t xml:space="preserve"> Full thickness skin graft to trunk, each additional 20.0 sq cm</t>
  </si>
  <si>
    <t xml:space="preserve"> Full thickness skin graft to scalp, arms, or legs, 20.0 sq cm or less</t>
  </si>
  <si>
    <t xml:space="preserve"> Full thickness skin graft to scalp, arms, or legs, each additional 20.0 sq cm</t>
  </si>
  <si>
    <t xml:space="preserve"> Full thickness skin graft to forehead, cheeks, chin, mouth, neck, underarms, genitals, hands, or feet, 20.0 sq cm or less</t>
  </si>
  <si>
    <t xml:space="preserve"> Full thickness skin graft to forehead, cheeks, chin, mouth, neck, underarms, genitals, hands, or feet, each additional 20.0 sq cm</t>
  </si>
  <si>
    <t xml:space="preserve"> Full thickness skin graft to nose, ears, eyelids, or lips, 20.0 sq cm or less</t>
  </si>
  <si>
    <t xml:space="preserve"> Full thickness skin graft to nose, ears, eyelids, or lips, each additional 20.0 sq cm</t>
  </si>
  <si>
    <t xml:space="preserve"> Application of skin substitute graft to wound of trunk, arms, or legs, 25.0 sq cm or less of wound 100.0 sq cm or less</t>
  </si>
  <si>
    <t xml:space="preserve"> Application of skin substitute graft to wound of trunk, arms, or legs, each additional 25.0 sq cm of wound 100.0 sq cm or less</t>
  </si>
  <si>
    <t xml:space="preserve"> Skin substitute graft to wound 100.0 sq cm or more of trunk, arms, or legs, 100.0 sq cm or 1% body area for infants and children, or less</t>
  </si>
  <si>
    <t xml:space="preserve"> Skin substitute graft to wound 100.0 sq cm or more of trunk, arms, or legs, each additional 100.0 sq cm or 1% body area for infants and children, or less</t>
  </si>
  <si>
    <t xml:space="preserve"> Application of skin substitute graft to wound of face, scalp, eyelids, mouth, neck, ears, around eyes, genitals, hands, feet, fingers, or toes, 25.0 sq cm or less of wound 100.0 sq cm or less</t>
  </si>
  <si>
    <t xml:space="preserve"> Application of skin substitute graft to wound of face, scalp, eyelids, mouth, neck, ears, around eyes, genitals, hands, feet, fingers, or toes, each additional 25.0 sq cm of wound 100.0 sq cm or less</t>
  </si>
  <si>
    <t xml:space="preserve"> Skin substitute graft to wound 100.0 sq cm or more of face, scalp, eyelids, mouth, neck, ears, around eyes, genitals, hands, feet, fingers, or toes, 100.0 sq cm or 1% body area for infants and children, or less</t>
  </si>
  <si>
    <t xml:space="preserve"> Skin substitute graft to wound 100.0 sq cm or more of face, scalp, eyelids, mouth, neck, ears, around eyes, genitals, hands, feet, fingers, or toes, each additional 100.0 sq cm or 1% body area for infants and children, or less</t>
  </si>
  <si>
    <t xml:space="preserve"> Creation of flap graft to trunk</t>
  </si>
  <si>
    <t xml:space="preserve"> Creation of flap graft to scalp, arms, or legs</t>
  </si>
  <si>
    <t xml:space="preserve"> Creation of flap graft to forehead, cheeks, chin, mouth, neck, underarms, genitals, hands, or feet</t>
  </si>
  <si>
    <t xml:space="preserve"> Creation of flap graft to eyelids, nose, ears, lips, or mouth</t>
  </si>
  <si>
    <t xml:space="preserve"> Transfer of skin flap to trunk</t>
  </si>
  <si>
    <t xml:space="preserve"> Transfer of skin flap to scalp, arms, or legs</t>
  </si>
  <si>
    <t xml:space="preserve"> Transfer of skin flap to forehead, cheeks, chin, neck, underarms, genitals, hands, or feet</t>
  </si>
  <si>
    <t xml:space="preserve"> Transfer of skin flap to eyelids, nose, ears, or lips</t>
  </si>
  <si>
    <t xml:space="preserve"> Transfer of skin flap</t>
  </si>
  <si>
    <t xml:space="preserve"> Creation of flap graft to midface</t>
  </si>
  <si>
    <t xml:space="preserve"> Creation of flap graft to nose, forehead, temple, or scalp</t>
  </si>
  <si>
    <t xml:space="preserve"> Creation of flap graft to head and/or neck</t>
  </si>
  <si>
    <t xml:space="preserve"> Creation of muscle graft to trunk</t>
  </si>
  <si>
    <t xml:space="preserve"> Creation of muscle graft to arm</t>
  </si>
  <si>
    <t xml:space="preserve"> Creation of muscle graft to leg</t>
  </si>
  <si>
    <t xml:space="preserve"> Creation of skin and tissue graft</t>
  </si>
  <si>
    <t xml:space="preserve"> Creation of nerve and blood vessel skin graft</t>
  </si>
  <si>
    <t xml:space="preserve"> Graft with closure of wound</t>
  </si>
  <si>
    <t xml:space="preserve"> Self soft tissue graft</t>
  </si>
  <si>
    <t xml:space="preserve"> Creation of skin, fat and muscle graft</t>
  </si>
  <si>
    <t xml:space="preserve"> Graft using patient's fat removed by liposuction and inserted into trunk, breasts, scalp, arms, or legs, 50.0 cc or less</t>
  </si>
  <si>
    <t xml:space="preserve"> Graft using patient's fat removed by liposuction and inserted into trunk, breasts, scalp, arms, or legs, each additional 50.0 cc</t>
  </si>
  <si>
    <t xml:space="preserve"> Graft using patient's fat removed by liposuction and inserted into face, eyelids, mouth, neck, ears, around eyes, genitals, hands, or feet, 25.0 cc or less</t>
  </si>
  <si>
    <t xml:space="preserve"> Graft using patient's fat removed by liposuction and inserted into face, eyelids, mouth, neck, ears, around eyes, genitals, hands, or feet, each additional 25.0 cc</t>
  </si>
  <si>
    <t xml:space="preserve"> Hair transplant, 1-15 punch grafts</t>
  </si>
  <si>
    <t xml:space="preserve"> Hair transplant, more than 15 punch grafts</t>
  </si>
  <si>
    <t xml:space="preserve"> Implantation of biologic implant to soft tissue</t>
  </si>
  <si>
    <t xml:space="preserve"> Dermabrasion of skin of total face</t>
  </si>
  <si>
    <t xml:space="preserve"> Dermabrasion of skin of part of face</t>
  </si>
  <si>
    <t xml:space="preserve"> Dermabrasion of skin other than face</t>
  </si>
  <si>
    <t xml:space="preserve"> Dermabrasion of superficial scars or tattoos from skin</t>
  </si>
  <si>
    <t xml:space="preserve"> Scraping of skin growth, first growth</t>
  </si>
  <si>
    <t xml:space="preserve"> Scraping of skin growth, each additional 1-4 growths</t>
  </si>
  <si>
    <t xml:space="preserve"> Chemical peel of outer layer of skin of face</t>
  </si>
  <si>
    <t xml:space="preserve"> Chemical peel of deep layer of skin of face</t>
  </si>
  <si>
    <t xml:space="preserve"> Chemical peel of outer layer of nonfacial skin</t>
  </si>
  <si>
    <t xml:space="preserve"> Chemical peel of deep layer of nonfacial skin</t>
  </si>
  <si>
    <t xml:space="preserve"> Removal of extra skin of neck</t>
  </si>
  <si>
    <t xml:space="preserve"> Repair of lower eyelid defect</t>
  </si>
  <si>
    <t xml:space="preserve"> Removal of excessive skin of lower eyelid and fat around eye</t>
  </si>
  <si>
    <t xml:space="preserve"> Removal of excessive skin of upper eyelid</t>
  </si>
  <si>
    <t xml:space="preserve"> Removal of excessive skin and fat of upper eyelid</t>
  </si>
  <si>
    <t xml:space="preserve"> Removal of wrinkles and extra skin of forehead</t>
  </si>
  <si>
    <t xml:space="preserve"> Removal of wrinkles and extra skin of neck</t>
  </si>
  <si>
    <t xml:space="preserve"> Incision, stretching, and suture of skin between eyebrows</t>
  </si>
  <si>
    <t xml:space="preserve"> Removal of wrinkles and extra skin of cheeks, chin, and neck</t>
  </si>
  <si>
    <t xml:space="preserve"> Removal of wrinkles and extra skin with grafting of cheeks, chin, and neck</t>
  </si>
  <si>
    <t xml:space="preserve"> Removal of extra skin and tissue of abdomen</t>
  </si>
  <si>
    <t xml:space="preserve"> Removal of extra skin and tissue of thigh</t>
  </si>
  <si>
    <t xml:space="preserve"> Removal of extra skin and tissue of leg</t>
  </si>
  <si>
    <t xml:space="preserve"> Removal of extra skin and tissue of hip</t>
  </si>
  <si>
    <t xml:space="preserve"> Removal of extra skin and tissue of buttock</t>
  </si>
  <si>
    <t xml:space="preserve"> Removal of extra skin and tissue of arm</t>
  </si>
  <si>
    <t xml:space="preserve"> Removal of extra skin and tissue of forearm or hand</t>
  </si>
  <si>
    <t xml:space="preserve"> Removal of extra skin and tissue of chin</t>
  </si>
  <si>
    <t xml:space="preserve"> Removal of extra skin and tissue of other area</t>
  </si>
  <si>
    <t xml:space="preserve"> Tissue graft to treat facial paralysis</t>
  </si>
  <si>
    <t xml:space="preserve"> Muscle graft to treat facial paralysis</t>
  </si>
  <si>
    <t xml:space="preserve"> Microsurgical muscle graft to treat facial paralysis</t>
  </si>
  <si>
    <t xml:space="preserve"> Muscle transfer to treat facial paralysis</t>
  </si>
  <si>
    <t xml:space="preserve"> Extensive removal of extra skin and tissue of abdomen</t>
  </si>
  <si>
    <t xml:space="preserve"> Removal of sutures or staples under anesthesia</t>
  </si>
  <si>
    <t xml:space="preserve"> Dressing change under anesthesia</t>
  </si>
  <si>
    <t xml:space="preserve"> Injection of agent into vein to assess blood flow of skin graft or flap</t>
  </si>
  <si>
    <t xml:space="preserve"> Suction assisted removal of fat of head and neck</t>
  </si>
  <si>
    <t xml:space="preserve"> Suction assisted removal of fat of body</t>
  </si>
  <si>
    <t xml:space="preserve"> Suction assisted removal of fat of arm</t>
  </si>
  <si>
    <t xml:space="preserve"> Suction assisted removal of fat of leg</t>
  </si>
  <si>
    <t xml:space="preserve"> Removal of pressure sore tissue and tailbone with closure</t>
  </si>
  <si>
    <t xml:space="preserve"> Removal of pressure sore and bone at tailbone with skin graft</t>
  </si>
  <si>
    <t xml:space="preserve"> Removal of pressure sore tissue of sacrum with closure</t>
  </si>
  <si>
    <t xml:space="preserve"> Removal of pressure sore tissue and sacrum bone with closure</t>
  </si>
  <si>
    <t xml:space="preserve"> Removal of pressure sore tissue of sacrum with skin graft</t>
  </si>
  <si>
    <t xml:space="preserve"> Removal of pressure sore and bone at sacrum with skin graft</t>
  </si>
  <si>
    <t xml:space="preserve"> Removal of pressure sore tissue of sacrum in preparation of muscle flap or skin graft</t>
  </si>
  <si>
    <t xml:space="preserve"> Removal of pressure sore and bone at sacrum in preparation of muscle flap or skin graft</t>
  </si>
  <si>
    <t xml:space="preserve"> Removal of pressure sore tissue of lower pelvic bone with closure</t>
  </si>
  <si>
    <t xml:space="preserve"> Removal of pressure sore tissue and lower pelvic bone with closure</t>
  </si>
  <si>
    <t xml:space="preserve"> Removal of pressure sore tissue of lower pelvic bone with skin graft</t>
  </si>
  <si>
    <t xml:space="preserve"> Removal of pressure sore and lower pelvic bone with skin graft</t>
  </si>
  <si>
    <t xml:space="preserve"> Removal of pressure sore and lower pelvic bone in preparation of muscle flap or skin graft closure</t>
  </si>
  <si>
    <t xml:space="preserve"> Removal of pressure sore tissue of head of thigh bone with closure</t>
  </si>
  <si>
    <t xml:space="preserve"> Removal of pressure sore tissue and head of thigh bone with closure</t>
  </si>
  <si>
    <t xml:space="preserve"> Removal of pressure sore tissue of head of thigh bone with skin graft</t>
  </si>
  <si>
    <t xml:space="preserve"> Removal of pressure sore and bone at hip bone with skin graft</t>
  </si>
  <si>
    <t xml:space="preserve"> Removal of pressure sore tissue of head of thigh bone in preparation of muscle flap or skin graft</t>
  </si>
  <si>
    <t xml:space="preserve"> Removal of pressure sore and bone at hip bone in preparation of muscle flap or skin graft</t>
  </si>
  <si>
    <t xml:space="preserve"> First degree burn treatment</t>
  </si>
  <si>
    <t xml:space="preserve"> Dressing change or removal of burn tissue, less than 5% of total body surface</t>
  </si>
  <si>
    <t xml:space="preserve"> Dressing change or removal of burn tissue, 5-10% of total body surface</t>
  </si>
  <si>
    <t xml:space="preserve"> Dressing change or removal of burn tissue, more than 10% of total body surface</t>
  </si>
  <si>
    <t xml:space="preserve"> Initial incision of dead burn tissue</t>
  </si>
  <si>
    <t xml:space="preserve"> Destruction of precancer skin growth, 1 growth</t>
  </si>
  <si>
    <t xml:space="preserve"> Destruction of precancer skin growth, 2-14 growths</t>
  </si>
  <si>
    <t xml:space="preserve"> Destruction of precancer skin growth, 15 or more growths</t>
  </si>
  <si>
    <t xml:space="preserve"> Destruction of birthmark, less than 10.0 sq cm</t>
  </si>
  <si>
    <t xml:space="preserve"> Destruction of birthmark, 10.0-50.0 sq cm</t>
  </si>
  <si>
    <t xml:space="preserve"> Destruction of birthmark, more than 50.0 sq cm</t>
  </si>
  <si>
    <t xml:space="preserve"> Destruction of skin growth, 1-14 growths</t>
  </si>
  <si>
    <t xml:space="preserve"> Destruction of skin growth, 15 or more growths</t>
  </si>
  <si>
    <t xml:space="preserve"> Application of chemical to stop tissue regrowth in wound</t>
  </si>
  <si>
    <t xml:space="preserve"> Destruction of cancer skin growth of trunk, arms, or legs, 0.5 cm or less</t>
  </si>
  <si>
    <t xml:space="preserve"> Destruction of cancer skin growth of trunk, arms, or legs, 0.6-1.0 cm</t>
  </si>
  <si>
    <t xml:space="preserve"> Destruction of cancer skin growth of trunk, arms, or legs, 1.1-2.0 cm</t>
  </si>
  <si>
    <t xml:space="preserve"> Destruction of cancer skin growth of trunk, arms, or legs, 2.1-3.0 cm</t>
  </si>
  <si>
    <t xml:space="preserve"> Destruction of cancer skin growth of trunk, arms, or legs, 3.1-4.0 cm</t>
  </si>
  <si>
    <t xml:space="preserve"> Destruction of cancer skin growth of trunk, arms, or legs, more than 4.0 cm</t>
  </si>
  <si>
    <t xml:space="preserve"> Destruction of cancer skin growth of scalp, neck, hands, feet, or genitals, 0.5 cm or less</t>
  </si>
  <si>
    <t xml:space="preserve"> Destruction of cancer skin growth of scalp, neck, hands, feet, or genitals, 0.6-1.0 cm</t>
  </si>
  <si>
    <t xml:space="preserve"> Destruction of cancer skin growth of scalp, neck, hands, feet, or genitals, 1.1-2.0 cm</t>
  </si>
  <si>
    <t xml:space="preserve"> Destruction of cancer skin growth of scalp, neck, hands, feet, or genitals, 2.1-3.0 cm</t>
  </si>
  <si>
    <t xml:space="preserve"> Destruction of cancer skin growth of scalp, neck, hands, feet, or genitals, 3.1-4.0 cm</t>
  </si>
  <si>
    <t xml:space="preserve"> Destruction of cancer skin growth of scalp, neck, hands, feet, or genitals, more than 4.0 cm</t>
  </si>
  <si>
    <t xml:space="preserve"> Destruction of cancer skin growth of face, ears, eyelids, nose, lips, or mouth, 0.5 cm or less</t>
  </si>
  <si>
    <t xml:space="preserve"> Destruction of cancer skin growth of face, ears, eyelids, nose, lips, or mouth, 0.6-1.0 cm</t>
  </si>
  <si>
    <t xml:space="preserve"> Destruction of cancer skin growth of face, ears, eyelids, nose, lips, or mouth, 1.1-2.0 cm</t>
  </si>
  <si>
    <t xml:space="preserve"> Destruction of cancer skin growth of face, ears, eyelids, nose, lips, or mouth, 2.1-3.0 cm</t>
  </si>
  <si>
    <t xml:space="preserve"> Destruction of cancer skin growth of face, ears, eyelids, nose, lips, or mouth, 3.1-4.0 cm</t>
  </si>
  <si>
    <t xml:space="preserve"> Destruction of cancer skin growth of face, ears, eyelids, nose, lips, or mouth, more than 4.0 cm</t>
  </si>
  <si>
    <t xml:space="preserve"> Removal and microscopic exam of growth of head, neck, hands, feet, or genitals, 1-5 tissue blocks</t>
  </si>
  <si>
    <t xml:space="preserve"> Removal and microscopic exam of growth of head, neck, hands, feet, or genitals, each additional stage, 1-5 tissue blocks</t>
  </si>
  <si>
    <t xml:space="preserve"> Removal and microscopic exam of growth of trunk, arms, or legs, 1-5 tissue blocks</t>
  </si>
  <si>
    <t xml:space="preserve"> Removal and microscopic exam of growth of trunk, arms, or legs, each additional stage, 1-5 tissue blocks</t>
  </si>
  <si>
    <t xml:space="preserve"> Removal and microscopic exam of growth, each additional block after 5 tissue blocks</t>
  </si>
  <si>
    <t xml:space="preserve"> Cold treatment of acne</t>
  </si>
  <si>
    <t xml:space="preserve"> Chemical treatment of acne</t>
  </si>
  <si>
    <t xml:space="preserve"> Hair removal by electrolysis, each 30 minutes</t>
  </si>
  <si>
    <t xml:space="preserve"> Other procedure on skin, mucous membrane, and tissue</t>
  </si>
  <si>
    <t xml:space="preserve"> Aspiration of cyst of breast, first cyst</t>
  </si>
  <si>
    <t xml:space="preserve"> Aspiration of cyst of breast, each additional cyst</t>
  </si>
  <si>
    <t xml:space="preserve"> Drainage of abscess of breast</t>
  </si>
  <si>
    <t xml:space="preserve"> Injection for X-ray imaging of breast duct</t>
  </si>
  <si>
    <t xml:space="preserve"> Biopsy of breast and placement of locating device using X-ray with needle, first growth</t>
  </si>
  <si>
    <t xml:space="preserve"> Biopsy of breast and placement of locating device using X-ray with needle, each additional growth</t>
  </si>
  <si>
    <t xml:space="preserve"> Biopsy of breast and placement of locating device using ultrasound, first growth</t>
  </si>
  <si>
    <t xml:space="preserve"> Biopsy of breast and placement of locating device using ultrasound, each additional growth</t>
  </si>
  <si>
    <t xml:space="preserve"> Biopsy of breast and placement of locating device using MRI, first growth</t>
  </si>
  <si>
    <t xml:space="preserve"> Biopsy of breast and placement of locating device using MRI, each additional growth</t>
  </si>
  <si>
    <t xml:space="preserve"> Needle biopsy of breast</t>
  </si>
  <si>
    <t xml:space="preserve"> Biopsy of breast through incision</t>
  </si>
  <si>
    <t xml:space="preserve"> Removal of growth of breast using ultrasound, each growth</t>
  </si>
  <si>
    <t xml:space="preserve"> Exploration of breast nipple</t>
  </si>
  <si>
    <t xml:space="preserve"> Removal of abnormal drainage of breast duct</t>
  </si>
  <si>
    <t xml:space="preserve"> Removal of growth and tissue of breast, duct, or nipple</t>
  </si>
  <si>
    <t xml:space="preserve"> Removal of growth of breast identified by x-ray marker, first growth</t>
  </si>
  <si>
    <t xml:space="preserve"> Removal of growth of breast identified by x-ray marker, each additional growth</t>
  </si>
  <si>
    <t xml:space="preserve"> Placement of locating device in breast using imaging guidance, first growth</t>
  </si>
  <si>
    <t xml:space="preserve"> Placement of locating device in breast using imaging guidance, each additional growth</t>
  </si>
  <si>
    <t xml:space="preserve"> Placement of locating device in breast using X-ray with needle guidance, first growth</t>
  </si>
  <si>
    <t xml:space="preserve"> Placement of locating device in breast using X-ray with needle guidance, each additional growth</t>
  </si>
  <si>
    <t xml:space="preserve"> Placement of locating device in breast using ultrasound guidance, first growth</t>
  </si>
  <si>
    <t xml:space="preserve"> Placement of locating device in breast using ultrasound guidance, each additional growth</t>
  </si>
  <si>
    <t xml:space="preserve"> Placement of locating device in breast using MRI guidance, first growth</t>
  </si>
  <si>
    <t xml:space="preserve"> Placement of locating device in breast using MRI guidance, each additional growth</t>
  </si>
  <si>
    <t xml:space="preserve"> Placement of radiation therapy device in breast for radiation therapy during surgery with partial removal of breast</t>
  </si>
  <si>
    <t xml:space="preserve"> Insertion of expandable tube in breast for radiation treatment using imaging guidance</t>
  </si>
  <si>
    <t xml:space="preserve"> Placement of expandable tube in breast for radiation treatment using imaging guidance with partial removal of breast</t>
  </si>
  <si>
    <t xml:space="preserve"> Placement of tubes in breast for radiation treatment using imaging guidance during or after partial removal of breast</t>
  </si>
  <si>
    <t xml:space="preserve"> Removal of extra breast tissue in male</t>
  </si>
  <si>
    <t xml:space="preserve"> Partial removal of breast</t>
  </si>
  <si>
    <t xml:space="preserve"> Partial removal of breast and underarm lymph nodes</t>
  </si>
  <si>
    <t xml:space="preserve"> Simple complete removal of breast</t>
  </si>
  <si>
    <t xml:space="preserve"> Removal of breast and underarm lymph nodes</t>
  </si>
  <si>
    <t xml:space="preserve"> Repair for sagging of the breast</t>
  </si>
  <si>
    <t xml:space="preserve"> Breast reduction</t>
  </si>
  <si>
    <t xml:space="preserve"> Insertion of breast implant</t>
  </si>
  <si>
    <t xml:space="preserve"> Removal of intact breast implant</t>
  </si>
  <si>
    <t xml:space="preserve"> Removal of ruptured breast implant and implant material</t>
  </si>
  <si>
    <t xml:space="preserve"> Placement of implant on same day of breast reconstruction</t>
  </si>
  <si>
    <t xml:space="preserve"> Placement of implant on separate day of breast reconstruction</t>
  </si>
  <si>
    <t xml:space="preserve"> Reconstruction of nipple or area around nipple</t>
  </si>
  <si>
    <t xml:space="preserve"> Correction of inverted nipple</t>
  </si>
  <si>
    <t xml:space="preserve"> Reconstruction of breast using tissue expander</t>
  </si>
  <si>
    <t xml:space="preserve"> Revision of capsule around breast implant</t>
  </si>
  <si>
    <t xml:space="preserve"> Removal of capsule around breast implant</t>
  </si>
  <si>
    <t xml:space="preserve"> Surgical change to reconstructed breast</t>
  </si>
  <si>
    <t xml:space="preserve"> Preparation of mold for custom breast implant</t>
  </si>
  <si>
    <t xml:space="preserve"> Other procedure on breast</t>
  </si>
  <si>
    <t xml:space="preserve"> Exploration of wound of neck</t>
  </si>
  <si>
    <t xml:space="preserve"> Exploration of wound of chest</t>
  </si>
  <si>
    <t xml:space="preserve"> Exploration of wound of abdomen, back, or flank</t>
  </si>
  <si>
    <t xml:space="preserve"> Exploration of wound of arm or leg</t>
  </si>
  <si>
    <t xml:space="preserve"> Removal of growth plate</t>
  </si>
  <si>
    <t xml:space="preserve"> Biopsy of muscle</t>
  </si>
  <si>
    <t xml:space="preserve"> Deep biopsy of muscle</t>
  </si>
  <si>
    <t xml:space="preserve"> Needle biopsy of muscle</t>
  </si>
  <si>
    <t xml:space="preserve"> Biopsy of bone using needle or trocar</t>
  </si>
  <si>
    <t xml:space="preserve"> Deep biopsy of bone using needle or trocar</t>
  </si>
  <si>
    <t xml:space="preserve"> Biopsy of surface bone</t>
  </si>
  <si>
    <t xml:space="preserve"> Biopsy of deep bone</t>
  </si>
  <si>
    <t xml:space="preserve"> Biopsy of middle spine bone</t>
  </si>
  <si>
    <t xml:space="preserve"> Biopsy of upper or lower spine bone</t>
  </si>
  <si>
    <t xml:space="preserve"> Injection for repair of abnormal muscle drainage tract</t>
  </si>
  <si>
    <t xml:space="preserve"> Injection of abnormal muscle drainage tract for X-ray study</t>
  </si>
  <si>
    <t xml:space="preserve"> Removal of foreign body in muscle or tendon</t>
  </si>
  <si>
    <t xml:space="preserve"> Complicated removal of foreign body in deep muscle or tendon</t>
  </si>
  <si>
    <t xml:space="preserve"> Injection of carpal tunnel</t>
  </si>
  <si>
    <t xml:space="preserve"> Injection of medication into palm</t>
  </si>
  <si>
    <t xml:space="preserve"> Injection into tendon or ligament</t>
  </si>
  <si>
    <t xml:space="preserve"> Injection into tendon at attachment to bone or muscle</t>
  </si>
  <si>
    <t xml:space="preserve"> Injection of trigger points, 1-2 muscles</t>
  </si>
  <si>
    <t xml:space="preserve"> Injection of trigger points, 3 or more muscles</t>
  </si>
  <si>
    <t xml:space="preserve"> Insertion of needles or tubes into muscle or tissue for radiation treatment</t>
  </si>
  <si>
    <t xml:space="preserve"> Insertion of needle, 1-2 muscles</t>
  </si>
  <si>
    <t xml:space="preserve"> Insertion of needle, 3 muscles or more</t>
  </si>
  <si>
    <t xml:space="preserve"> Aspiration and/or injection of fluid from small joint</t>
  </si>
  <si>
    <t xml:space="preserve"> Aspiration and/or injection of fluid from small joint using ultrasound guidance</t>
  </si>
  <si>
    <t xml:space="preserve"> Aspiration and/or injection of fluid from medium joint</t>
  </si>
  <si>
    <t xml:space="preserve"> Aspiration and/or injection of fluid from medium joint using ultrasound guidance</t>
  </si>
  <si>
    <t xml:space="preserve"> Aspiration and/or injection of fluid from large joint</t>
  </si>
  <si>
    <t xml:space="preserve"> Aspiration and/or injection of fluid large joint using ultrasound guidance</t>
  </si>
  <si>
    <t xml:space="preserve"> Aspiration and/or injection of cyst of tendon</t>
  </si>
  <si>
    <t xml:space="preserve"> Aspiration and injection of cyst of bone</t>
  </si>
  <si>
    <t xml:space="preserve"> Insertion of wire or pin to bone for traction</t>
  </si>
  <si>
    <t xml:space="preserve"> Placement of device to skull</t>
  </si>
  <si>
    <t xml:space="preserve"> Application of pelvic halo device (stabilization device for pelvis)</t>
  </si>
  <si>
    <t xml:space="preserve"> Placement of stabilizing device to thigh</t>
  </si>
  <si>
    <t xml:space="preserve"> Removal of stabilizing device from head originally applied by other provider</t>
  </si>
  <si>
    <t xml:space="preserve"> Removal of surface implant from bone</t>
  </si>
  <si>
    <t xml:space="preserve"> Removal of deep implant from bone</t>
  </si>
  <si>
    <t xml:space="preserve"> Placement of single direction external bone stabilizing device to arm or leg</t>
  </si>
  <si>
    <t xml:space="preserve"> Placement of multiple direction external bone stabilizing device to arm or leg</t>
  </si>
  <si>
    <t xml:space="preserve"> Revision of external bone stabilizing device under anesthesia</t>
  </si>
  <si>
    <t xml:space="preserve"> Removal of external bone stabilizing device under anesthesia</t>
  </si>
  <si>
    <t xml:space="preserve"> Placement of multiple direction external bone stabilizing device to arm or leg using imaging</t>
  </si>
  <si>
    <t xml:space="preserve"> Placement of multiple direction external bone stabilizing device to arm or leg using imaging guidance</t>
  </si>
  <si>
    <t xml:space="preserve"> Insertion of drug-delivery device in deep tissue</t>
  </si>
  <si>
    <t xml:space="preserve"> Removal of drug-delivery devices from beneath fibrous covering of muscle</t>
  </si>
  <si>
    <t xml:space="preserve"> Insertion of drug-delivery device in bone</t>
  </si>
  <si>
    <t xml:space="preserve"> Removal of drug-delivery devices from marrow cavity of bone</t>
  </si>
  <si>
    <t xml:space="preserve"> Insertion of drug-delivery device in joint</t>
  </si>
  <si>
    <t xml:space="preserve"> Removal of drug-delivery devices into joint</t>
  </si>
  <si>
    <t xml:space="preserve"> Reattachment of part of cutoff finger</t>
  </si>
  <si>
    <t xml:space="preserve"> Harvest of graft from small bone</t>
  </si>
  <si>
    <t xml:space="preserve"> Harvest of graft from large bone</t>
  </si>
  <si>
    <t xml:space="preserve"> Rib cartilage graft</t>
  </si>
  <si>
    <t xml:space="preserve"> Graft of nose cartilage</t>
  </si>
  <si>
    <t xml:space="preserve"> Removal of deep thigh tissue for graft</t>
  </si>
  <si>
    <t xml:space="preserve"> Incision of deep thigh tissue for graft</t>
  </si>
  <si>
    <t xml:space="preserve"> Tendon graft</t>
  </si>
  <si>
    <t xml:space="preserve"> Placement of fragmented bone graft or material to spine to promote bone growth</t>
  </si>
  <si>
    <t xml:space="preserve"> Graft of donor bone to spine</t>
  </si>
  <si>
    <t xml:space="preserve"> Graft of donor bone and joint tissue</t>
  </si>
  <si>
    <t xml:space="preserve"> Graft of donor bone to part of long bone between joints</t>
  </si>
  <si>
    <t xml:space="preserve"> Graft of donor bone to long bone between joints</t>
  </si>
  <si>
    <t xml:space="preserve"> Harvest of bone from same spine incision for graft</t>
  </si>
  <si>
    <t xml:space="preserve"> Harvest of bone fragment for spine bone graft</t>
  </si>
  <si>
    <t xml:space="preserve"> Harvest of bone for spine surgery graft</t>
  </si>
  <si>
    <t xml:space="preserve"> Aspiration of bone marrow for spine bone graft</t>
  </si>
  <si>
    <t xml:space="preserve"> Placement of device in muscle to monitor fluid pressure</t>
  </si>
  <si>
    <t xml:space="preserve"> Placement of bone and skin flap from foot bone with connection of small blood vessels</t>
  </si>
  <si>
    <t xml:space="preserve"> Placement of bone and skin flap from big toe with connection of small blood vessels</t>
  </si>
  <si>
    <t xml:space="preserve"> Placement of electrical stimulation device for bone healing</t>
  </si>
  <si>
    <t xml:space="preserve"> Placement of electrical stimulation device at broken bone for healing</t>
  </si>
  <si>
    <t xml:space="preserve"> Low intensity ultrasound stimulation to aid bone healing, noninvasive (nonoperative)</t>
  </si>
  <si>
    <t xml:space="preserve"> Destruction of growths and adjacent soft tissue</t>
  </si>
  <si>
    <t xml:space="preserve"> Freezing of growth of bone and adjacent soft tissue</t>
  </si>
  <si>
    <t xml:space="preserve"> Computer-assisted surgery for muscle and bone procedure</t>
  </si>
  <si>
    <t xml:space="preserve"> Incision of jaw joint</t>
  </si>
  <si>
    <t xml:space="preserve"> Removal of growth under skin of face or scalp, less than 2.0 cm</t>
  </si>
  <si>
    <t xml:space="preserve"> Removal of growth under skin of face or scalp, 2.0 cm or more</t>
  </si>
  <si>
    <t xml:space="preserve"> Removal of growth of muscle of face or scalp, less than 2.0 cm</t>
  </si>
  <si>
    <t xml:space="preserve"> Removal of growth of muscle of face or scalp, 2.0 cm or more</t>
  </si>
  <si>
    <t xml:space="preserve"> Extensive removal of growth of face or scalp, less than 2.0 cm</t>
  </si>
  <si>
    <t xml:space="preserve"> Extensive removal of growth of face or scalp, 2.0 cm or more</t>
  </si>
  <si>
    <t xml:space="preserve"> Removal of lower jaw bone</t>
  </si>
  <si>
    <t xml:space="preserve"> Removal of face bone</t>
  </si>
  <si>
    <t xml:space="preserve"> Removal of growth of face bone</t>
  </si>
  <si>
    <t xml:space="preserve"> Removal of growth or cyst of jaw or upper cheek</t>
  </si>
  <si>
    <t xml:space="preserve"> Removal of bony growth of jaw bone inside mouth</t>
  </si>
  <si>
    <t xml:space="preserve"> Removal of bony growth of upper jaw bone inside mouth</t>
  </si>
  <si>
    <t xml:space="preserve"> Removal of growth of upper jaw or upper cheek bone</t>
  </si>
  <si>
    <t xml:space="preserve"> Removal of growth or cyst of lower jaw bone</t>
  </si>
  <si>
    <t xml:space="preserve"> Removal of growth of lower jaw bone</t>
  </si>
  <si>
    <t xml:space="preserve"> Removal of growth or cyst of lower jaw bone through mouth</t>
  </si>
  <si>
    <t xml:space="preserve"> Removal of growth or cyst of part of lower jaw bone</t>
  </si>
  <si>
    <t xml:space="preserve"> Removal of growth or cyst of upper jaw bone through mouth</t>
  </si>
  <si>
    <t xml:space="preserve"> Removal of rounded ends of lower jaw joint bone</t>
  </si>
  <si>
    <t xml:space="preserve"> Removal of lower jaw joint bone tissue</t>
  </si>
  <si>
    <t xml:space="preserve"> Partial removal of lower jaw bone</t>
  </si>
  <si>
    <t xml:space="preserve"> Manipulation of hinged joints of upper and lower jaw bones under anesthesia</t>
  </si>
  <si>
    <t xml:space="preserve"> Preparation of temporary prosthesis to close an opening in mouth</t>
  </si>
  <si>
    <t xml:space="preserve"> Impression and preparation of eye socket prosthesis</t>
  </si>
  <si>
    <t xml:space="preserve"> Impression and custom preparation of temporary oral prosthesis</t>
  </si>
  <si>
    <t xml:space="preserve"> Preparation of permanent prosthesis to close mouth opening</t>
  </si>
  <si>
    <t xml:space="preserve"> Impression and custom preparation of lower jaw bone prosthesis</t>
  </si>
  <si>
    <t xml:space="preserve"> Impression and custom preparation of prosthesis for roof of mouth enlargement</t>
  </si>
  <si>
    <t xml:space="preserve"> Preparation of prosthesis to lift roof of mouth</t>
  </si>
  <si>
    <t xml:space="preserve"> Impression and custom preparation of speech aid prosthesis</t>
  </si>
  <si>
    <t xml:space="preserve"> Impression and custom preparation of oral surgical splint</t>
  </si>
  <si>
    <t xml:space="preserve"> Impression and custom preparation of outer ear prosthesis</t>
  </si>
  <si>
    <t xml:space="preserve"> Impression and custom preparation of nasal prosthesis</t>
  </si>
  <si>
    <t xml:space="preserve"> Impression and custom preparation of facial prosthesis</t>
  </si>
  <si>
    <t xml:space="preserve"> Placement of stabilizing device to upper jaw and face</t>
  </si>
  <si>
    <t xml:space="preserve"> Application and removal of dental fixation device</t>
  </si>
  <si>
    <t xml:space="preserve"> Injection for X-ray of hinged joint of upper and lower jaw bones</t>
  </si>
  <si>
    <t xml:space="preserve"> Implantation of graft to enlarge chin bone</t>
  </si>
  <si>
    <t xml:space="preserve"> Enlargement of chin by movement of bone</t>
  </si>
  <si>
    <t xml:space="preserve"> Enlargement of chin by movement of multiple bones</t>
  </si>
  <si>
    <t xml:space="preserve"> Insertion of sliding bone graft to enlarge chin bone, additional bone graft</t>
  </si>
  <si>
    <t xml:space="preserve"> Enlargement of lower jaw with implant</t>
  </si>
  <si>
    <t xml:space="preserve"> Insertion of bone grafts between portions of bone to enlarge lower jaw bone</t>
  </si>
  <si>
    <t xml:space="preserve"> Repair of bony defect of forehead</t>
  </si>
  <si>
    <t xml:space="preserve"> Repair of bony defect of forehead with insertion of prosthetic material</t>
  </si>
  <si>
    <t xml:space="preserve"> Repair of frontal sinus through forehead</t>
  </si>
  <si>
    <t xml:space="preserve"> Reconstruction of midface bones (LeFort II)</t>
  </si>
  <si>
    <t xml:space="preserve"> Reconstruction of outer side of eye and lower forehead bones</t>
  </si>
  <si>
    <t xml:space="preserve"> Repair of bony defect of lower forehead and both outer portions of eye bones</t>
  </si>
  <si>
    <t xml:space="preserve"> Reconstruction of skull bones with removal of bone growth</t>
  </si>
  <si>
    <t xml:space="preserve"> Reconstruction of jaw bone</t>
  </si>
  <si>
    <t xml:space="preserve"> Reconstruction of lower jaw bone with bone graft</t>
  </si>
  <si>
    <t xml:space="preserve"> Reconstruction of lower jaw bones</t>
  </si>
  <si>
    <t xml:space="preserve"> Incision or partial removal of lower jaw bone</t>
  </si>
  <si>
    <t xml:space="preserve"> Incision or partial removal of lower jaw bone and movement of tongue muscle</t>
  </si>
  <si>
    <t xml:space="preserve"> Incision or partial removal of upper jaw bone</t>
  </si>
  <si>
    <t xml:space="preserve"> Incision and repair of bony defect of cheek bone with repositioning of bony segment</t>
  </si>
  <si>
    <t xml:space="preserve"> Incision and repair of bony defect of cheek bone including bony segment reduction</t>
  </si>
  <si>
    <t xml:space="preserve"> Repair of nasal or cheek bone with bone graft</t>
  </si>
  <si>
    <t xml:space="preserve"> Repair of lower jaw bone with bone graft</t>
  </si>
  <si>
    <t xml:space="preserve"> Harvest of rib cartilage for grafting</t>
  </si>
  <si>
    <t xml:space="preserve"> Obtaining ear cartilage for grafting</t>
  </si>
  <si>
    <t xml:space="preserve"> Repair of hinged joint of upper and lower jaw bones</t>
  </si>
  <si>
    <t xml:space="preserve"> Repair of hinged joint of upper and lower jaw bones with donor graft</t>
  </si>
  <si>
    <t xml:space="preserve"> Repair of hinged joint of upper and lower jaw bones with prosthesis</t>
  </si>
  <si>
    <t xml:space="preserve"> Reconstruction of lower jaw bone with insertion of bone plate</t>
  </si>
  <si>
    <t xml:space="preserve"> Partial repair of lower jaw or cheek bone with implant</t>
  </si>
  <si>
    <t xml:space="preserve"> Complete reconstruction of lower or upper jaw bone with jaw bone implant (subperiosteal)</t>
  </si>
  <si>
    <t xml:space="preserve"> Reconstruction of part of lower or upper jaw bone with implant</t>
  </si>
  <si>
    <t xml:space="preserve"> Complete reconstruction of lower or upper jaw bone with jaw bone implant (endosteal)</t>
  </si>
  <si>
    <t xml:space="preserve"> Reconstruction of eye socket bone with bone graft</t>
  </si>
  <si>
    <t xml:space="preserve"> Repositioning of eye bone from outside skull with bone graft</t>
  </si>
  <si>
    <t xml:space="preserve"> Repositioning of eye socket bone from inside and outside skull with bone graft</t>
  </si>
  <si>
    <t xml:space="preserve"> Repositioning of cheek bone prominence with forehead advancement</t>
  </si>
  <si>
    <t xml:space="preserve"> Reconstruction of eye bone from outside skull with bone graft</t>
  </si>
  <si>
    <t xml:space="preserve"> Insertion of prosthetic material to enlarge cheek bone</t>
  </si>
  <si>
    <t xml:space="preserve"> Secondary revision of reconstruction of eye, skull, and face bones</t>
  </si>
  <si>
    <t xml:space="preserve"> Tightening of tendon of inner port of lower eyelid</t>
  </si>
  <si>
    <t xml:space="preserve"> Tightening of tendon of outer edge of lower eyelid</t>
  </si>
  <si>
    <t xml:space="preserve"> Reduction of muscle used for chewing and lower jaw bone from outside mouth</t>
  </si>
  <si>
    <t xml:space="preserve"> Reduction of muscle used for chewing and lower jaw bone from inside mouth</t>
  </si>
  <si>
    <t xml:space="preserve"> Closed treatment of broken nose bone with manipulation</t>
  </si>
  <si>
    <t xml:space="preserve"> Closed treatment of broken nose bone with placement of stabilizing device</t>
  </si>
  <si>
    <t xml:space="preserve"> Treatment of broken nose bone</t>
  </si>
  <si>
    <t xml:space="preserve"> Treatment of broken nose bone with placement of stabilizing device</t>
  </si>
  <si>
    <t xml:space="preserve"> Treatment of broken nose bone and tissue separating nose airways</t>
  </si>
  <si>
    <t xml:space="preserve"> Treatment of broken bone and tissue separating nose airways</t>
  </si>
  <si>
    <t xml:space="preserve"> Closed treatment of broken bone separating nose airways</t>
  </si>
  <si>
    <t xml:space="preserve"> Treatment of broken nose and eye bones</t>
  </si>
  <si>
    <t xml:space="preserve"> Treatment of broken nose and eye bones with placement of outside stabilizing device</t>
  </si>
  <si>
    <t xml:space="preserve"> Treatment of broken nose bones with placement of stabilizing device</t>
  </si>
  <si>
    <t xml:space="preserve"> Closed treatment of broken nose and upper jaw bones with placement of stabilizing device to teeth</t>
  </si>
  <si>
    <t xml:space="preserve"> Treatment of broken nose and upper jaw bones with placement of stabilizing device</t>
  </si>
  <si>
    <t xml:space="preserve"> Treatment of broken cheek bone accessed through the skin with manipulation</t>
  </si>
  <si>
    <t xml:space="preserve"> Treatment of depressed broken upper portion of cheek bone</t>
  </si>
  <si>
    <t xml:space="preserve"> Treatment of depressed broken cheek bone</t>
  </si>
  <si>
    <t xml:space="preserve"> Treatment of complicated broken cheek bone with placement of internal stabilizing device</t>
  </si>
  <si>
    <t xml:space="preserve"> Treatment of broken floor of eye bone through cheek</t>
  </si>
  <si>
    <t xml:space="preserve"> Treatment of broken floor of eye bone through eye area</t>
  </si>
  <si>
    <t xml:space="preserve"> Treatment of broken floor of eye bone through cheek and eye area</t>
  </si>
  <si>
    <t xml:space="preserve"> Treatment of broken floor of eye bone through eye area with implant</t>
  </si>
  <si>
    <t xml:space="preserve"> Treatment of broken floor of eye bone through eye area with bone graft</t>
  </si>
  <si>
    <t xml:space="preserve"> Closed treatment of broken eye bone</t>
  </si>
  <si>
    <t xml:space="preserve"> Closed treatment of broken eye bone with manipulation</t>
  </si>
  <si>
    <t xml:space="preserve"> Treatment of broken eye bone</t>
  </si>
  <si>
    <t xml:space="preserve"> Treatment of broken eye bone with implant</t>
  </si>
  <si>
    <t xml:space="preserve"> Treatment of broken eye bone with bone graft</t>
  </si>
  <si>
    <t xml:space="preserve"> Closed treatment of broken roof of mouth or upper jaw bone with placement of stabilizing device to teeth</t>
  </si>
  <si>
    <t xml:space="preserve"> Closed treatment of broken upper or lower jaw bone</t>
  </si>
  <si>
    <t xml:space="preserve"> Treatment of broken upper or lower jaw bone</t>
  </si>
  <si>
    <t xml:space="preserve"> Closed treatment of broken lower jaw bone</t>
  </si>
  <si>
    <t xml:space="preserve"> Closed treatment of broken lower jaw bone with manipulation</t>
  </si>
  <si>
    <t xml:space="preserve"> Treatment of broken lower jaw bone with placement of stabilizing device</t>
  </si>
  <si>
    <t xml:space="preserve"> Closed treatment of broken lower jaw bone with placement of stabilizing device to teeth</t>
  </si>
  <si>
    <t xml:space="preserve"> Treatment of broken lower jaw bone with placement of external stabilizing device</t>
  </si>
  <si>
    <t xml:space="preserve"> Treatment of broken lower jaw bone</t>
  </si>
  <si>
    <t xml:space="preserve"> Treatment of broken lower jaw bone with placement of stabilizing device to teeth</t>
  </si>
  <si>
    <t xml:space="preserve"> Treatment of broken hinged end of lower jaw bone</t>
  </si>
  <si>
    <t xml:space="preserve"> Complicated treatment of broken lower jaw bone with placement of stabilizing device to teeth</t>
  </si>
  <si>
    <t xml:space="preserve"> Closed treatment of dislocated jaw joint</t>
  </si>
  <si>
    <t xml:space="preserve"> Complicated repair of dislocated jaw joint with placement of stabilizing device</t>
  </si>
  <si>
    <t xml:space="preserve"> Treatment of dislocated jaw joint</t>
  </si>
  <si>
    <t xml:space="preserve"> Wiring of jaw or oral splint to teeth</t>
  </si>
  <si>
    <t xml:space="preserve"> Drainage of deep abscess or blood accumulation in soft tissue of neck or chest</t>
  </si>
  <si>
    <t xml:space="preserve"> Drainage of deep abscess or blood accumulation in soft tissue of neck or chest with partial removal of rib</t>
  </si>
  <si>
    <t xml:space="preserve"> Biopsy of soft tissue of neck or chest</t>
  </si>
  <si>
    <t xml:space="preserve"> Removal of growth of soft tissue under skin of neck or front of chest, 3.0 cm or more</t>
  </si>
  <si>
    <t xml:space="preserve"> Removal of growth of muscle of neck or front of chest, 5.0 cm or more</t>
  </si>
  <si>
    <t xml:space="preserve"> Removal of growth under skin of neck or front of chest, less than 3.0 cm</t>
  </si>
  <si>
    <t xml:space="preserve"> Removal of growth of muscle of neck or front of chest, less than 5.0 cm</t>
  </si>
  <si>
    <t xml:space="preserve"> Extensive removal of growth of neck or front of chest, less than 5.0 cm</t>
  </si>
  <si>
    <t xml:space="preserve"> Extensive removal of growth of neck or front of chest, 5.0 cm or more</t>
  </si>
  <si>
    <t xml:space="preserve"> Partial removal of rib</t>
  </si>
  <si>
    <t xml:space="preserve"> Removal of growth of chest wall and rib</t>
  </si>
  <si>
    <t xml:space="preserve"> Partial removal of rib and spine bone at joint</t>
  </si>
  <si>
    <t xml:space="preserve"> Repositioning of bone and muscles in neck</t>
  </si>
  <si>
    <t xml:space="preserve"> Removal of neck muscle with release of nerves</t>
  </si>
  <si>
    <t xml:space="preserve"> Release of tendons of neck muscle, open procedure</t>
  </si>
  <si>
    <t xml:space="preserve"> Release of neck muscle and placement of a cast to treat tilting head</t>
  </si>
  <si>
    <t xml:space="preserve"> Closed treatment of broken chest bone</t>
  </si>
  <si>
    <t xml:space="preserve"> Biopsy of surface soft tissue to back or lower sides</t>
  </si>
  <si>
    <t xml:space="preserve"> Deep biopsy of soft tissue of back or lower sides</t>
  </si>
  <si>
    <t xml:space="preserve"> Removal of growth under skin of back or lower sides, less than 3.0 cm</t>
  </si>
  <si>
    <t xml:space="preserve"> Removal of growth under skin of back or lower sides, 3.0 cm or more</t>
  </si>
  <si>
    <t xml:space="preserve"> Removal of growth of muscle of back or lower sides, less than 5.0 cm</t>
  </si>
  <si>
    <t xml:space="preserve"> Removal of growth of muscle of back or lower sides, 5.0 cm or more</t>
  </si>
  <si>
    <t xml:space="preserve"> Extensive removal of growth of back or lower side, less than 5.0 cm</t>
  </si>
  <si>
    <t xml:space="preserve"> Extensive removal of growth of back or lower side, 5.0 cm or more</t>
  </si>
  <si>
    <t xml:space="preserve"> Removal of rear piece of upper spine bone</t>
  </si>
  <si>
    <t xml:space="preserve"> Removal of rear piece of middle spine bone</t>
  </si>
  <si>
    <t xml:space="preserve"> Removal of rear piece of lower spine bone</t>
  </si>
  <si>
    <t xml:space="preserve"> Partial removal of bone at back of spine, each additional segment</t>
  </si>
  <si>
    <t xml:space="preserve"> Closed treatment of broken spine bone with cast or brace</t>
  </si>
  <si>
    <t xml:space="preserve"> Closed treatment of broken or dislocated spine bone with cast or brace and traction</t>
  </si>
  <si>
    <t xml:space="preserve"> Manipulation of spine under anesthesia</t>
  </si>
  <si>
    <t xml:space="preserve"> Stabilization of upper spine bone</t>
  </si>
  <si>
    <t xml:space="preserve"> Stabilization of lower spine bone</t>
  </si>
  <si>
    <t xml:space="preserve"> Stabilization of spine bone, each additional bone</t>
  </si>
  <si>
    <t xml:space="preserve"> Treatment of broken middle spine bone with placement of stabilizing device using imaging guidance</t>
  </si>
  <si>
    <t xml:space="preserve"> Treatment of broken lower spine bone with placement of stabilizing device</t>
  </si>
  <si>
    <t xml:space="preserve"> Treatment of broken spine bone with stabilizing device, each additional segment</t>
  </si>
  <si>
    <t xml:space="preserve"> Fusion of upper spine bone with removal of disc and release of spinal cord or nerve, 1 disc</t>
  </si>
  <si>
    <t xml:space="preserve"> Fusion of upper spine bone with removal of disc and release of spinal cord or nerve, each additional disc</t>
  </si>
  <si>
    <t xml:space="preserve"> Fusion of upper spine bones through front of neck with partial removal of disc</t>
  </si>
  <si>
    <t xml:space="preserve"> Fusion of spine bones through front of body with partial removal of disc, each additional disc</t>
  </si>
  <si>
    <t xml:space="preserve"> Fusion of spine in lower back</t>
  </si>
  <si>
    <t xml:space="preserve"> Fusion of additional segment of spine</t>
  </si>
  <si>
    <t xml:space="preserve"> Placement of stabilizing device to back of 1 spine bone in neck</t>
  </si>
  <si>
    <t xml:space="preserve"> Placement of stabilizing device to back, 3-6 spine bone segments</t>
  </si>
  <si>
    <t xml:space="preserve"> Placement of stabilizing device to front, 2-3 spine bone segments</t>
  </si>
  <si>
    <t xml:space="preserve"> Placement of stabilizing device to front, 4-7 spine bone segments</t>
  </si>
  <si>
    <t xml:space="preserve"> Removal of stabilizing device from back of spine</t>
  </si>
  <si>
    <t xml:space="preserve"> Insertion of cage or mesh device to spine bone and disc space during spine fusion</t>
  </si>
  <si>
    <t xml:space="preserve"> Insertion of cage or mesh device in disc space during spine fusion</t>
  </si>
  <si>
    <t xml:space="preserve"> Insertion of artificial upper spine disc, anterior approach</t>
  </si>
  <si>
    <t xml:space="preserve"> Insertion of artificial upper spine disc anterior approach</t>
  </si>
  <si>
    <t xml:space="preserve"> Placement of mesh or cage device into spine disc space</t>
  </si>
  <si>
    <t xml:space="preserve"> Placement of device to stabilize or reduce pressure in lower spine in 1 disc space</t>
  </si>
  <si>
    <t xml:space="preserve"> Placement of device to stabilize or reduce pressure in lower spine in second disc space</t>
  </si>
  <si>
    <t xml:space="preserve"> Placement of stabilizing device to lower spine level</t>
  </si>
  <si>
    <t xml:space="preserve"> Placement of stabilizing device to second lower spine level</t>
  </si>
  <si>
    <t xml:space="preserve"> Other procedure on spine</t>
  </si>
  <si>
    <t xml:space="preserve"> Removal of growth of muscle of abdomen, less than 5.0 cm</t>
  </si>
  <si>
    <t xml:space="preserve"> Removal of growth of muscle of abdomen, 5.0 cm or more</t>
  </si>
  <si>
    <t xml:space="preserve"> Removal of growth of soft tissue of abdominal wall, less than 3.0 cm</t>
  </si>
  <si>
    <t xml:space="preserve"> Removal of growth of soft tissue of abdominal wall, 3.0 cm or more</t>
  </si>
  <si>
    <t xml:space="preserve"> Extensive removal of growth of soft tissue of abdominal wall, less than 5.0 cm</t>
  </si>
  <si>
    <t xml:space="preserve"> Extensive removal of growth of soft tissue of abdominal wall, 5.0 cm or more</t>
  </si>
  <si>
    <t xml:space="preserve"> Other procedure on abdominal muscle or bone</t>
  </si>
  <si>
    <t xml:space="preserve"> Removal of calcium deposits at rotator cuff tendons, open procedure</t>
  </si>
  <si>
    <t xml:space="preserve"> Release of tendon of shoulder joint</t>
  </si>
  <si>
    <t xml:space="preserve"> Drainage of deep abscess or blood accumulation of shoulder</t>
  </si>
  <si>
    <t xml:space="preserve"> Drainage of infected fluid-filled sac (bursa) of shoulder joint</t>
  </si>
  <si>
    <t xml:space="preserve"> Incision of shoulder bone for removal of infected tissue</t>
  </si>
  <si>
    <t xml:space="preserve"> Incision of shoulder joint for exploration, fluid drainage, or removal of foreign body</t>
  </si>
  <si>
    <t xml:space="preserve"> Incision of collar bone joint for exploration, fluid drainage, or removal of foreign body</t>
  </si>
  <si>
    <t xml:space="preserve"> Biopsy of surface tissue of shoulder</t>
  </si>
  <si>
    <t xml:space="preserve"> Biopsy of deep tissue of shoulder</t>
  </si>
  <si>
    <t xml:space="preserve"> Removal of growth under skin of shoulder area, 3.0 cm or more</t>
  </si>
  <si>
    <t xml:space="preserve"> Removal of growth of muscle of shoulder, 5.0 cm or more</t>
  </si>
  <si>
    <t xml:space="preserve"> Removal of growth under skin of shoulder area, less than 3.0 cm</t>
  </si>
  <si>
    <t xml:space="preserve"> Removal of growth of muscle of shoulder, less than 5.0 cm</t>
  </si>
  <si>
    <t xml:space="preserve"> Extensive removal of growth of shoulder, less than 5.0 cm</t>
  </si>
  <si>
    <t xml:space="preserve"> Extensive removal of growth of shoulder, 5.0 cm or more</t>
  </si>
  <si>
    <t xml:space="preserve"> Incision and biopsy of shoulder joint</t>
  </si>
  <si>
    <t xml:space="preserve"> Incision to repair joints between shoulder, chest and collar bones</t>
  </si>
  <si>
    <t xml:space="preserve"> Removal of shoulder joint lining</t>
  </si>
  <si>
    <t xml:space="preserve"> Removal of lining of joint between collar and chest bones</t>
  </si>
  <si>
    <t xml:space="preserve"> Incision of shoulder joint for exam</t>
  </si>
  <si>
    <t xml:space="preserve"> Partial removal of collar bone</t>
  </si>
  <si>
    <t xml:space="preserve"> Removal of collar bone</t>
  </si>
  <si>
    <t xml:space="preserve"> Partial removal or repair of shoulder bone near collar bone</t>
  </si>
  <si>
    <t xml:space="preserve"> Removal of cyst or growth of collar bone or shoulder blade</t>
  </si>
  <si>
    <t xml:space="preserve"> Removal of cyst or growth of collar bone or shoulder blade with self bone graft</t>
  </si>
  <si>
    <t xml:space="preserve"> Removal of cyst or growth of collar bone or shoulder blade with donor bone graft</t>
  </si>
  <si>
    <t xml:space="preserve"> Removal of cyst or growth of top part of upper arm bone</t>
  </si>
  <si>
    <t xml:space="preserve"> Removal of cyst or growth of top part of upper arm bone with self bone graft</t>
  </si>
  <si>
    <t xml:space="preserve"> Removal of cyst or growth of top of upper arm bone with donor bone graft</t>
  </si>
  <si>
    <t xml:space="preserve"> Removal of dead bone fragment from collar bone</t>
  </si>
  <si>
    <t xml:space="preserve"> Removal of dead bone fragment from shoulder blade</t>
  </si>
  <si>
    <t xml:space="preserve"> Removal of dead bone fragment from top of upper arm bone</t>
  </si>
  <si>
    <t xml:space="preserve"> Partial removal of infected collar bone</t>
  </si>
  <si>
    <t xml:space="preserve"> Partial removal of infected shoulder blade</t>
  </si>
  <si>
    <t xml:space="preserve"> Partial removal of infected top of upper arm bone</t>
  </si>
  <si>
    <t xml:space="preserve"> Partial removal of shoulder blade</t>
  </si>
  <si>
    <t xml:space="preserve"> Removal of shoulder blade</t>
  </si>
  <si>
    <t xml:space="preserve"> Removal of foreign body of shoulder joint, accessed beneath the skin</t>
  </si>
  <si>
    <t xml:space="preserve"> Removal of foreign body of shoulder joint, accessed beneath the tissue or muscle</t>
  </si>
  <si>
    <t xml:space="preserve"> Removal of ball or socket prosthesis from shoulder</t>
  </si>
  <si>
    <t xml:space="preserve"> Injection of contrast for imaging of shoulder joint</t>
  </si>
  <si>
    <t xml:space="preserve"> Relocation of one muscle of shoulder or upper arm</t>
  </si>
  <si>
    <t xml:space="preserve"> Relocation of multiple muscles of shoulder or upper arm</t>
  </si>
  <si>
    <t xml:space="preserve"> Reshaping and relocation of shoulder blade bone</t>
  </si>
  <si>
    <t xml:space="preserve"> Incision of shoulder tendon</t>
  </si>
  <si>
    <t xml:space="preserve"> Incision of shoulder multiple tendons through same incision</t>
  </si>
  <si>
    <t xml:space="preserve"> Repair of acute torn shoulder rotator cuff</t>
  </si>
  <si>
    <t xml:space="preserve"> Repair of chronic torn shoulder rotator cuff</t>
  </si>
  <si>
    <t xml:space="preserve"> Release of collar bone and shoulder ligament</t>
  </si>
  <si>
    <t xml:space="preserve"> Repair of complete tear of shoulder rotator cuff with release of pressure on collar bone</t>
  </si>
  <si>
    <t xml:space="preserve"> Anchoring of biceps tendon</t>
  </si>
  <si>
    <t xml:space="preserve"> Removal or relocation of biceps tendon</t>
  </si>
  <si>
    <t xml:space="preserve"> Reattachment of shoulder joint capsule without bone transfer</t>
  </si>
  <si>
    <t xml:space="preserve"> Reattachment of shoulder joint capsule and cartilage without bone transfer with repair of shoulder rim</t>
  </si>
  <si>
    <t xml:space="preserve"> Repair of shoulder joint capsule and shoulder blade with bone block</t>
  </si>
  <si>
    <t xml:space="preserve"> Reattachment of shoulder joint capsule with bone transfer (coracoid bone)</t>
  </si>
  <si>
    <t xml:space="preserve"> Repair of shoulder joint capsule in the back of the joint</t>
  </si>
  <si>
    <t xml:space="preserve"> Repair and tightening of shoulder joint capsule</t>
  </si>
  <si>
    <t xml:space="preserve"> Partial replacement of shoulder joint</t>
  </si>
  <si>
    <t xml:space="preserve"> Prosthetic repair of shoulder joint, total shoulder</t>
  </si>
  <si>
    <t xml:space="preserve"> Incision or partial removal of collar bone</t>
  </si>
  <si>
    <t xml:space="preserve"> Incision or partial removal of collar bone with bone graft</t>
  </si>
  <si>
    <t xml:space="preserve"> Stabilization of collar bone with device</t>
  </si>
  <si>
    <t xml:space="preserve"> Stabilization of top of upper arm bone with device</t>
  </si>
  <si>
    <t xml:space="preserve"> Closed treatment of broken collar bone</t>
  </si>
  <si>
    <t xml:space="preserve"> Closed treatment of broken collar bone with manipulation</t>
  </si>
  <si>
    <t xml:space="preserve"> Treatment of broken collar bone</t>
  </si>
  <si>
    <t xml:space="preserve"> Closed treatment of dislocated joint between collar and chest bone</t>
  </si>
  <si>
    <t xml:space="preserve"> Closed treatment of dislocated joint between collar and chest bone with manipulation</t>
  </si>
  <si>
    <t xml:space="preserve"> Treatment of dislocated joint between collar and chest bones</t>
  </si>
  <si>
    <t xml:space="preserve"> Treatment of dislocated joint between collar and chest bones with tissue graft</t>
  </si>
  <si>
    <t xml:space="preserve"> Closed treatment of dislocated joint between collar bone and shoulder</t>
  </si>
  <si>
    <t xml:space="preserve"> Closed treatment of dislocated joint between collar bone and shoulder with manipulation</t>
  </si>
  <si>
    <t xml:space="preserve"> Treatment of dislocated joint between collar bone and shoulder</t>
  </si>
  <si>
    <t xml:space="preserve"> Treatment of dislocated joint between collar bone and shoulder with tissue graft</t>
  </si>
  <si>
    <t xml:space="preserve"> Closed treatment of broken shoulder blade</t>
  </si>
  <si>
    <t xml:space="preserve"> Closed treatment of broken shoulder blade with manipulation</t>
  </si>
  <si>
    <t xml:space="preserve"> Treatment of broken shoulder blade</t>
  </si>
  <si>
    <t xml:space="preserve"> Closed treatment of broken top of upper arm bone</t>
  </si>
  <si>
    <t xml:space="preserve"> Closed treatment of broken top of upper arm bone with manipulation</t>
  </si>
  <si>
    <t xml:space="preserve"> Treatment of broken top of upper arm bone</t>
  </si>
  <si>
    <t xml:space="preserve"> Treatment of broken upper arm bone with replacement</t>
  </si>
  <si>
    <t xml:space="preserve"> Closed treatment of upper arm bone broken at shoulder joint</t>
  </si>
  <si>
    <t xml:space="preserve"> Closed treatment of upper arm bone broken at shoulder joint with manipulation</t>
  </si>
  <si>
    <t xml:space="preserve"> Treatment of upper arm bone, broken at shoulder joint</t>
  </si>
  <si>
    <t xml:space="preserve"> Closed treatment of dislocated shoulder with manipulation</t>
  </si>
  <si>
    <t xml:space="preserve"> Closed treatment of dislocated shoulder with manipulation under anesthesia</t>
  </si>
  <si>
    <t xml:space="preserve"> Treatment of dislocated shoulder</t>
  </si>
  <si>
    <t xml:space="preserve"> Closed treatment of dislocated shoulder and broken upper arm bone at shoulder joint with manipulation</t>
  </si>
  <si>
    <t xml:space="preserve"> Treatment of dislocated shoulder and upper arm bone, broken at shoulder joint</t>
  </si>
  <si>
    <t xml:space="preserve"> Closed treatment of dislocated shoulder and broken neck of upper arm bone with manipulation</t>
  </si>
  <si>
    <t xml:space="preserve"> Treatment of dislocated shoulder and broken neck of upper arm bone</t>
  </si>
  <si>
    <t xml:space="preserve"> Manipulation of shoulder joint under anesthesia</t>
  </si>
  <si>
    <t xml:space="preserve"> Fusion of bones of shoulder joint</t>
  </si>
  <si>
    <t xml:space="preserve"> Fusion of shoulder joint bone with self bone graft</t>
  </si>
  <si>
    <t xml:space="preserve"> Revision of scar or wound closure following removal of arm and shoulder blade at shoulder joint</t>
  </si>
  <si>
    <t xml:space="preserve"> Other procedure on shoulder</t>
  </si>
  <si>
    <t xml:space="preserve"> Drainage of deep abscess or blood accumulation of upper arm or elbow</t>
  </si>
  <si>
    <t xml:space="preserve"> Drainage of fluid filled sac in elbow joint</t>
  </si>
  <si>
    <t xml:space="preserve"> Incision of upper arm or elbow bone</t>
  </si>
  <si>
    <t xml:space="preserve"> Incision of elbow joint for exploration, fluid drainage, or removal of foreign body</t>
  </si>
  <si>
    <t xml:space="preserve"> Incision of elbow with release of joint capsule</t>
  </si>
  <si>
    <t xml:space="preserve"> Biopsy of surface tissue of upper arm or elbow</t>
  </si>
  <si>
    <t xml:space="preserve"> Biopsy of deep tissue of upper arm or elbow</t>
  </si>
  <si>
    <t xml:space="preserve"> Removal of growth under skin of upper arm or elbow, 3.0 cm or more</t>
  </si>
  <si>
    <t xml:space="preserve"> Removal of growth of muscle of upper arm or elbow, 5.0 cm or more</t>
  </si>
  <si>
    <t xml:space="preserve"> Removal of growth under skin of upper arm or elbow, less than 3.0 cm</t>
  </si>
  <si>
    <t xml:space="preserve"> Removal of growth of muscle of upper arm or elbow, less than 5.0 cm</t>
  </si>
  <si>
    <t xml:space="preserve"> Extensive removal of growth of upper arm or elbow, less than 5.0 cm</t>
  </si>
  <si>
    <t xml:space="preserve"> Extensive removal of growth of upper arm or elbow, 5.0 cm or more</t>
  </si>
  <si>
    <t xml:space="preserve"> Incision of elbow with biopsy of joint lining</t>
  </si>
  <si>
    <t xml:space="preserve"> Incision and exploration of elbow joint</t>
  </si>
  <si>
    <t xml:space="preserve"> Removal of elbow joint lining</t>
  </si>
  <si>
    <t xml:space="preserve"> Removal of fluid-filled sac of elbow</t>
  </si>
  <si>
    <t xml:space="preserve"> Removal of cyst or growth of upper arm bone</t>
  </si>
  <si>
    <t xml:space="preserve"> Removal of cyst or growth of upper arm bone and self bone graft</t>
  </si>
  <si>
    <t xml:space="preserve"> Removal of cyst or growth of upper arm bone and donor bone graft</t>
  </si>
  <si>
    <t xml:space="preserve"> Removal of cyst or growth of elbow or upper forearm bone</t>
  </si>
  <si>
    <t xml:space="preserve"> Removal of cyst or growth of elbow or upper forearm bone and self bone graft</t>
  </si>
  <si>
    <t xml:space="preserve"> Removal of cyst or growth of elbow or upper forearm bone with bone graft</t>
  </si>
  <si>
    <t xml:space="preserve"> Removal of forearm bone at elbow joint</t>
  </si>
  <si>
    <t xml:space="preserve"> Removal of dead upper arm bone for bone infection in the main portion and lower portion or the bone</t>
  </si>
  <si>
    <t xml:space="preserve"> Removal of dead forearm bone at elbow joint</t>
  </si>
  <si>
    <t xml:space="preserve"> Removal of dead elbow bone</t>
  </si>
  <si>
    <t xml:space="preserve"> Partial removal of infected upper arm bone</t>
  </si>
  <si>
    <t xml:space="preserve"> Partial removal of infected forearm bone at elbow</t>
  </si>
  <si>
    <t xml:space="preserve"> Partial removal of infected elbow bone</t>
  </si>
  <si>
    <t xml:space="preserve"> Extensive removal of bony growth and tissue from elbow to increase elbow motion</t>
  </si>
  <si>
    <t xml:space="preserve"> Extensive removal of growth of upper arm bone</t>
  </si>
  <si>
    <t xml:space="preserve"> Extensive removal of growth of inner forearm bone</t>
  </si>
  <si>
    <t xml:space="preserve"> Removal of elbow joint bones</t>
  </si>
  <si>
    <t xml:space="preserve"> Removal of elbow joint prosthesis</t>
  </si>
  <si>
    <t xml:space="preserve"> Removal of forearm bone prosthesis at elbow joint</t>
  </si>
  <si>
    <t xml:space="preserve"> Removal of foreign body of upper arm or elbow area, accessed beneath the skin</t>
  </si>
  <si>
    <t xml:space="preserve"> Removal of foreign body, upper arm or elbow area</t>
  </si>
  <si>
    <t xml:space="preserve"> Injection of contrast for imaging of elbow joint</t>
  </si>
  <si>
    <t xml:space="preserve"> Manipulation of elbow under anesthesia</t>
  </si>
  <si>
    <t xml:space="preserve"> Relocation of muscle or tendon of upper arm or elbow</t>
  </si>
  <si>
    <t xml:space="preserve"> Lengthening of tendon of upper arm or elbow</t>
  </si>
  <si>
    <t xml:space="preserve"> Incision of tendon located from elbow to shoulder, open procedure</t>
  </si>
  <si>
    <t xml:space="preserve"> Relocation of tendon from elbow to shoulder with muscle transfer</t>
  </si>
  <si>
    <t xml:space="preserve"> Relocation of forearm tendons</t>
  </si>
  <si>
    <t xml:space="preserve"> Relocation of forearm tendons with advancement of the extensor tendons</t>
  </si>
  <si>
    <t xml:space="preserve"> Release of upper arm tendon</t>
  </si>
  <si>
    <t xml:space="preserve"> Anchoring of biceps tendon at elbow</t>
  </si>
  <si>
    <t xml:space="preserve"> Repair of tendon or muscle of upper arm or elbow</t>
  </si>
  <si>
    <t xml:space="preserve"> Reinsertion of torn upper arm tendon</t>
  </si>
  <si>
    <t xml:space="preserve"> Repair of ligament of thumb side of elbow</t>
  </si>
  <si>
    <t xml:space="preserve"> Repair of ligament of thumb side of elbow with tendon graft</t>
  </si>
  <si>
    <t xml:space="preserve"> Repair of ligament of small finger side of elbow</t>
  </si>
  <si>
    <t xml:space="preserve"> Repair of ligament of small finger side of elbow with tendon graft</t>
  </si>
  <si>
    <t xml:space="preserve"> Incision of elbow tendon</t>
  </si>
  <si>
    <t xml:space="preserve"> Incision of elbow tendon with removal of tissue</t>
  </si>
  <si>
    <t xml:space="preserve"> Incision and repair of elbow tendon with removal of tissue or bone</t>
  </si>
  <si>
    <t xml:space="preserve"> Repair of elbow joint with tissue graft</t>
  </si>
  <si>
    <t xml:space="preserve"> Repair of elbow joint with replacement of lower portion of upper arm bone</t>
  </si>
  <si>
    <t xml:space="preserve"> Repair of elbow joint with implant with and repair of ligament</t>
  </si>
  <si>
    <t xml:space="preserve"> Prosthetic repair of elbow joint</t>
  </si>
  <si>
    <t xml:space="preserve"> Joint repair (arthroplasty) forearm bone on the thumb side (radius) at the elbow without an implant</t>
  </si>
  <si>
    <t xml:space="preserve"> Joint repair (arthroplasty) forearm bone on the thumb side (radius) at the elbow with and implant</t>
  </si>
  <si>
    <t xml:space="preserve"> Revision of total elbow repair (arthroplasty), upper arm or forearm components</t>
  </si>
  <si>
    <t xml:space="preserve"> Revision of total elbow repair (arthroplasty), upper arm and forearm components</t>
  </si>
  <si>
    <t xml:space="preserve"> Incision or partial removal of upper arm bone</t>
  </si>
  <si>
    <t xml:space="preserve"> Incision or partial removal of upper arm bone with insertion of rod</t>
  </si>
  <si>
    <t xml:space="preserve"> Reconstruction of upper arm bone</t>
  </si>
  <si>
    <t xml:space="preserve"> Repair of nonhealed broken upper arm bone</t>
  </si>
  <si>
    <t xml:space="preserve"> Repair of nonhealed broken upper arm bone with self bone graft</t>
  </si>
  <si>
    <t xml:space="preserve"> Repair of growth plate of upper arm bone</t>
  </si>
  <si>
    <t xml:space="preserve"> Incision of tissue of forearm muscle with exploration of artery</t>
  </si>
  <si>
    <t xml:space="preserve"> Stabilization of upper arm bone with device</t>
  </si>
  <si>
    <t xml:space="preserve"> Closed treatment of broken middle part of upper arm bone</t>
  </si>
  <si>
    <t xml:space="preserve"> Closed treatment of broken middle part of upper arm bone with manipulation</t>
  </si>
  <si>
    <t xml:space="preserve"> Treatment of broken middle part of upper arm bone with placement of stabilizing device (plate/screws)</t>
  </si>
  <si>
    <t xml:space="preserve"> Treatment of broken middle part of upper arm bone with placement of stabilizing device (implant)</t>
  </si>
  <si>
    <t xml:space="preserve"> Closed treatment of upper arm bone broken at elbow</t>
  </si>
  <si>
    <t xml:space="preserve"> Closed treatment of upper arm bone broken at elbow with manipulation</t>
  </si>
  <si>
    <t xml:space="preserve"> Placement of stabilizing device to upper arm broken at elbow</t>
  </si>
  <si>
    <t xml:space="preserve"> Treatment of upper arm bone broken at elbow</t>
  </si>
  <si>
    <t xml:space="preserve"> Treatment of broken upper arm bone at elbow with extension</t>
  </si>
  <si>
    <t xml:space="preserve"> Closed treatment of broken outer part of upper arm bone at elbow</t>
  </si>
  <si>
    <t xml:space="preserve"> Closed treatment of broken outer part of upper arm bone at elbow with manipulation</t>
  </si>
  <si>
    <t xml:space="preserve"> Placement of stabilizing device for broken outer part of upper arm at elbow</t>
  </si>
  <si>
    <t xml:space="preserve"> Treatment of broken outer part of upper arm bone at elbow</t>
  </si>
  <si>
    <t xml:space="preserve"> Closed treatment of broken elbow</t>
  </si>
  <si>
    <t xml:space="preserve"> Closed treatment of broken elbow with manipulation</t>
  </si>
  <si>
    <t xml:space="preserve"> Treatment of broken elbow</t>
  </si>
  <si>
    <t xml:space="preserve"> Placement of stabilizing device for broken elbow with manipulation</t>
  </si>
  <si>
    <t xml:space="preserve"> Treatment of broken or dislocated upper or forearm bones at elbow</t>
  </si>
  <si>
    <t xml:space="preserve"> Treatment of broken or dislocated upper or forearm bones at elbow with implant</t>
  </si>
  <si>
    <t xml:space="preserve"> Repair of dislocated elbow</t>
  </si>
  <si>
    <t xml:space="preserve"> Repair of dislocated elbow under anesthesia</t>
  </si>
  <si>
    <t xml:space="preserve"> Treatment of dislocated elbow</t>
  </si>
  <si>
    <t xml:space="preserve"> Closed treatment of broken and dislocated forearm bones at elbow with manipulation</t>
  </si>
  <si>
    <t xml:space="preserve"> Treatment of broken and dislocated forearm bones at elbow</t>
  </si>
  <si>
    <t xml:space="preserve"> Closed treatment of dislocated forearm bone on thumb side at elbow with manipulation, child</t>
  </si>
  <si>
    <t xml:space="preserve"> Closed treatment of broken forearm bone on thumb side at elbow</t>
  </si>
  <si>
    <t xml:space="preserve"> Closed treatment of broken forearm bone on thumb side at elbow with manipulation</t>
  </si>
  <si>
    <t xml:space="preserve"> Treatment of broken forearm bone on thumb side at elbow</t>
  </si>
  <si>
    <t xml:space="preserve"> Treatment of broken forearm bone on thumb side at elbow with prosthesis</t>
  </si>
  <si>
    <t xml:space="preserve"> Closed treatment of broken forearm bone on small finger side at elbow</t>
  </si>
  <si>
    <t xml:space="preserve"> Closed treatment of broken forearm bone on small finger side at elbow with manipulation</t>
  </si>
  <si>
    <t xml:space="preserve"> Treatment of broken forearm bone on small finger side at elbow</t>
  </si>
  <si>
    <t xml:space="preserve"> Fusion of elbow joint without bone graft from the patient</t>
  </si>
  <si>
    <t xml:space="preserve"> Fusion of elbow joint with bone graft from the patient</t>
  </si>
  <si>
    <t xml:space="preserve"> Secondary closure or revision of scar of previous upper arm bone amputation</t>
  </si>
  <si>
    <t xml:space="preserve"> Lengthening of remaining amputated arm bone</t>
  </si>
  <si>
    <t xml:space="preserve"> Incision or the tendon covering on the top side of the wrist</t>
  </si>
  <si>
    <t xml:space="preserve"> Incision or the tendon covering on the palm side of the wrist</t>
  </si>
  <si>
    <t xml:space="preserve"> Incision of tissue of forearm and/or wrist muscle compartment on one side of the forearm to relieve pressure, without removal of tissue</t>
  </si>
  <si>
    <t xml:space="preserve"> Incision to relieve pressure in top or palm side of wrist compartment with removal of damaged tissue</t>
  </si>
  <si>
    <t xml:space="preserve"> Incision of tissue of forearm and/or wrist muscle compartment on both sides of the forearm to relieve pressure, without removal of tissue</t>
  </si>
  <si>
    <t xml:space="preserve"> Incision to relieve pressure in top and palm side of wrist compartment with removal of damaged tissue</t>
  </si>
  <si>
    <t xml:space="preserve"> Drainage of deep abscess or blood accumulation of forearm or wrist</t>
  </si>
  <si>
    <t xml:space="preserve"> Drainage of fluid filled sac in wrist joint</t>
  </si>
  <si>
    <t xml:space="preserve"> Incision of forearm or wrist bone</t>
  </si>
  <si>
    <t xml:space="preserve"> Incision of wrist joint for exploration, fluid drainage, or removal of foreign body</t>
  </si>
  <si>
    <t xml:space="preserve"> Biopsy of surface tissue of forearm or wrist</t>
  </si>
  <si>
    <t xml:space="preserve"> Biopsy of deep tissue of forearm and/or wrist</t>
  </si>
  <si>
    <t xml:space="preserve"> Removal of growth under skin of forearm or wrist, 3.0 cm or more</t>
  </si>
  <si>
    <t xml:space="preserve"> Removal of growth of muscle of forearm or wrist, 3.0 cm or more</t>
  </si>
  <si>
    <t xml:space="preserve"> Removal of growth under skin of forearm or wrist, less than 3.0 cm</t>
  </si>
  <si>
    <t xml:space="preserve"> Removal of growth of muscle of forearm or wrist, less than 3.0 cm</t>
  </si>
  <si>
    <t xml:space="preserve"> Extensive removal of growth of forearm or wrist, less than 3.0 cm</t>
  </si>
  <si>
    <t xml:space="preserve"> Extensive removal of growth of forearm or wrist, 3.0 cm or more</t>
  </si>
  <si>
    <t xml:space="preserve"> Incision to repair or release capsule of wrist joint</t>
  </si>
  <si>
    <t xml:space="preserve"> Incision of joint capsule of wrist</t>
  </si>
  <si>
    <t xml:space="preserve"> Incision and exploration of wrist joint</t>
  </si>
  <si>
    <t xml:space="preserve"> Incision into wrist joint with removal of joint lining tissue</t>
  </si>
  <si>
    <t xml:space="preserve"> Incision to repair wrist joint with repair of cartilage</t>
  </si>
  <si>
    <t xml:space="preserve"> Removal of tendon of forearm and/or wrist</t>
  </si>
  <si>
    <t xml:space="preserve"> Removal of growth of tendon covering of forearm or wrist</t>
  </si>
  <si>
    <t xml:space="preserve"> Removal of first cyst of wrist</t>
  </si>
  <si>
    <t xml:space="preserve"> Removal of recurrent cyst of wrist</t>
  </si>
  <si>
    <t xml:space="preserve"> Extensive removal of growth of soft tissue structures in palm side of wrist</t>
  </si>
  <si>
    <t xml:space="preserve"> Extensive removal of growth of soft tissue structures in top side of wrist</t>
  </si>
  <si>
    <t xml:space="preserve"> Removal of lining of tendon covering of wrist</t>
  </si>
  <si>
    <t xml:space="preserve"> Removal of tendon lining on top side of wrist and end of forearm bone at wrist</t>
  </si>
  <si>
    <t xml:space="preserve"> Removal of cyst or growth of lower forearm bone</t>
  </si>
  <si>
    <t xml:space="preserve"> Removal of cyst or growth of lower forearm bone with self bone graft</t>
  </si>
  <si>
    <t xml:space="preserve"> Removal of cyst or growth of lower forearm bone with bone graft</t>
  </si>
  <si>
    <t xml:space="preserve"> Removal of cyst or growth of wrist bone</t>
  </si>
  <si>
    <t xml:space="preserve"> Removal of cyst or growth of wrist bone with self bone graft</t>
  </si>
  <si>
    <t xml:space="preserve"> Removal of cyst or growth of wrist bone with bone graft</t>
  </si>
  <si>
    <t xml:space="preserve"> Removal of fragment of dead forearm or wrist bone on small finger side</t>
  </si>
  <si>
    <t xml:space="preserve"> Removal of diseased part of forearm bone on small finger side</t>
  </si>
  <si>
    <t xml:space="preserve"> Removal of diseased part of forearm bone on thumb side</t>
  </si>
  <si>
    <t xml:space="preserve"> Extensive removal of growth of forearm bone (radius or ulna)</t>
  </si>
  <si>
    <t xml:space="preserve"> Removal of wrist bone</t>
  </si>
  <si>
    <t xml:space="preserve"> Removal of multiple wrist bones</t>
  </si>
  <si>
    <t xml:space="preserve"> Partial removal of wrist bone near thumb</t>
  </si>
  <si>
    <t xml:space="preserve"> Removal or partial removal of lower end of forearm bone on small finger side at wrist</t>
  </si>
  <si>
    <t xml:space="preserve"> Injection of contrast for imaging of wrist</t>
  </si>
  <si>
    <t xml:space="preserve"> Removal of deep foreign body in forearm or wrist</t>
  </si>
  <si>
    <t xml:space="preserve"> Removal of wrist prosthesis</t>
  </si>
  <si>
    <t xml:space="preserve"> Removal of wrist prosthesis, complicated</t>
  </si>
  <si>
    <t xml:space="preserve"> Manipulation of wrist under anesthesia</t>
  </si>
  <si>
    <t xml:space="preserve"> Primary repair of tendon or muscle of palm side of forearm or wrist</t>
  </si>
  <si>
    <t xml:space="preserve"> Secondary repair of tendon or muscle of palm side of forearm or wrist</t>
  </si>
  <si>
    <t xml:space="preserve"> Repair of forearm and/or wrist tendon or muscle on the underside of the wrist (flexor) with graft</t>
  </si>
  <si>
    <t xml:space="preserve"> Primary repair of tendon or muscle of top side of forearm or wrist</t>
  </si>
  <si>
    <t xml:space="preserve"> Repair of forearm and/or wrist tendon or muscle on the top of the wrist (extensor), secondary</t>
  </si>
  <si>
    <t xml:space="preserve"> Repair of tendon or muscle on top side of forearm or wrist with graft</t>
  </si>
  <si>
    <t xml:space="preserve"> Repair of forearm and/or wrist tendon covering with graft</t>
  </si>
  <si>
    <t xml:space="preserve"> Lengthening or shortening of tendon of forearm and/or wrist</t>
  </si>
  <si>
    <t xml:space="preserve"> Incision of tendon of forearm and/or wrist, open procedure</t>
  </si>
  <si>
    <t xml:space="preserve"> Removal of scar tissue to release tendon of forearm or wrist</t>
  </si>
  <si>
    <t xml:space="preserve"> Anchoring of flexing tendon of fingers to wrist bone</t>
  </si>
  <si>
    <t xml:space="preserve"> Anchoring of extending tendon of fingers to wrist bone</t>
  </si>
  <si>
    <t xml:space="preserve"> Relocation of tendon of forearm and/or wrist</t>
  </si>
  <si>
    <t xml:space="preserve"> Relocation of tendon of forearm and/or wrist with grafts</t>
  </si>
  <si>
    <t xml:space="preserve"> Repair of tendon of forearm and/or wrist</t>
  </si>
  <si>
    <t xml:space="preserve"> Release and relocation of tendons of forearm or wrist</t>
  </si>
  <si>
    <t xml:space="preserve"> Reconstruction of wrist joint</t>
  </si>
  <si>
    <t xml:space="preserve"> Repair of wrist joint</t>
  </si>
  <si>
    <t xml:space="preserve"> Advancement of tendons of outer forearm at wrist joint</t>
  </si>
  <si>
    <t xml:space="preserve"> Repair of tendons of outer forearm at wrist joint</t>
  </si>
  <si>
    <t xml:space="preserve"> Incision or partial removal of forearm bone on thumb side near hand</t>
  </si>
  <si>
    <t xml:space="preserve"> Incision or partial removal of forearm bone on thumb side near elbow or in middle</t>
  </si>
  <si>
    <t xml:space="preserve"> Incision or partial removal of forearm bone on small finger side</t>
  </si>
  <si>
    <t xml:space="preserve"> Incision or partial removal of both forearm bones</t>
  </si>
  <si>
    <t xml:space="preserve"> Multiple incisions or removal of parts of forearm bone</t>
  </si>
  <si>
    <t xml:space="preserve"> Multiple incisions or removal of parts of both forearm bones with insertion of rod in bone</t>
  </si>
  <si>
    <t xml:space="preserve"> Shortening of one of the forearm bones</t>
  </si>
  <si>
    <t xml:space="preserve"> Lengthening of one of the forearm bones with patient-derived bone graft</t>
  </si>
  <si>
    <t xml:space="preserve"> Shortening of both bones of forearm</t>
  </si>
  <si>
    <t xml:space="preserve"> Lengthening of both bones of forearm with patient-derived bone graft</t>
  </si>
  <si>
    <t xml:space="preserve"> Shortening of wrist bone</t>
  </si>
  <si>
    <t xml:space="preserve"> Repair non-healed fracture of forearm bone</t>
  </si>
  <si>
    <t xml:space="preserve"> Repair non-healed fracture of forearm bone with patient-derived bone graft</t>
  </si>
  <si>
    <t xml:space="preserve"> Treatment of both nonhealed broken forearm bones</t>
  </si>
  <si>
    <t xml:space="preserve"> Treatment of both nonhealed broken forearm bones with self bone graft</t>
  </si>
  <si>
    <t xml:space="preserve"> Repair of forearm bone</t>
  </si>
  <si>
    <t xml:space="preserve"> Repair of defect of both forearm bones with self bones graft</t>
  </si>
  <si>
    <t xml:space="preserve"> Insertion of vascular bone graft into wrist bone</t>
  </si>
  <si>
    <t xml:space="preserve"> Repair of non-healed wrist bone other than (scaphoid or navicular)</t>
  </si>
  <si>
    <t xml:space="preserve"> Repair of non-healed wrist bone, scaphoid or navicular at the base of the thumb</t>
  </si>
  <si>
    <t xml:space="preserve"> Arthroplasty or replacement of the end of the forearm bone on the thumb side at the wrist level</t>
  </si>
  <si>
    <t xml:space="preserve"> Arthroplasty or replacement of the end of the forearm bone on the small finger side at the wrist level</t>
  </si>
  <si>
    <t xml:space="preserve"> Arthroplasty or replacement of wrist bone, one wrist bone (scaphoid or navicular bone)</t>
  </si>
  <si>
    <t xml:space="preserve"> Arthroplasty or replacement of wrist bone, one wrist bone (lunate bone)</t>
  </si>
  <si>
    <t xml:space="preserve"> Arthroplasty or replacement of wrist bone, one wrist bone (trapezium bone)</t>
  </si>
  <si>
    <t xml:space="preserve"> Arthroplasty or replacement of the entire wrist joint</t>
  </si>
  <si>
    <t xml:space="preserve"> Removal of bone joints between wrist and fingers</t>
  </si>
  <si>
    <t xml:space="preserve"> Revision of wrist joint replacement with removal of existing prosthesis</t>
  </si>
  <si>
    <t xml:space="preserve"> Stapling or removal of growth plate of forearm bone</t>
  </si>
  <si>
    <t xml:space="preserve"> Stapling or removal of growth plate of both forearm bones</t>
  </si>
  <si>
    <t xml:space="preserve"> Stabilization of forearm bone on thumb side with device</t>
  </si>
  <si>
    <t xml:space="preserve"> Stabilization of forearm bone on small finger side with device</t>
  </si>
  <si>
    <t xml:space="preserve"> Stabilization of both forearm bones with device</t>
  </si>
  <si>
    <t xml:space="preserve"> Closed treatment of broken midpart of forearm bone on thumb side</t>
  </si>
  <si>
    <t xml:space="preserve"> Closed treatment of broken midpart of forearm bone on thumb side with manipulation</t>
  </si>
  <si>
    <t xml:space="preserve"> Treatment of broken midpart of forearm bone on thumb side</t>
  </si>
  <si>
    <t xml:space="preserve"> Closed treatment of broken midpart of forearm bone on thumb side and dislocated wrist joint</t>
  </si>
  <si>
    <t xml:space="preserve"> Treatment of broken midpart of forearm bone on thumb side and closed treatment of dislocated wrist joint</t>
  </si>
  <si>
    <t xml:space="preserve"> Treatment of broken midpart of forearm bone on thumb side and dislocated wrist joint with repair of cartilage</t>
  </si>
  <si>
    <t xml:space="preserve"> Closed treatment of broken midpart of forearm bone on small finger side</t>
  </si>
  <si>
    <t xml:space="preserve"> Closed treatment of broken midpart of forearm bone on small finger side with manipulation</t>
  </si>
  <si>
    <t xml:space="preserve"> Treatment of broken midpart of forearm bone on small finger side</t>
  </si>
  <si>
    <t xml:space="preserve"> Closed treatment of broken midpart of both forearm bones</t>
  </si>
  <si>
    <t xml:space="preserve"> Closed treatment of broken midpart of both forearm bones with manipulation</t>
  </si>
  <si>
    <t xml:space="preserve"> Treatment of broken midpart of both forearm bones with placement of stabilizing device to bone</t>
  </si>
  <si>
    <t xml:space="preserve"> Treatment of broken midpart of both forearm bones with placement of stabilizing device on both bones</t>
  </si>
  <si>
    <t xml:space="preserve"> Closed treatment of broken forearm (radius) bone at the wrist area on the thumb side of the wrist without manipulation</t>
  </si>
  <si>
    <t xml:space="preserve"> Closed treatment of broken or growth plate separate of forearm bone at wrist with manipulation</t>
  </si>
  <si>
    <t xml:space="preserve"> Placement of stabilizing device for broken forearm bone on thumb side at wrist</t>
  </si>
  <si>
    <t xml:space="preserve"> Treatment of broken forearm bone on thumb side of wrist, above wrist, with placement of stabilizing device</t>
  </si>
  <si>
    <t xml:space="preserve"> Treatment of 2 broken lower forearm bone pieces on thumb side inside wrist joint with placement of stabilizing device</t>
  </si>
  <si>
    <t xml:space="preserve"> Treatment of 3 or more broken lower forearm bone pieces on thumb side inside wrist joint with placement of stabilizing device</t>
  </si>
  <si>
    <t xml:space="preserve"> Closed treatment of broken wrist bone near base of thumb</t>
  </si>
  <si>
    <t xml:space="preserve"> Closed treatment of broken wrist bone near base of thumb with manipulation</t>
  </si>
  <si>
    <t xml:space="preserve"> Treatment of broken wrist bone located near base of thumb</t>
  </si>
  <si>
    <t xml:space="preserve"> Closed treatment of other broken wrist bone</t>
  </si>
  <si>
    <t xml:space="preserve"> Closed treatment of other broken wrist bone with manipulation</t>
  </si>
  <si>
    <t xml:space="preserve"> Treatment of other broken wrist bones</t>
  </si>
  <si>
    <t xml:space="preserve"> Closed treatment of broken base of forearm bone on small finger side at wrist</t>
  </si>
  <si>
    <t xml:space="preserve"> Placement of stabilizing device for broken base of forearm bone on small finger side at wrist</t>
  </si>
  <si>
    <t xml:space="preserve"> Treatment of broken base of forearm bone on small finger side at wrist</t>
  </si>
  <si>
    <t xml:space="preserve"> Closed treatment of dislocated wrist bones with manipulation</t>
  </si>
  <si>
    <t xml:space="preserve"> Treatment of dislocated wrist bones</t>
  </si>
  <si>
    <t xml:space="preserve"> Placement of stabilizing device for dislocated forearm bones at wrist</t>
  </si>
  <si>
    <t xml:space="preserve"> Closed treatment of dislocated forearm bone at wrist with manipulation</t>
  </si>
  <si>
    <t xml:space="preserve"> Treatment of dislocated forearm bones at wrist</t>
  </si>
  <si>
    <t xml:space="preserve"> Closed treatment of broken and dislocated wrist bones with manipulation</t>
  </si>
  <si>
    <t xml:space="preserve"> Treatment of broken and dislocated wrist bones</t>
  </si>
  <si>
    <t xml:space="preserve"> Closed treatment of dislocated wrist (lunate) bone with manipulation</t>
  </si>
  <si>
    <t xml:space="preserve"> Treatment of broken wrist (lunate) bone</t>
  </si>
  <si>
    <t xml:space="preserve"> Complete fusion of wrist joint</t>
  </si>
  <si>
    <t xml:space="preserve"> Fusion of wrist joint with bone graft</t>
  </si>
  <si>
    <t xml:space="preserve"> Fusion of wrist joint with graft from hip or other bone</t>
  </si>
  <si>
    <t xml:space="preserve"> Fusion of part of wrist joint</t>
  </si>
  <si>
    <t xml:space="preserve"> Fusion of part of wrist joint with patient-derived bone graft</t>
  </si>
  <si>
    <t xml:space="preserve"> Fusion of both forearm bones at wrist</t>
  </si>
  <si>
    <t xml:space="preserve"> Revision of scar or wound closure of previous amputation at forearm bones</t>
  </si>
  <si>
    <t xml:space="preserve"> Re-amputation of remaining arm at forearm bone</t>
  </si>
  <si>
    <t xml:space="preserve"> Revision of scar or wound closure following removal of hand at wrist joint</t>
  </si>
  <si>
    <t xml:space="preserve"> Revision of scar or wound closure of previous amputation at midhand bones</t>
  </si>
  <si>
    <t xml:space="preserve"> Re-amputation of remaining hand at midhand bones</t>
  </si>
  <si>
    <t xml:space="preserve"> Simple drainage of abscess of finger</t>
  </si>
  <si>
    <t xml:space="preserve"> Complicated drainage of abscess in finger</t>
  </si>
  <si>
    <t xml:space="preserve"> Drainage of tendon of finger and/or palm</t>
  </si>
  <si>
    <t xml:space="preserve"> Drainage of fluid filled sac in palm</t>
  </si>
  <si>
    <t xml:space="preserve"> Drainage of multiple fluid filled sacs in palm</t>
  </si>
  <si>
    <t xml:space="preserve"> Incision of hand or finger bone</t>
  </si>
  <si>
    <t xml:space="preserve"> Release of pressure on tissues of fingers and/or hand</t>
  </si>
  <si>
    <t xml:space="preserve"> Incision of tissue of hand to release pressure</t>
  </si>
  <si>
    <t xml:space="preserve"> Release of tissue of palm</t>
  </si>
  <si>
    <t xml:space="preserve"> Partial release of connective tissue of palm</t>
  </si>
  <si>
    <t xml:space="preserve"> Incision of tendon covering of finger</t>
  </si>
  <si>
    <t xml:space="preserve"> Incision of finger tendon</t>
  </si>
  <si>
    <t xml:space="preserve"> Incision of wrist joint at finger for exploration, fluid drainage, or removal of foreign body</t>
  </si>
  <si>
    <t xml:space="preserve"> Incision of lower finger joint for exploration, fluid drainage, or removal of foreign body</t>
  </si>
  <si>
    <t xml:space="preserve"> Incision of finger joint for exploration, fluid drainage, or removal of foreign body</t>
  </si>
  <si>
    <t xml:space="preserve"> Incision of wrist joint at finger with biopsy</t>
  </si>
  <si>
    <t xml:space="preserve"> Incision of joint at base of finger with biopsy</t>
  </si>
  <si>
    <t xml:space="preserve"> Incision of finger joint with biopsy</t>
  </si>
  <si>
    <t xml:space="preserve"> Removal (1.5 centimeters or greater) tissue beneath the skin growth of hand or finger</t>
  </si>
  <si>
    <t xml:space="preserve"> Removal of growth of muscle of hand or finger, 1.5 cm or more</t>
  </si>
  <si>
    <t xml:space="preserve"> Removal (less than 1.5 centimeters) tissue beneath the skin growth of hand or finger</t>
  </si>
  <si>
    <t xml:space="preserve"> Removal of growth of muscle of hand or finger, less than 1.5 cm</t>
  </si>
  <si>
    <t xml:space="preserve"> Extensive removal of growth of hand or finger, less than 3.0 cm</t>
  </si>
  <si>
    <t xml:space="preserve"> Extensive removal of growth of hand or finger, 3.0 cm or more</t>
  </si>
  <si>
    <t xml:space="preserve"> Removal of connective tissue of palm</t>
  </si>
  <si>
    <t xml:space="preserve"> Removal of connective tissue of palm and release of finger, first digit</t>
  </si>
  <si>
    <t xml:space="preserve"> Removal of connective tissue of palm and release of finger, each additional digit</t>
  </si>
  <si>
    <t xml:space="preserve"> Removal of wrist joint lining</t>
  </si>
  <si>
    <t xml:space="preserve"> Repair of hand joint</t>
  </si>
  <si>
    <t xml:space="preserve"> Removal of joint lining and repair of tendon on the topside of finger</t>
  </si>
  <si>
    <t xml:space="preserve"> Repair of tendon, finger, and/or palm of hand</t>
  </si>
  <si>
    <t xml:space="preserve"> Removal of growth of tendon finger or hand</t>
  </si>
  <si>
    <t xml:space="preserve"> Removal of tendon of palm</t>
  </si>
  <si>
    <t xml:space="preserve"> Removal of tendon of finger</t>
  </si>
  <si>
    <t xml:space="preserve"> Removal of bone at base of thumb or finger</t>
  </si>
  <si>
    <t xml:space="preserve"> Removal of cyst or growth from hand bone</t>
  </si>
  <si>
    <t xml:space="preserve"> Removal of cyst or growth from hand bone with self bone graft</t>
  </si>
  <si>
    <t xml:space="preserve"> Removal of cyst or growth of finger bone</t>
  </si>
  <si>
    <t xml:space="preserve"> Removal of cyst or growth of finger bone with self bone graft</t>
  </si>
  <si>
    <t xml:space="preserve"> Partial removal of hand bone</t>
  </si>
  <si>
    <t xml:space="preserve"> Partial removal of finger bone nearest hand or middle of finger</t>
  </si>
  <si>
    <t xml:space="preserve"> Partial removal of finger bone at end of finger</t>
  </si>
  <si>
    <t xml:space="preserve"> Extensive removal of growth of hand bone</t>
  </si>
  <si>
    <t xml:space="preserve"> Extensive removal of growth of finger</t>
  </si>
  <si>
    <t xml:space="preserve"> Extensive removal of growth at end of finger bone</t>
  </si>
  <si>
    <t xml:space="preserve"> Removal of implant from finger or hand</t>
  </si>
  <si>
    <t xml:space="preserve"> Manipulation of finger joint under anesthesia</t>
  </si>
  <si>
    <t xml:space="preserve"> Manipulation of finger for connective tissue release following enzyme injection</t>
  </si>
  <si>
    <t xml:space="preserve"> Repair of finger tendon of under side of hand other than upper most part of palm and fingers</t>
  </si>
  <si>
    <t xml:space="preserve"> Repair of finger tendon on under side of hand with a graft not in zone 2</t>
  </si>
  <si>
    <t xml:space="preserve"> Primary repair of finger tendon on underside of the hand without a graft in zone 2</t>
  </si>
  <si>
    <t xml:space="preserve"> Secondary repair of finger tendon on underside of hand without a graft in zone 2</t>
  </si>
  <si>
    <t xml:space="preserve"> Secondary repair of finger tendon on underside of hand with a graft in zone 2</t>
  </si>
  <si>
    <t xml:space="preserve"> Repair of tendon deep in underside of finger</t>
  </si>
  <si>
    <t xml:space="preserve"> Secondary repair of tendon deep in underside of finger with a graft</t>
  </si>
  <si>
    <t xml:space="preserve"> Secondary repair of tendon deep in underside of finger</t>
  </si>
  <si>
    <t xml:space="preserve"> Repair of tendon on underside of finger or hand with implanted rod</t>
  </si>
  <si>
    <t xml:space="preserve"> Removal of synthetic rod and insertion of tendon graft in hand or finger</t>
  </si>
  <si>
    <t xml:space="preserve"> Repair of tendon on top of hand</t>
  </si>
  <si>
    <t xml:space="preserve"> Repair of tendon on top of hand with graft</t>
  </si>
  <si>
    <t xml:space="preserve"> Removal of tendon from top of hand or finger with rod insertion</t>
  </si>
  <si>
    <t xml:space="preserve"> Removal of rod with tendon graft at top of hand or finger</t>
  </si>
  <si>
    <t xml:space="preserve"> Repair of tendon on top side of finger</t>
  </si>
  <si>
    <t xml:space="preserve"> Repair of tendon of top side of finger with graft</t>
  </si>
  <si>
    <t xml:space="preserve"> Secondary repair of tendon of top of finger using tissue</t>
  </si>
  <si>
    <t xml:space="preserve"> Secondary repair of tendon of upper side of finger with graft</t>
  </si>
  <si>
    <t xml:space="preserve"> Closed treatment of tendon of upper side of finger</t>
  </si>
  <si>
    <t xml:space="preserve"> Repair of tendon on upper side of end of finger</t>
  </si>
  <si>
    <t xml:space="preserve"> Repair of tendon on upper side of end of finger with graft</t>
  </si>
  <si>
    <t xml:space="preserve"> Repair of tendon on upper side of hand</t>
  </si>
  <si>
    <t xml:space="preserve"> Release of tendon of palm or finger</t>
  </si>
  <si>
    <t xml:space="preserve"> Release of tendon of palm and finger</t>
  </si>
  <si>
    <t xml:space="preserve"> Release of tendon of top of hand or finger</t>
  </si>
  <si>
    <t xml:space="preserve"> Release of tendon extending from finger to forearm</t>
  </si>
  <si>
    <t xml:space="preserve"> Incision of tendon of palm</t>
  </si>
  <si>
    <t xml:space="preserve"> Incision of tendon of finger</t>
  </si>
  <si>
    <t xml:space="preserve"> Incision of tendon at top of hand or finger</t>
  </si>
  <si>
    <t xml:space="preserve"> Suture of tendon to first joint of finger</t>
  </si>
  <si>
    <t xml:space="preserve"> Suture of tendon to joint of finger near top of finger</t>
  </si>
  <si>
    <t xml:space="preserve"> Lengthening of tendon on upper side of hand or finger</t>
  </si>
  <si>
    <t xml:space="preserve"> Shortening of tendon of upper side of hand or finger</t>
  </si>
  <si>
    <t xml:space="preserve"> Lengthening of tendon of palm side of finger or hand</t>
  </si>
  <si>
    <t xml:space="preserve"> Shortening of tendon of palm side of hand or finger</t>
  </si>
  <si>
    <t xml:space="preserve"> Transfer of tendon to back of hand</t>
  </si>
  <si>
    <t xml:space="preserve"> Transfer of tendon to back of hand with graft</t>
  </si>
  <si>
    <t xml:space="preserve"> Transfer of tendon to palm</t>
  </si>
  <si>
    <t xml:space="preserve"> Transfer of tendon to palm with graft</t>
  </si>
  <si>
    <t xml:space="preserve"> Transfer of tendon from ring finger to thumb</t>
  </si>
  <si>
    <t xml:space="preserve"> Transfer of tendon to thumb with graft</t>
  </si>
  <si>
    <t xml:space="preserve"> Transfer of tendon in palm to thumb</t>
  </si>
  <si>
    <t xml:space="preserve"> Transfer of tendon to thumb, palm, or wrist</t>
  </si>
  <si>
    <t xml:space="preserve"> Transfer of tendon to ring and small fingers</t>
  </si>
  <si>
    <t xml:space="preserve"> Transfer of tendons of hand, all 4 fingers</t>
  </si>
  <si>
    <t xml:space="preserve"> Correction of claw finger</t>
  </si>
  <si>
    <t xml:space="preserve"> Repair of ligament surrounding finger tendon</t>
  </si>
  <si>
    <t xml:space="preserve"> Repair of ligament surrounding finger tendon with graft</t>
  </si>
  <si>
    <t xml:space="preserve"> Release of muscles of palm near thumb</t>
  </si>
  <si>
    <t xml:space="preserve"> Transfer of finger tendon</t>
  </si>
  <si>
    <t xml:space="preserve"> Repair of joint capsule of hand and palm, 1 finger</t>
  </si>
  <si>
    <t xml:space="preserve"> Repair of joint capsule of hand and palm, 2 fingers</t>
  </si>
  <si>
    <t xml:space="preserve"> Repair of joint capsule of hand and palm, 3-4 fingers</t>
  </si>
  <si>
    <t xml:space="preserve"> Incision or removal of joint capsule between hand and finger</t>
  </si>
  <si>
    <t xml:space="preserve"> Repair of joint capsule of finger</t>
  </si>
  <si>
    <t xml:space="preserve"> Repair of joint connecting hand and finger bones with implant</t>
  </si>
  <si>
    <t xml:space="preserve"> Repair of joint between hand and finger bones with prosthesis</t>
  </si>
  <si>
    <t xml:space="preserve"> Replacement of finger joint</t>
  </si>
  <si>
    <t xml:space="preserve"> Replacement of finger joint with prosthesis</t>
  </si>
  <si>
    <t xml:space="preserve"> Repair of ligament of finger or hand and finger joint</t>
  </si>
  <si>
    <t xml:space="preserve"> Repair of ligament of finger or hand to finger joint with graft</t>
  </si>
  <si>
    <t xml:space="preserve"> Repair of ligament of hand to finger joint with local tissue</t>
  </si>
  <si>
    <t xml:space="preserve"> Repair of ligament of finger joint with graft</t>
  </si>
  <si>
    <t xml:space="preserve"> Repair of nonhealed hand or finger bone</t>
  </si>
  <si>
    <t xml:space="preserve"> Repair of joint between finger and palm</t>
  </si>
  <si>
    <t xml:space="preserve"> Surgical creation of thumb</t>
  </si>
  <si>
    <t xml:space="preserve"> Transfer of finger</t>
  </si>
  <si>
    <t xml:space="preserve"> Repair of webbed finger with skin flaps</t>
  </si>
  <si>
    <t xml:space="preserve"> Repair of webbed finger with skin flaps and grafts</t>
  </si>
  <si>
    <t xml:space="preserve"> Complex repair of each webbed finger</t>
  </si>
  <si>
    <t xml:space="preserve"> Incision or removal of hand bone</t>
  </si>
  <si>
    <t xml:space="preserve"> Partial removal of finger bone</t>
  </si>
  <si>
    <t xml:space="preserve"> Lengthening of hand or finger bone</t>
  </si>
  <si>
    <t xml:space="preserve"> Repair of deformed hand</t>
  </si>
  <si>
    <t xml:space="preserve"> Removal of extra finger</t>
  </si>
  <si>
    <t xml:space="preserve"> Repair of enlarged finger</t>
  </si>
  <si>
    <t xml:space="preserve"> Repair of hand muscle</t>
  </si>
  <si>
    <t xml:space="preserve"> Release of hand muscle</t>
  </si>
  <si>
    <t xml:space="preserve"> Removal of constricting ring of skin of finger</t>
  </si>
  <si>
    <t xml:space="preserve"> Closed treatment of broken hand bone</t>
  </si>
  <si>
    <t xml:space="preserve"> Closed treatment of broken hand bone with manipulation</t>
  </si>
  <si>
    <t xml:space="preserve"> Closed treatment of broken hand bone with manipulation and placement of external stabilizing device</t>
  </si>
  <si>
    <t xml:space="preserve"> Treatment of broken finger bone with stabilizing device accessed through skin</t>
  </si>
  <si>
    <t xml:space="preserve"> Treatment of broken midhand bone</t>
  </si>
  <si>
    <t xml:space="preserve"> Closed treatment of dislocated thumb at wrist with manipulation</t>
  </si>
  <si>
    <t xml:space="preserve"> Closed treatment of broken thumb at wrist with manipulation</t>
  </si>
  <si>
    <t xml:space="preserve"> Placement of stabilizing device for broken thumb at wrist with manipulation</t>
  </si>
  <si>
    <t xml:space="preserve"> Treatment of broken thumb at wrist</t>
  </si>
  <si>
    <t xml:space="preserve"> Closed treatment of dislocated hand bone at wrist joint with manipulation</t>
  </si>
  <si>
    <t xml:space="preserve"> Closed treatment of dislocated hand bone at wrist joint with manipulation under anesthesia</t>
  </si>
  <si>
    <t xml:space="preserve"> Placement of stabilizing device for dislocated hand bone at wrist joint with manipulation</t>
  </si>
  <si>
    <t xml:space="preserve"> Treatment of broken hand bone at wrist</t>
  </si>
  <si>
    <t xml:space="preserve"> Complicated treatment of dislocated midhand bone at wrist</t>
  </si>
  <si>
    <t xml:space="preserve"> Closed treatment of dislocated hand joint at base of finger with manipulation</t>
  </si>
  <si>
    <t xml:space="preserve"> Closed treatment of dislocated hand joint at base of finger with manipulation under anesthesia</t>
  </si>
  <si>
    <t xml:space="preserve"> Placement of stabilizing device for dislocated hand joint at base of finger with manipulation</t>
  </si>
  <si>
    <t xml:space="preserve"> Treatment of dislocated hand joint at base of finger</t>
  </si>
  <si>
    <t xml:space="preserve"> Closed treatment of broken finger or thumb at midportion or part near hand</t>
  </si>
  <si>
    <t xml:space="preserve"> Closed treatment of broken finger or thumb at midportion or part near hand with manipulation</t>
  </si>
  <si>
    <t xml:space="preserve"> Placement of stabilizing device for broken finger or thumb at midportion or part near hand with manipulation</t>
  </si>
  <si>
    <t xml:space="preserve"> Treatment of broken finger at midportion or part near hand</t>
  </si>
  <si>
    <t xml:space="preserve"> Closed treatment of broken finger or hand at base of finger</t>
  </si>
  <si>
    <t xml:space="preserve"> Closed treatment of broken finger or hand at base of finger with manipulation</t>
  </si>
  <si>
    <t xml:space="preserve"> Treatment of broken finger or hand at base of finger</t>
  </si>
  <si>
    <t xml:space="preserve"> Closed treatment of broken end of finger or thumb</t>
  </si>
  <si>
    <t xml:space="preserve"> Closed treatment of broken end of finger or thumb with manipulation</t>
  </si>
  <si>
    <t xml:space="preserve"> Placement of stabilizing device for broken end of finger or thumb</t>
  </si>
  <si>
    <t xml:space="preserve"> Treatment of broken end of finger or thumb</t>
  </si>
  <si>
    <t xml:space="preserve"> Closed treatment of dislocated finger joint with manipulation</t>
  </si>
  <si>
    <t xml:space="preserve"> Closed treatment of dislocated finger joint with manipulation under anesthesia</t>
  </si>
  <si>
    <t xml:space="preserve"> Placement of stabilizing device for dislocated finger joint with manipulation</t>
  </si>
  <si>
    <t xml:space="preserve"> Treatment of dislocated finger joint</t>
  </si>
  <si>
    <t xml:space="preserve"> Fusion of thumb</t>
  </si>
  <si>
    <t xml:space="preserve"> Fusion of thumb at wrist</t>
  </si>
  <si>
    <t xml:space="preserve"> Fusion of thumb at wrist with bone graft</t>
  </si>
  <si>
    <t xml:space="preserve"> Fusion of hand joint</t>
  </si>
  <si>
    <t xml:space="preserve"> Fusion of finger at hand joint with self bone graft</t>
  </si>
  <si>
    <t xml:space="preserve"> Fusion of joint between finger and hand</t>
  </si>
  <si>
    <t xml:space="preserve"> Fusion of finger joint at hand with self bone graft</t>
  </si>
  <si>
    <t xml:space="preserve"> Fusion of finger joint, initial joint</t>
  </si>
  <si>
    <t xml:space="preserve"> Fusion of finger joint, each additional joint</t>
  </si>
  <si>
    <t xml:space="preserve"> Fusion of finger joint with self bone graft, initial joint</t>
  </si>
  <si>
    <t xml:space="preserve"> Fusion of finger joint with self bone graft, each additional joint</t>
  </si>
  <si>
    <t xml:space="preserve"> Amputation of finger or thumb</t>
  </si>
  <si>
    <t xml:space="preserve"> Amputation of finger or thumb with direct closure</t>
  </si>
  <si>
    <t xml:space="preserve"> Amputation of finger or thumb with tissue flap</t>
  </si>
  <si>
    <t xml:space="preserve"> Other procedure on hands or fingers</t>
  </si>
  <si>
    <t xml:space="preserve"> Drainage of deep abscess or blood accumulation of pelvis or hip near joint</t>
  </si>
  <si>
    <t xml:space="preserve"> Drainage of infected fluid-filled sac near pelvis or hip joint</t>
  </si>
  <si>
    <t xml:space="preserve"> Incision of hip tendon through skin</t>
  </si>
  <si>
    <t xml:space="preserve"> Incision of hip tendon</t>
  </si>
  <si>
    <t xml:space="preserve"> Incision of hip tendon with removal of nerve</t>
  </si>
  <si>
    <t xml:space="preserve"> Incision of tendon of hip (abductor and/or extensor)</t>
  </si>
  <si>
    <t xml:space="preserve"> Incision of hip joint for exploration, fluid drainage, or removal of foreign body</t>
  </si>
  <si>
    <t xml:space="preserve"> Removal of hip or pelvic nerve</t>
  </si>
  <si>
    <t xml:space="preserve"> Biopsy of surface tissue of pelvis and hip</t>
  </si>
  <si>
    <t xml:space="preserve"> Biopsy of deep tissue of pelvis and hip</t>
  </si>
  <si>
    <t xml:space="preserve"> Removal of growth under skin of pelvis and hip, 3.0 cm or more</t>
  </si>
  <si>
    <t xml:space="preserve"> Removal of growth of muscle of pelvis and hip, 5.0 cm or more</t>
  </si>
  <si>
    <t xml:space="preserve"> Removal of growth under skin of pelvis and hip, less than 3.0 cm</t>
  </si>
  <si>
    <t xml:space="preserve"> Removal of growth of soft tissue of pelvis and hip, less than 5.0 cm</t>
  </si>
  <si>
    <t xml:space="preserve"> Extensive removal of growth of pelvis and hip, less than 5.0 cm</t>
  </si>
  <si>
    <t xml:space="preserve"> Biopsy of joint between lower spine and pelvis</t>
  </si>
  <si>
    <t xml:space="preserve"> Biopsy of hip joint</t>
  </si>
  <si>
    <t xml:space="preserve"> Extensive removal of growth of pelvis and hip, 5.0 cm or more</t>
  </si>
  <si>
    <t xml:space="preserve"> Removal of fluid-filled sac (bursa) of pelvis</t>
  </si>
  <si>
    <t xml:space="preserve"> Removal of fluid-filled sac (bursa) or calcium deposit of pelvis</t>
  </si>
  <si>
    <t xml:space="preserve"> Removal of cyst or growth of hip, pubic, or head of thigh bone with self bone graft</t>
  </si>
  <si>
    <t xml:space="preserve"> Removal of deep cyst or growth of hip, pubic, or head of thigh bone with self bone graft</t>
  </si>
  <si>
    <t xml:space="preserve"> Removal of cyst or growth of hip, pubic, or head of thigh bone with self bone graft obtained through different incision</t>
  </si>
  <si>
    <t xml:space="preserve"> Removal of tailbone</t>
  </si>
  <si>
    <t xml:space="preserve"> Removal of foreign body in tissue of pelvis or hip, accessed beneath the skin</t>
  </si>
  <si>
    <t xml:space="preserve"> Removal of foreign body in tissue or muscle of pelvis or hip</t>
  </si>
  <si>
    <t xml:space="preserve"> Injection of contrast for imaging of hip joint</t>
  </si>
  <si>
    <t xml:space="preserve"> Injection of contrast for imaging of hip under anesthesia</t>
  </si>
  <si>
    <t xml:space="preserve"> Injection of anesthetic or steroid into joint between lower spine and hip bone using imaging guidance</t>
  </si>
  <si>
    <t xml:space="preserve"> Release of upper hamstring muscle</t>
  </si>
  <si>
    <t xml:space="preserve"> Transfer of tendon to pelvic bone</t>
  </si>
  <si>
    <t xml:space="preserve"> Transfer of abdominal muscle to thigh bone at hip joint</t>
  </si>
  <si>
    <t xml:space="preserve"> Transfer of muscle to hip</t>
  </si>
  <si>
    <t xml:space="preserve"> Transfer of muscle to thigh bone at hip joint</t>
  </si>
  <si>
    <t xml:space="preserve"> Transfer of muscle to upper thigh bone</t>
  </si>
  <si>
    <t xml:space="preserve"> Replacement of thigh bone and hip joint with prosthesis</t>
  </si>
  <si>
    <t xml:space="preserve"> Treatment of growth plate at top of thigh with pins inserted through skin'</t>
  </si>
  <si>
    <t xml:space="preserve"> Repair of growth plate in head of thigh bone</t>
  </si>
  <si>
    <t xml:space="preserve"> Closed treatment of broken and/or dislocated pelvis and/or sacrum</t>
  </si>
  <si>
    <t xml:space="preserve"> Closed treatment of broken and/or dislocated pelvis and/or sacrum with manipulation</t>
  </si>
  <si>
    <t xml:space="preserve"> Closed treatment of broken tailbone</t>
  </si>
  <si>
    <t xml:space="preserve"> Treatment of broken tailbone</t>
  </si>
  <si>
    <t xml:space="preserve"> Closed treatment of broken hip socket</t>
  </si>
  <si>
    <t xml:space="preserve"> Closed treatment of broken upper thigh bone</t>
  </si>
  <si>
    <t xml:space="preserve"> Placement of stabilizing device for upper end of broken thigh bone</t>
  </si>
  <si>
    <t xml:space="preserve"> Closed treatment of broken below neck of thigh bone</t>
  </si>
  <si>
    <t xml:space="preserve"> Closed treatment of broken below head of thigh bone</t>
  </si>
  <si>
    <t xml:space="preserve"> Closed treatment of dislocated hip</t>
  </si>
  <si>
    <t xml:space="preserve"> Closed treatment of dislocated hip under anesthesia</t>
  </si>
  <si>
    <t xml:space="preserve"> Closed Treatment of spontaneous dislocated hip</t>
  </si>
  <si>
    <t xml:space="preserve"> Treatment of spontaneous dislocated hip under anesthesia</t>
  </si>
  <si>
    <t xml:space="preserve"> Closed treatment of dislocated hip prosthesis</t>
  </si>
  <si>
    <t xml:space="preserve"> Closed treatment of dislocated hip prosthesis under anesthesia</t>
  </si>
  <si>
    <t xml:space="preserve"> Closed treatment of broken head of thigh bone</t>
  </si>
  <si>
    <t xml:space="preserve"> Manipulation of hip joint under general anesthesia</t>
  </si>
  <si>
    <t xml:space="preserve"> Fusion of pelvic joint including joint implant using imaging guidance</t>
  </si>
  <si>
    <t xml:space="preserve"> Fusion of pelvic joint using imaging guidance</t>
  </si>
  <si>
    <t xml:space="preserve"> Other procedure on pelvis or hip joint</t>
  </si>
  <si>
    <t xml:space="preserve"> Drainage of deep abscess or blood accumulation of thigh or knee</t>
  </si>
  <si>
    <t xml:space="preserve"> Incision of connective tissue between thigh and knee</t>
  </si>
  <si>
    <t xml:space="preserve"> Incision of tendon of thigh or hamstring muscle</t>
  </si>
  <si>
    <t xml:space="preserve"> Incision of multiple tendons of thigh or hamstring muscle</t>
  </si>
  <si>
    <t xml:space="preserve"> Incision of knee joint for exploration, fluid drainage, or removal of foreign body</t>
  </si>
  <si>
    <t xml:space="preserve"> Biopsy of surface tissue of thigh or knee</t>
  </si>
  <si>
    <t xml:space="preserve"> Biopsy of deep tissue of thigh or knee</t>
  </si>
  <si>
    <t xml:space="preserve"> Removal of nerve of hamstring muscle</t>
  </si>
  <si>
    <t xml:space="preserve"> Removal of nerve of calf muscle</t>
  </si>
  <si>
    <t xml:space="preserve"> Removal of growth under skin of thigh or knee, 3.0 cm or more</t>
  </si>
  <si>
    <t xml:space="preserve"> Removal of growth of muscle of thigh or knee, 5.0 cm or less</t>
  </si>
  <si>
    <t xml:space="preserve"> Extensive removal of growth of thigh or knee, less than 5.0 cm</t>
  </si>
  <si>
    <t xml:space="preserve"> Biopsy of membrane covering knee joint</t>
  </si>
  <si>
    <t xml:space="preserve"> Incision of knee joint for exploration, biopsy, or removal of foreign body</t>
  </si>
  <si>
    <t xml:space="preserve"> Incision of knee joint with removal of cartilage of inner or outer side of knee</t>
  </si>
  <si>
    <t xml:space="preserve"> Incision of knee joint with removal of cartilage of inner and outer sides of knee</t>
  </si>
  <si>
    <t xml:space="preserve"> Incision of knee joint with removal of cartilage of front or back of knee</t>
  </si>
  <si>
    <t xml:space="preserve"> Incision of knee joint with removal of cartilage of front and back of knee</t>
  </si>
  <si>
    <t xml:space="preserve"> Removal of growth under skin of thigh or knee, less than 3.0 cm</t>
  </si>
  <si>
    <t xml:space="preserve"> Removal of growth of muscle of thigh or knee, 5.0 cm or more</t>
  </si>
  <si>
    <t xml:space="preserve"> Removal of fluid-filled sac from joint at front of knee</t>
  </si>
  <si>
    <t xml:space="preserve"> Removal of cyst of back of knee</t>
  </si>
  <si>
    <t xml:space="preserve"> Removal of growth of knee cartilage or capsule</t>
  </si>
  <si>
    <t xml:space="preserve"> Removal of kneecap</t>
  </si>
  <si>
    <t xml:space="preserve"> Removal of cyst or growth of thigh bone</t>
  </si>
  <si>
    <t xml:space="preserve"> Removal of cyst or growth of thigh bone with donor bone graft</t>
  </si>
  <si>
    <t xml:space="preserve"> Removal of cyst or growth of thigh bone with self bone graft</t>
  </si>
  <si>
    <t xml:space="preserve"> Removal of cyst or growth of thigh bone with placement of stabilizing device</t>
  </si>
  <si>
    <t xml:space="preserve"> Partial removal of thigh and/or lower leg bones</t>
  </si>
  <si>
    <t xml:space="preserve"> Extensive removal of growth of thigh or knee, 5.0 cm or more</t>
  </si>
  <si>
    <t xml:space="preserve"> Injection of contrast for imaging of knee joint</t>
  </si>
  <si>
    <t xml:space="preserve"> Removal of foreign body deep in tissue of thigh or knee</t>
  </si>
  <si>
    <t xml:space="preserve"> Primary suture of tendon below knee</t>
  </si>
  <si>
    <t xml:space="preserve"> Secondary suture of tendon below knee</t>
  </si>
  <si>
    <t xml:space="preserve"> Primary suture of ruptured muscle of thigh</t>
  </si>
  <si>
    <t xml:space="preserve"> Secondary suture of ruptured muscle of thigh</t>
  </si>
  <si>
    <t xml:space="preserve"> Repair of hamstring tendon</t>
  </si>
  <si>
    <t xml:space="preserve"> Repair of multiple hamstring tendons in leg</t>
  </si>
  <si>
    <t xml:space="preserve"> Repair of multiple hamstring tendons of both legs</t>
  </si>
  <si>
    <t xml:space="preserve"> Lengthening of hamstring tendon</t>
  </si>
  <si>
    <t xml:space="preserve"> Lengthening of multiple hamstring tendons in leg</t>
  </si>
  <si>
    <t xml:space="preserve"> Lengthening of multiple hamstring tendons in both legs</t>
  </si>
  <si>
    <t xml:space="preserve"> Transfer of thigh tendon</t>
  </si>
  <si>
    <t xml:space="preserve"> Transfer of thigh tendons</t>
  </si>
  <si>
    <t xml:space="preserve"> Transfer of tendon or muscle in hamstring to femur</t>
  </si>
  <si>
    <t xml:space="preserve"> Incision and repair of knee cartilage</t>
  </si>
  <si>
    <t xml:space="preserve"> Primary repair of torn ligament or joint capsule at outside part of knee</t>
  </si>
  <si>
    <t xml:space="preserve"> Repair of torn ligament and/or joint capsule at front of knee</t>
  </si>
  <si>
    <t xml:space="preserve"> Repair of torn ligaments or joint capsule at front and sides of knee</t>
  </si>
  <si>
    <t xml:space="preserve"> Implantation of self cartilage into knee joint</t>
  </si>
  <si>
    <t xml:space="preserve"> Implantation of donor cartilage cells into knee joint</t>
  </si>
  <si>
    <t xml:space="preserve"> Implantation of self cartilage cells into knee bone</t>
  </si>
  <si>
    <t xml:space="preserve"> Repair of upper end of shin bone at knee joint</t>
  </si>
  <si>
    <t xml:space="preserve"> Repair of dislocating kneecap</t>
  </si>
  <si>
    <t xml:space="preserve"> Repair of dislocating kneecap with realignment</t>
  </si>
  <si>
    <t xml:space="preserve"> Reconstruction of dislocating kneecap with removal</t>
  </si>
  <si>
    <t xml:space="preserve"> Release of ligaments of knee joint</t>
  </si>
  <si>
    <t xml:space="preserve"> Reconstruction of ligaments outside knee joint</t>
  </si>
  <si>
    <t xml:space="preserve"> Reconstruction ligaments inside knee joint</t>
  </si>
  <si>
    <t xml:space="preserve"> Reconstruction of ligaments inside and outside knee joint</t>
  </si>
  <si>
    <t xml:space="preserve"> Repair of muscle group above knee joint</t>
  </si>
  <si>
    <t xml:space="preserve"> Incision of back portion of knee joint capsule</t>
  </si>
  <si>
    <t xml:space="preserve"> Repair of kneecap</t>
  </si>
  <si>
    <t xml:space="preserve"> Repair of kneecap with prosthesis</t>
  </si>
  <si>
    <t xml:space="preserve"> Repair of lower part of knee joint</t>
  </si>
  <si>
    <t xml:space="preserve"> Repair of lower part of knee joint with prosthesis and removal of joint lining</t>
  </si>
  <si>
    <t xml:space="preserve"> Repair of end of thigh or lower leg bone at knee joint with prosthesis</t>
  </si>
  <si>
    <t xml:space="preserve"> Knee replacement with repair of end of thigh or lower leg bone and removal of knee joint lining</t>
  </si>
  <si>
    <t xml:space="preserve"> Replacement of knee joint on side of knee</t>
  </si>
  <si>
    <t xml:space="preserve"> Replacement of knee joint, both sides of knee</t>
  </si>
  <si>
    <t xml:space="preserve"> Removal of growth plate at lower end of thigh bone</t>
  </si>
  <si>
    <t xml:space="preserve"> Removal of growth plate of both lower leg bones</t>
  </si>
  <si>
    <t xml:space="preserve"> Removal of growth plate of leg and thigh bones</t>
  </si>
  <si>
    <t xml:space="preserve"> Removal of growth plate of leg or thigh bones</t>
  </si>
  <si>
    <t xml:space="preserve"> Incision of connective tissue of thigh and/or knee to relieve pressure</t>
  </si>
  <si>
    <t xml:space="preserve"> Incision of tissue of thigh and/or knee with tissue removal to relieve pressure</t>
  </si>
  <si>
    <t xml:space="preserve"> Multiple incisions of connective tissue of thigh and/or knee to relieve pressure</t>
  </si>
  <si>
    <t xml:space="preserve"> Multiple incisions of connective tissue of thigh and/or knee with tissue removal to relieve pressure</t>
  </si>
  <si>
    <t xml:space="preserve"> Closed treatment of broken thigh bone</t>
  </si>
  <si>
    <t xml:space="preserve"> Closed treatment of broken thigh bone at lower end</t>
  </si>
  <si>
    <t xml:space="preserve"> Closed treatment of broken thigh bone at midportion with manipulation</t>
  </si>
  <si>
    <t xml:space="preserve"> Closed treatment of broken thigh bone at far end with manipulation</t>
  </si>
  <si>
    <t xml:space="preserve"> Closed treatment of broken inside or outside portion of lower end of thigh bone</t>
  </si>
  <si>
    <t xml:space="preserve"> Treatment of broken thigh bone at far end with placement of stabilizing device</t>
  </si>
  <si>
    <t xml:space="preserve"> Closed treatment of broken thigh bone at knee area with manipulation</t>
  </si>
  <si>
    <t xml:space="preserve"> Treatment of broken side of lower end of thigh bone</t>
  </si>
  <si>
    <t xml:space="preserve"> Closed treatment of thigh bone growth plate broken at end of thigh bone</t>
  </si>
  <si>
    <t xml:space="preserve"> Closed treatment of growth plate broken at end of thigh bone with manipulation</t>
  </si>
  <si>
    <t xml:space="preserve"> Closed treatment of broken kneecap</t>
  </si>
  <si>
    <t xml:space="preserve"> Treatment of broken kneecap with placement of stabilizing device and/or removal of kneecap</t>
  </si>
  <si>
    <t xml:space="preserve"> Closed treatment of broken shin bone</t>
  </si>
  <si>
    <t xml:space="preserve"> Closed treatment of broken shin bone with traction</t>
  </si>
  <si>
    <t xml:space="preserve"> Closed treatment of broken top of shin bone at knee</t>
  </si>
  <si>
    <t xml:space="preserve"> Treatment of broken shin bone at knee</t>
  </si>
  <si>
    <t xml:space="preserve"> Closed treatment of dislocated knee</t>
  </si>
  <si>
    <t xml:space="preserve"> Closed treatment of dislocated knee under anesthesia</t>
  </si>
  <si>
    <t xml:space="preserve"> Treatment of dislocated knee with ligament repair</t>
  </si>
  <si>
    <t xml:space="preserve"> Closed treatment of dislocated kneecap</t>
  </si>
  <si>
    <t xml:space="preserve"> Closed treatment of dislocated kneecap under anesthesia</t>
  </si>
  <si>
    <t xml:space="preserve"> Treatment of dislocated kneecap</t>
  </si>
  <si>
    <t xml:space="preserve"> Manipulation of knee joint under anesthesia</t>
  </si>
  <si>
    <t xml:space="preserve"> Secondary closure or revision of scar at previous thigh amputation</t>
  </si>
  <si>
    <t xml:space="preserve"> Other procedure on thigh or knee</t>
  </si>
  <si>
    <t xml:space="preserve"> Incision of connective tissue of front or side of lower leg to relieve pressure</t>
  </si>
  <si>
    <t xml:space="preserve"> Incision of connective tissue of back of lower leg to relieve pressure</t>
  </si>
  <si>
    <t xml:space="preserve"> Incision of connective tissue of front and/or side and back of lower leg to relieve pressure</t>
  </si>
  <si>
    <t xml:space="preserve"> Drainage of deep abscess or blood accumulation of leg or ankle</t>
  </si>
  <si>
    <t xml:space="preserve"> Drainage of infected fluid-filled sac (bursa) of leg or ankle</t>
  </si>
  <si>
    <t xml:space="preserve"> Incision of Achilles tendon using local anesthetic</t>
  </si>
  <si>
    <t xml:space="preserve"> Incision of Achilles tendon under anesthesia</t>
  </si>
  <si>
    <t xml:space="preserve"> Incision of leg or ankle bone</t>
  </si>
  <si>
    <t xml:space="preserve"> Incision of ankle joint for exploration, fluid drainage, or removal of foreign body</t>
  </si>
  <si>
    <t xml:space="preserve"> Incision of ankle joint with release of joint lining</t>
  </si>
  <si>
    <t xml:space="preserve"> Biopsy of surface tissue of leg or ankle</t>
  </si>
  <si>
    <t xml:space="preserve"> Biopsy of deep tissue of leg or ankle</t>
  </si>
  <si>
    <t xml:space="preserve"> Extensive removal of growth of leg or ankle, less than 5.0 cm</t>
  </si>
  <si>
    <t xml:space="preserve"> Extensive removal of growth of leg or ankle, 5.0 cm or more</t>
  </si>
  <si>
    <t xml:space="preserve"> Removal of growth under skin of leg or ankle, less than 3.0 cm</t>
  </si>
  <si>
    <t xml:space="preserve"> Removal of growth of muscle of leg or ankle, less than 5.0 cm</t>
  </si>
  <si>
    <t xml:space="preserve"> Incision and exploration of ankle joint</t>
  </si>
  <si>
    <t xml:space="preserve"> Removal of membrane covering of ankle joint</t>
  </si>
  <si>
    <t xml:space="preserve"> Removal of membrane covering ankle joint and tendon</t>
  </si>
  <si>
    <t xml:space="preserve"> Removal of growth of leg and/or ankle tendon lining or capsule</t>
  </si>
  <si>
    <t xml:space="preserve"> Removal of growth under skin of leg or ankle, 3.0 cm or more</t>
  </si>
  <si>
    <t xml:space="preserve"> Removal of growth of muscle of leg or ankle, 5.0 cm or more</t>
  </si>
  <si>
    <t xml:space="preserve"> Removal of cyst or growth of lower leg bone</t>
  </si>
  <si>
    <t xml:space="preserve"> Removal of cyst or growth of lower leg bone with self bone graft</t>
  </si>
  <si>
    <t xml:space="preserve"> Removal of cyst or growth of lower leg bone with bone graft</t>
  </si>
  <si>
    <t xml:space="preserve"> Partial removal of shin bone</t>
  </si>
  <si>
    <t xml:space="preserve"> Partial removal of outer lower leg bone</t>
  </si>
  <si>
    <t xml:space="preserve"> Extensive removal of growth of heel bone</t>
  </si>
  <si>
    <t xml:space="preserve"> Injection for X-ray imaging of ankle</t>
  </si>
  <si>
    <t xml:space="preserve"> Repair of ruptured Achilles tendon</t>
  </si>
  <si>
    <t xml:space="preserve"> Repair of ruptured Achilles tendon with graft</t>
  </si>
  <si>
    <t xml:space="preserve"> Secondary repair of ruptured Achilles tendon</t>
  </si>
  <si>
    <t xml:space="preserve"> Repair of connective tissue defect of leg</t>
  </si>
  <si>
    <t xml:space="preserve"> Primary repair of tendon on back of leg</t>
  </si>
  <si>
    <t xml:space="preserve"> Secondary repair of tendon on back of leg</t>
  </si>
  <si>
    <t xml:space="preserve"> Primary repair of tendon on front of leg</t>
  </si>
  <si>
    <t xml:space="preserve"> Secondary repair of tendon on front of leg</t>
  </si>
  <si>
    <t xml:space="preserve"> Repair of dislocating lower leg tendons without a cut through the lower leg bone on the outside of the leg (fibula)</t>
  </si>
  <si>
    <t xml:space="preserve"> Repair of dislocated lower leg tendons by incision or partial removal of lower leg bone</t>
  </si>
  <si>
    <t xml:space="preserve"> Release of leg and/or ankle tendon</t>
  </si>
  <si>
    <t xml:space="preserve"> Release of multiple leg and/or ankle tendons</t>
  </si>
  <si>
    <t xml:space="preserve"> Lengthening or shortening of tendon of leg or ankle</t>
  </si>
  <si>
    <t xml:space="preserve"> Lengthening or shortening of multiple tendons of leg or ankle</t>
  </si>
  <si>
    <t xml:space="preserve"> Lengthening of calf muscle</t>
  </si>
  <si>
    <t xml:space="preserve"> Transfer of tendon and muscle rerouting at lower leg or ankle</t>
  </si>
  <si>
    <t xml:space="preserve"> Transfer of deep tendon of foot with muscle rerouting</t>
  </si>
  <si>
    <t xml:space="preserve"> Transfer of tendon with muscle rerouting at foot, each additional tendon</t>
  </si>
  <si>
    <t xml:space="preserve"> Primary repair of disrupted ankle ligament</t>
  </si>
  <si>
    <t xml:space="preserve"> Primary repair of disruption of both ankle ligaments</t>
  </si>
  <si>
    <t xml:space="preserve"> Secondary repair of disrupted collateral ligament of ankle</t>
  </si>
  <si>
    <t xml:space="preserve"> Reconstruction of ankle joint</t>
  </si>
  <si>
    <t xml:space="preserve"> Reconstruction of ankle joint with prosthesis</t>
  </si>
  <si>
    <t xml:space="preserve"> Removal of ankle implant</t>
  </si>
  <si>
    <t xml:space="preserve"> Incision or partial removal of shin bone</t>
  </si>
  <si>
    <t xml:space="preserve"> Incision or partial removal of lower leg bone</t>
  </si>
  <si>
    <t xml:space="preserve"> Incision or partial removal of shin and outer lower leg bones</t>
  </si>
  <si>
    <t xml:space="preserve"> Repair of nonhealed broken shin bone</t>
  </si>
  <si>
    <t xml:space="preserve"> Repair of nonhealed broken shin bone with bone graft</t>
  </si>
  <si>
    <t xml:space="preserve"> Repair of nonhealed broken outer lower leg bone with placement of stabilizing device</t>
  </si>
  <si>
    <t xml:space="preserve"> Scraping or stapling of shin bone growth plate of lower leg bone at ankle</t>
  </si>
  <si>
    <t xml:space="preserve"> Fusion of lower outer leg bone growth plate</t>
  </si>
  <si>
    <t xml:space="preserve"> Fusion of lower end of growth plate of lower leg bone</t>
  </si>
  <si>
    <t xml:space="preserve"> Fusion of lower and upper ends of growth plates of lower leg bones</t>
  </si>
  <si>
    <t xml:space="preserve"> Fusion of lower and upper ends of growth plates of lower leg and thigh bones</t>
  </si>
  <si>
    <t xml:space="preserve"> Placement of stabilizing device for shin bone</t>
  </si>
  <si>
    <t xml:space="preserve"> Closed treatment of broken middle part of shin bone</t>
  </si>
  <si>
    <t xml:space="preserve"> Closed treatment of middle part of broken shin bone with manipulation</t>
  </si>
  <si>
    <t xml:space="preserve"> Placement of stabilizing device for broken middle part of shin bone</t>
  </si>
  <si>
    <t xml:space="preserve"> Treatment broken middle part of shin bone with plate or screws</t>
  </si>
  <si>
    <t xml:space="preserve"> Treatment of broken part of shin bone with rod</t>
  </si>
  <si>
    <t xml:space="preserve"> Closed treatment of inside portion of shin bone at ankle</t>
  </si>
  <si>
    <t xml:space="preserve"> Closed treatment of inside portion of shin bone at ankle with manipulation</t>
  </si>
  <si>
    <t xml:space="preserve"> Treatment of inside portion of broken shin bone at ankle</t>
  </si>
  <si>
    <t xml:space="preserve"> Closed treatment of back portion of shin bone at ankle</t>
  </si>
  <si>
    <t xml:space="preserve"> Closed treatment of back portion of shin bone at ankle with manipulation</t>
  </si>
  <si>
    <t xml:space="preserve"> Treatment of broken back portion of shin bone at ankle</t>
  </si>
  <si>
    <t xml:space="preserve"> Closed treatment of broken middle or upper end of outside lower leg bone</t>
  </si>
  <si>
    <t xml:space="preserve"> Closed treatment of broken middle or upper end of outside lower leg bone with manipulation</t>
  </si>
  <si>
    <t xml:space="preserve"> Treatment of broken upper or middle part of outer lower leg bone</t>
  </si>
  <si>
    <t xml:space="preserve"> Closed treatment of broken outside lower leg bone at ankle</t>
  </si>
  <si>
    <t xml:space="preserve"> Closed treatment of broken outside lower leg bone at ankle with manipulation</t>
  </si>
  <si>
    <t xml:space="preserve"> Treatment of broken outer lower leg bone at ankle</t>
  </si>
  <si>
    <t xml:space="preserve"> Closed treatment of 2 broken lower leg bones at ankle</t>
  </si>
  <si>
    <t xml:space="preserve"> Closed treatment of 2 broken lower leg bones at ankle with manipulation</t>
  </si>
  <si>
    <t xml:space="preserve"> Treatment of both broken lower leg bones at ankle</t>
  </si>
  <si>
    <t xml:space="preserve"> Closed treatment of 3 broken lower leg bones at ankle</t>
  </si>
  <si>
    <t xml:space="preserve"> Closed treatment of 3 broken lower leg bones at ankle with manipulation</t>
  </si>
  <si>
    <t xml:space="preserve"> Treatment of 3 broken lower leg bones at ankle</t>
  </si>
  <si>
    <t xml:space="preserve"> Treatment of 3 broken lower leg bones at ankle with fixation of posterior lip</t>
  </si>
  <si>
    <t xml:space="preserve"> Closed treatment of broken shin bone at lower weight bearing joint</t>
  </si>
  <si>
    <t xml:space="preserve"> Closed treatment of broken shin bone at lower weight bearing joint with manipulation and/or traction</t>
  </si>
  <si>
    <t xml:space="preserve"> Treatment of broken outer lower leg bone at lower weight bearing joint</t>
  </si>
  <si>
    <t xml:space="preserve"> Treatment of broken shin bone at lower weight bearing joint</t>
  </si>
  <si>
    <t xml:space="preserve"> Treatment of broken lower weight bearing joint of both lower leg bones</t>
  </si>
  <si>
    <t xml:space="preserve"> Treatment of ligament tear at ankle joint</t>
  </si>
  <si>
    <t xml:space="preserve"> Closed treatment of dislocated knee joint</t>
  </si>
  <si>
    <t xml:space="preserve"> Closed treatment of dislocated knee joint under anesthesia</t>
  </si>
  <si>
    <t xml:space="preserve"> Treatment of dislocated knee joint</t>
  </si>
  <si>
    <t xml:space="preserve"> Closed treatment of dislocated ankle</t>
  </si>
  <si>
    <t xml:space="preserve"> Closed treatment of dislocated ankle under anesthesia</t>
  </si>
  <si>
    <t xml:space="preserve"> Treatment of dislocated ankle</t>
  </si>
  <si>
    <t xml:space="preserve"> Treatment of dislocated ankle with repair or placement of stabilizing device</t>
  </si>
  <si>
    <t xml:space="preserve"> Manipulation of ankle under general anesthesia</t>
  </si>
  <si>
    <t xml:space="preserve"> Fusion of ankle joint, open procedure</t>
  </si>
  <si>
    <t xml:space="preserve"> Fusion of lower leg bone at knee or ankle joint</t>
  </si>
  <si>
    <t xml:space="preserve"> Secondary closure or revision of scar of lower leg bone amputation</t>
  </si>
  <si>
    <t xml:space="preserve"> Re-amputation of lower leg</t>
  </si>
  <si>
    <t xml:space="preserve"> Removal of foot at ankle joint</t>
  </si>
  <si>
    <t xml:space="preserve"> Incision of connective tissue of lower leg to relieve pressure with removal of muscle and/or nerve</t>
  </si>
  <si>
    <t xml:space="preserve"> Incision of connective tissue at back of lower leg to relieve pressure with removal of muscle and/or nerve</t>
  </si>
  <si>
    <t xml:space="preserve"> Incision of connective tissue at front and/or side and back of lower leg to relieve pressure with removal of muscle and/or nerve</t>
  </si>
  <si>
    <t xml:space="preserve"> Drainage of fluid filled sac in foot</t>
  </si>
  <si>
    <t xml:space="preserve"> Drainage of fluid filled sac below connective tissue in foot joint</t>
  </si>
  <si>
    <t xml:space="preserve"> Drainage of fluid filled sacs beneath connective tissue in multiple foot joints</t>
  </si>
  <si>
    <t xml:space="preserve"> Incision of foot bone</t>
  </si>
  <si>
    <t xml:space="preserve"> Incision of connective tissue of foot and/or toe</t>
  </si>
  <si>
    <t xml:space="preserve"> Repair of toe tendon</t>
  </si>
  <si>
    <t xml:space="preserve"> Repair of multiple toe tendons</t>
  </si>
  <si>
    <t xml:space="preserve"> Incision of foot at ankle joint for exploration, fluid drainage, or removal of foreign body</t>
  </si>
  <si>
    <t xml:space="preserve"> Incision of midfoot joint for exploration, fluid drainage, or removal of foreign body</t>
  </si>
  <si>
    <t xml:space="preserve"> Incision of toe joint for exploration, fluid drainage, or removal of foreign body</t>
  </si>
  <si>
    <t xml:space="preserve"> Release of nerve between tissue and ankle bone</t>
  </si>
  <si>
    <t xml:space="preserve"> Removal (1.5 centimeters or greater) tissue growth beneath the skin of foot or toe</t>
  </si>
  <si>
    <t xml:space="preserve"> Removal of growth of muscle of foot or toe, 1.5 cm or more</t>
  </si>
  <si>
    <t xml:space="preserve"> Removal (less than 1.5 centimeters) tissue growth beneath the skin of foot or toe</t>
  </si>
  <si>
    <t xml:space="preserve"> Removal of growth of muscle of foot or toe, less than 1.5 cm</t>
  </si>
  <si>
    <t xml:space="preserve"> Extensive removal of growth of foot or toe, less than 3.0 cm</t>
  </si>
  <si>
    <t xml:space="preserve"> Extensive removal of growth of foot or toe, 3.0 cm or more</t>
  </si>
  <si>
    <t xml:space="preserve"> Biopsy through a joint opening in the midfoot</t>
  </si>
  <si>
    <t xml:space="preserve"> Incision of midfoot joint with biopsy</t>
  </si>
  <si>
    <t xml:space="preserve"> Incision of toe joint with biopsy</t>
  </si>
  <si>
    <t xml:space="preserve"> Removal of nerve of foot muscle</t>
  </si>
  <si>
    <t xml:space="preserve"> Partial removal of connective tissue at sole of foot</t>
  </si>
  <si>
    <t xml:space="preserve"> Removal of connective tissue at sole of foot</t>
  </si>
  <si>
    <t xml:space="preserve"> Removal of foot bone joint lining at ankle</t>
  </si>
  <si>
    <t xml:space="preserve"> Removal of joint lining of toe joint at foot</t>
  </si>
  <si>
    <t xml:space="preserve"> Removal of fibrous nerve growth from between toes</t>
  </si>
  <si>
    <t xml:space="preserve"> Removal of lining of tendon on under surface of foot</t>
  </si>
  <si>
    <t xml:space="preserve"> Removal of lining of tendon on upper surface of foot</t>
  </si>
  <si>
    <t xml:space="preserve"> Removal of growth of tendon covering or joint capsule of foot</t>
  </si>
  <si>
    <t xml:space="preserve"> Removal of growth of tendon covering or joint capsule of toes</t>
  </si>
  <si>
    <t xml:space="preserve"> Removal of cyst or growth of heel or ankle bone</t>
  </si>
  <si>
    <t xml:space="preserve"> Removal of cyst or growth of heel or ankle bone with self bone graft</t>
  </si>
  <si>
    <t xml:space="preserve"> Removal of cyst or growth of heel or ankle bone with donor bone graft</t>
  </si>
  <si>
    <t xml:space="preserve"> Removal of cyst or growth of foot bone</t>
  </si>
  <si>
    <t xml:space="preserve"> Removal of cyst or growth of foot bone with self bone graft</t>
  </si>
  <si>
    <t xml:space="preserve"> Removal of cyst or growth of foot bone with bone graft</t>
  </si>
  <si>
    <t xml:space="preserve"> Removal of cyst or growth of toe bone</t>
  </si>
  <si>
    <t xml:space="preserve"> Removal of bunion at fifth toe joint</t>
  </si>
  <si>
    <t xml:space="preserve"> Removal of foot bone at great toe joint</t>
  </si>
  <si>
    <t xml:space="preserve"> Removal of toe bone at second, third, or fourth joints</t>
  </si>
  <si>
    <t xml:space="preserve"> Complete removal of foot bone at fifth toe joint</t>
  </si>
  <si>
    <t xml:space="preserve"> Complete removal of second to fifth foot bones</t>
  </si>
  <si>
    <t xml:space="preserve"> Removal of abnormal bones at ankle joint</t>
  </si>
  <si>
    <t xml:space="preserve"> Removal of heel bone</t>
  </si>
  <si>
    <t xml:space="preserve"> Removal of heel bone spur</t>
  </si>
  <si>
    <t xml:space="preserve"> Partial removal of infected foot or heel bone</t>
  </si>
  <si>
    <t xml:space="preserve"> Partial removal of foot or heel bone</t>
  </si>
  <si>
    <t xml:space="preserve"> Partial removal of toe bone</t>
  </si>
  <si>
    <t xml:space="preserve"> Removal of toe bone at foot</t>
  </si>
  <si>
    <t xml:space="preserve"> Removal of ankle joint bone</t>
  </si>
  <si>
    <t xml:space="preserve"> Removal of foot bone</t>
  </si>
  <si>
    <t xml:space="preserve"> Removal of toe</t>
  </si>
  <si>
    <t xml:space="preserve"> Removal of end of toe at joint</t>
  </si>
  <si>
    <t xml:space="preserve"> Partial removal of toe at joint</t>
  </si>
  <si>
    <t xml:space="preserve"> Extensive removal of growth of middle portion of foot bone</t>
  </si>
  <si>
    <t xml:space="preserve"> Extensive removal of growth of foot bone</t>
  </si>
  <si>
    <t xml:space="preserve"> Extensive removal of growth of toe bone</t>
  </si>
  <si>
    <t xml:space="preserve"> Removal of foreign body of foot tissue, accessed beneath the skin</t>
  </si>
  <si>
    <t xml:space="preserve"> Removal of foreign body of foot tissue, deep</t>
  </si>
  <si>
    <t xml:space="preserve"> Complicated removal of foreign body in foot</t>
  </si>
  <si>
    <t xml:space="preserve"> Repair of tendon on sole of foot</t>
  </si>
  <si>
    <t xml:space="preserve"> Secondary repair of tendon on sole of foot with graft</t>
  </si>
  <si>
    <t xml:space="preserve"> Repair of tendon of top side of foot</t>
  </si>
  <si>
    <t xml:space="preserve"> Repair of tendon on top side of foot with graft</t>
  </si>
  <si>
    <t xml:space="preserve"> Removal of scar tissue of tendon on bottom side of foot</t>
  </si>
  <si>
    <t xml:space="preserve"> Removal of scar tissue of multiple foot tendons</t>
  </si>
  <si>
    <t xml:space="preserve"> Removal of scar tissue of tendon on top side of foot</t>
  </si>
  <si>
    <t xml:space="preserve"> Removal of scar tissue of multiple tendons at top of foot</t>
  </si>
  <si>
    <t xml:space="preserve"> Incision to lengthen foot tendon</t>
  </si>
  <si>
    <t xml:space="preserve"> Incision to lengthen toe tendon</t>
  </si>
  <si>
    <t xml:space="preserve"> Incision to release foot tendon</t>
  </si>
  <si>
    <t xml:space="preserve"> Reconstruction of ankle tendon with removal of extra ankle joint bone</t>
  </si>
  <si>
    <t xml:space="preserve"> Release or lengthening of tendon in foot</t>
  </si>
  <si>
    <t xml:space="preserve"> Incision of connective tissue and muscle of sole of foot</t>
  </si>
  <si>
    <t xml:space="preserve"> Incision of ankle joint capsule to correct foot deformity</t>
  </si>
  <si>
    <t xml:space="preserve"> Incision of ankle joint capsule and lengthening of tendon</t>
  </si>
  <si>
    <t xml:space="preserve"> Extensive repair of foot defect with tendon lengthening and relief of tension in foot</t>
  </si>
  <si>
    <t xml:space="preserve"> Release of capsule of midfoot</t>
  </si>
  <si>
    <t xml:space="preserve"> Incision of joint capsule of foot and toe</t>
  </si>
  <si>
    <t xml:space="preserve"> Incision of toe joint capsule</t>
  </si>
  <si>
    <t xml:space="preserve"> Creation of webbing between toes</t>
  </si>
  <si>
    <t xml:space="preserve"> Correction of toe joint deformity</t>
  </si>
  <si>
    <t xml:space="preserve"> Correction of fifth toe joint deformity</t>
  </si>
  <si>
    <t xml:space="preserve"> Removal of foot bone spur</t>
  </si>
  <si>
    <t xml:space="preserve"> Correction of rigid deformity of first joint of big toe</t>
  </si>
  <si>
    <t xml:space="preserve"> Correction of rigid deformity of first joint of big toe using implant</t>
  </si>
  <si>
    <t xml:space="preserve"> Correction of bunion</t>
  </si>
  <si>
    <t xml:space="preserve"> Correction of bunion with alignment correction of midfoot bone toward ankle</t>
  </si>
  <si>
    <t xml:space="preserve"> Correction of bunion with alignment correction of midfoot bone toward toe area</t>
  </si>
  <si>
    <t xml:space="preserve"> Correction of bunion with forefoot and midfoot bone fusion</t>
  </si>
  <si>
    <t xml:space="preserve"> Correction of bunion with alignment correction of big toe</t>
  </si>
  <si>
    <t xml:space="preserve"> Correction of bunion with 2 areas of realignment</t>
  </si>
  <si>
    <t xml:space="preserve"> Incision or partial removal of heel bone</t>
  </si>
  <si>
    <t xml:space="preserve"> Incision or partial removal of ankle bone</t>
  </si>
  <si>
    <t xml:space="preserve"> Incision or partial removal of foot bone</t>
  </si>
  <si>
    <t xml:space="preserve"> Incision or partial removal of foot bone with bone graft</t>
  </si>
  <si>
    <t xml:space="preserve"> Incision or partial removal of big toe bone to straighten toe</t>
  </si>
  <si>
    <t xml:space="preserve"> Incision or partial removal of big toe bone with self bone graft to straighten toe</t>
  </si>
  <si>
    <t xml:space="preserve"> Incision or partial removal of foot bone (other than big toe) to straighten toe</t>
  </si>
  <si>
    <t xml:space="preserve"> Incision or partial removal of multiple foot bones to straighten toes</t>
  </si>
  <si>
    <t xml:space="preserve"> Incision or partial removal of big toe bone at first toe bone level to straighten toe</t>
  </si>
  <si>
    <t xml:space="preserve"> Incision or partial removal of toe bone to straighten toe</t>
  </si>
  <si>
    <t xml:space="preserve"> Reconstruction of soft tissue angular deformity of toe</t>
  </si>
  <si>
    <t xml:space="preserve"> Removal of small bone underlying long bone of foot at big toe joint</t>
  </si>
  <si>
    <t xml:space="preserve"> Repair of nonhealed broken midfoot bone</t>
  </si>
  <si>
    <t xml:space="preserve"> Repair of nonhealed broken forefoot bone</t>
  </si>
  <si>
    <t xml:space="preserve"> Reconstruction of abnormal toe</t>
  </si>
  <si>
    <t xml:space="preserve"> Reconstruction of abnormal toe with bone removal</t>
  </si>
  <si>
    <t xml:space="preserve"> Removal of extra toes with reconstruction</t>
  </si>
  <si>
    <t xml:space="preserve"> Removal of congenital web space deformity of toes</t>
  </si>
  <si>
    <t xml:space="preserve"> Reconstruction of congenital foot defect</t>
  </si>
  <si>
    <t xml:space="preserve"> Closed treatment of broken heel bone</t>
  </si>
  <si>
    <t xml:space="preserve"> Closed treatment of broken heel bone with manipulation</t>
  </si>
  <si>
    <t xml:space="preserve"> Placement of stabilizing device for broken heel bone with manipulation</t>
  </si>
  <si>
    <t xml:space="preserve"> Treatment of broken heel bone</t>
  </si>
  <si>
    <t xml:space="preserve"> Treatment of broken heel bone with graft</t>
  </si>
  <si>
    <t xml:space="preserve"> Closed treatment of broken ankle joint bone</t>
  </si>
  <si>
    <t xml:space="preserve"> Closed treatment of broken ankle joint bone with manipulation</t>
  </si>
  <si>
    <t xml:space="preserve"> Placement of stabilizing device for broken ankle joint with manipulation</t>
  </si>
  <si>
    <t xml:space="preserve"> Treatment of broken bone between foot and ankle</t>
  </si>
  <si>
    <t xml:space="preserve"> Implantation of self cartilage cells into foot joint with graft</t>
  </si>
  <si>
    <t xml:space="preserve"> Treatment of broken foot bone at ankle</t>
  </si>
  <si>
    <t xml:space="preserve"> Treatment of broken foot bone at ankle with manipulation</t>
  </si>
  <si>
    <t xml:space="preserve"> Placement of stabilizing device for broken foot joint with manipulation</t>
  </si>
  <si>
    <t xml:space="preserve"> Treatment of broken hind portion of foot</t>
  </si>
  <si>
    <t xml:space="preserve"> Closed treatment of broken bone in forefoot or midfoot</t>
  </si>
  <si>
    <t xml:space="preserve"> Closed treatment of broken foot with manipulation</t>
  </si>
  <si>
    <t xml:space="preserve"> Placement of stabilizing device for broken foot bone with manipulation</t>
  </si>
  <si>
    <t xml:space="preserve"> Treatment of broken midportion of foot</t>
  </si>
  <si>
    <t xml:space="preserve"> Closed treatment of broken great toe</t>
  </si>
  <si>
    <t xml:space="preserve"> Closed treatment of broken great toe with manipulation</t>
  </si>
  <si>
    <t xml:space="preserve"> Placement of stabilizing device for broken big toe with manipulation</t>
  </si>
  <si>
    <t xml:space="preserve"> Treatment of broken great toe</t>
  </si>
  <si>
    <t xml:space="preserve"> Closed treatment of broken toe</t>
  </si>
  <si>
    <t xml:space="preserve"> Closed treatment of broken toe with manipulation</t>
  </si>
  <si>
    <t xml:space="preserve"> Treatment of broken toe</t>
  </si>
  <si>
    <t xml:space="preserve"> Closed treatment of broken small bone in tendon attached to great toe</t>
  </si>
  <si>
    <t xml:space="preserve"> Treatment of broken small bone in tendon attached to great toe</t>
  </si>
  <si>
    <t xml:space="preserve"> Closed treatment of dislocated ankle joint bone</t>
  </si>
  <si>
    <t xml:space="preserve"> Closed treatment of dislocated midfoot joint bone under anesthesia</t>
  </si>
  <si>
    <t xml:space="preserve"> Placement of stabilizing device for dislocated midfoot joint with manipulation</t>
  </si>
  <si>
    <t xml:space="preserve"> Treatment of dislocated midfoot or hindfoot bones</t>
  </si>
  <si>
    <t xml:space="preserve"> Closed treatment of dislocated ankle joint</t>
  </si>
  <si>
    <t xml:space="preserve"> Closed treatment of dislocated ankle joint under anesthesia</t>
  </si>
  <si>
    <t xml:space="preserve"> Placement of stabilizing device for dislocated ankle joint with manipulation</t>
  </si>
  <si>
    <t xml:space="preserve"> Treatment of dislocated ankle joint</t>
  </si>
  <si>
    <t xml:space="preserve"> Closed treatment of dislocated midfoot joint</t>
  </si>
  <si>
    <t xml:space="preserve"> Closed treatment of dislocated midfoot joint under anesthesia</t>
  </si>
  <si>
    <t xml:space="preserve"> Placement of stabilizing device for dislocated midfoot with manipulation</t>
  </si>
  <si>
    <t xml:space="preserve"> Treatment of dislocated midfoot bone</t>
  </si>
  <si>
    <t xml:space="preserve"> Closed treatment of dislocated joint between toe and foot</t>
  </si>
  <si>
    <t xml:space="preserve"> Closed treatment of dislocated joint between toe and foot under anesthesia</t>
  </si>
  <si>
    <t xml:space="preserve"> Placement of stabilizing device for dislocated joint between toe and foot with manipulation</t>
  </si>
  <si>
    <t xml:space="preserve"> Treatment of dislocated joint between toe and foot</t>
  </si>
  <si>
    <t xml:space="preserve"> Closed treatment of dislocated joint in toe</t>
  </si>
  <si>
    <t xml:space="preserve"> Closed treatment of dislocated joint in toe under anesthesia</t>
  </si>
  <si>
    <t xml:space="preserve"> Placement of stabilizing device for dislocated toe joint</t>
  </si>
  <si>
    <t xml:space="preserve"> Treatment of dislocated toe joint</t>
  </si>
  <si>
    <t xml:space="preserve"> Fusion of all bones of ankle and hindfoot</t>
  </si>
  <si>
    <t xml:space="preserve"> Fusion of 3 bones of ankle</t>
  </si>
  <si>
    <t xml:space="preserve"> Fusion of foot below ankle</t>
  </si>
  <si>
    <t xml:space="preserve"> Fusion of multiple foot joints</t>
  </si>
  <si>
    <t xml:space="preserve"> Fusion of multiple foot joints with bone incision to correct a foot deformity</t>
  </si>
  <si>
    <t xml:space="preserve"> Fusion of upper part of foot and lengthening of tendon</t>
  </si>
  <si>
    <t xml:space="preserve"> Fusion of foot in midfoot region</t>
  </si>
  <si>
    <t xml:space="preserve"> Fusion of big toe at joint with foot</t>
  </si>
  <si>
    <t xml:space="preserve"> Fusion of big toe between toe joints</t>
  </si>
  <si>
    <t xml:space="preserve"> Fusion of big toe between toe joints with tendon transfer</t>
  </si>
  <si>
    <t xml:space="preserve"> Amputation of foot across instep</t>
  </si>
  <si>
    <t xml:space="preserve"> Amputation of toe and midfoot bone</t>
  </si>
  <si>
    <t xml:space="preserve"> Amputation of toe at joint between forefoot and toes</t>
  </si>
  <si>
    <t xml:space="preserve"> Amputation of toe at toe joint</t>
  </si>
  <si>
    <t xml:space="preserve"> Shock wave therapy to arch of foot using ultrasound guidance under anesthesia</t>
  </si>
  <si>
    <t xml:space="preserve"> Application of halo type body cast</t>
  </si>
  <si>
    <t xml:space="preserve"> Application of jacket type body cast</t>
  </si>
  <si>
    <t xml:space="preserve"> Application of jacket type body cast including head</t>
  </si>
  <si>
    <t xml:space="preserve"> Application of shoulder to hip body cast</t>
  </si>
  <si>
    <t xml:space="preserve"> Application of shoulder to hip body cast including head</t>
  </si>
  <si>
    <t xml:space="preserve"> Application of shoulder to hip body cast and thigh</t>
  </si>
  <si>
    <t xml:space="preserve"> Application of shoulder to hip body cast and both thighs</t>
  </si>
  <si>
    <t xml:space="preserve"> Application of figure-of-eight cast</t>
  </si>
  <si>
    <t xml:space="preserve"> Application of shoulder spica cast</t>
  </si>
  <si>
    <t xml:space="preserve"> Application of plaster Velpeau cast to upper forearm and shoulder</t>
  </si>
  <si>
    <t xml:space="preserve"> Application of shoulder to hand cast</t>
  </si>
  <si>
    <t xml:space="preserve"> Application of elbow to finger cast</t>
  </si>
  <si>
    <t xml:space="preserve"> Application of hand and lower forearm cast</t>
  </si>
  <si>
    <t xml:space="preserve"> Application of finger cast</t>
  </si>
  <si>
    <t xml:space="preserve"> Application of lower and upper arm splint</t>
  </si>
  <si>
    <t xml:space="preserve"> Application of nonmoveable forearm to hand splint</t>
  </si>
  <si>
    <t xml:space="preserve"> Application of moveable or hinged forearm to hand splint</t>
  </si>
  <si>
    <t xml:space="preserve"> Application of nonmoveable finger splint</t>
  </si>
  <si>
    <t xml:space="preserve"> Application of hinged finger splint</t>
  </si>
  <si>
    <t xml:space="preserve"> Placement of strapping to chest</t>
  </si>
  <si>
    <t xml:space="preserve"> Placement of strapping to shoulder</t>
  </si>
  <si>
    <t xml:space="preserve"> Placement of strapping to elbow or wrist</t>
  </si>
  <si>
    <t xml:space="preserve"> Placement of strapping to hand or finger</t>
  </si>
  <si>
    <t xml:space="preserve"> Application of hip spica cast on leg</t>
  </si>
  <si>
    <t xml:space="preserve"> Application of hip spica cast on both legs, or on leg and part of other leg</t>
  </si>
  <si>
    <t xml:space="preserve"> Application of long leg cast from thigh to toe</t>
  </si>
  <si>
    <t xml:space="preserve"> Application of walking cast covering thigh to toe</t>
  </si>
  <si>
    <t xml:space="preserve"> Application of long leg brace-type cast from thigh to toe</t>
  </si>
  <si>
    <t xml:space="preserve"> Application of thigh to lower leg cylinder cast</t>
  </si>
  <si>
    <t xml:space="preserve"> Application of short leg cast</t>
  </si>
  <si>
    <t xml:space="preserve"> Application of walking cast covering below knee to toe</t>
  </si>
  <si>
    <t xml:space="preserve"> Application of kneecap tendon bearing cast</t>
  </si>
  <si>
    <t xml:space="preserve"> Addition of walker to previously applied cast</t>
  </si>
  <si>
    <t xml:space="preserve"> Application of walking cast covering foot, ankle, and lower leg</t>
  </si>
  <si>
    <t xml:space="preserve"> Application of leg cast and manipulation of foot to treat deformity</t>
  </si>
  <si>
    <t xml:space="preserve"> Application of long leg splint from thigh to ankle or toe</t>
  </si>
  <si>
    <t xml:space="preserve"> Application of short leg splint from calf to foot</t>
  </si>
  <si>
    <t xml:space="preserve"> Placement of strapping to hip</t>
  </si>
  <si>
    <t xml:space="preserve"> Placement of strapping to knee</t>
  </si>
  <si>
    <t xml:space="preserve"> Placement of strapping to ankle or foot</t>
  </si>
  <si>
    <t xml:space="preserve"> Placement of strapping to toes</t>
  </si>
  <si>
    <t xml:space="preserve"> Strapping, Unna boot</t>
  </si>
  <si>
    <t xml:space="preserve"> Application of vein wound compression bandages on lower leg, ankle, and foot</t>
  </si>
  <si>
    <t xml:space="preserve"> Application of vein wound compression bandages on upper arm, forearm, hand, and fingers</t>
  </si>
  <si>
    <t xml:space="preserve"> Removal or cutting of gauntlet, boot, or body cast</t>
  </si>
  <si>
    <t xml:space="preserve"> Removal or cutting of full arm or leg cast</t>
  </si>
  <si>
    <t xml:space="preserve"> Removal or cutting of shoulder, hip spica, or jacket cast</t>
  </si>
  <si>
    <t xml:space="preserve"> Repair of spica, body cast, or jacket</t>
  </si>
  <si>
    <t xml:space="preserve"> Exam of skin surface by creation of opening in cast</t>
  </si>
  <si>
    <t xml:space="preserve"> Insertion of wedge in cast</t>
  </si>
  <si>
    <t xml:space="preserve"> Insertion of wedge in clubfoot cast</t>
  </si>
  <si>
    <t xml:space="preserve"> Diagnostic exam of jaw joint using an endoscope</t>
  </si>
  <si>
    <t xml:space="preserve"> Exam of jaw joint using an endoscope</t>
  </si>
  <si>
    <t xml:space="preserve"> Diagnostic exam of shoulder using an endoscope</t>
  </si>
  <si>
    <t xml:space="preserve"> Repair of shoulder joint capsule using an endoscope</t>
  </si>
  <si>
    <t xml:space="preserve"> Repair of shoulder socket using an endoscope</t>
  </si>
  <si>
    <t xml:space="preserve"> Removal of loose or foreign body in shoulder joint using an endoscope</t>
  </si>
  <si>
    <t xml:space="preserve"> Partial removal of shoulder joint lining using an endoscope</t>
  </si>
  <si>
    <t xml:space="preserve"> Removal of entire shoulder joint lining using an endoscope</t>
  </si>
  <si>
    <t xml:space="preserve"> Limited removal of abnormal shoulder joint tissue using endoscope</t>
  </si>
  <si>
    <t xml:space="preserve"> Removal of extensive shoulder joint tissue using an endoscope</t>
  </si>
  <si>
    <t xml:space="preserve"> Partial removal of collar bone at shoulder using an endoscope</t>
  </si>
  <si>
    <t xml:space="preserve"> Removal of shoulder scar tissue using an endoscope</t>
  </si>
  <si>
    <t xml:space="preserve"> Shaving of part of shoulder bone and repair of ligament using an endoscope</t>
  </si>
  <si>
    <t xml:space="preserve"> Repair of shoulder rotator cuff using an endoscope</t>
  </si>
  <si>
    <t xml:space="preserve"> Release of tendon connecting biceps muscle and shoulder using an endoscope</t>
  </si>
  <si>
    <t xml:space="preserve"> Diagnostic exam of elbow joint using an endoscope</t>
  </si>
  <si>
    <t xml:space="preserve"> Removal of loose or foreign body in elbow joint using an endoscope</t>
  </si>
  <si>
    <t xml:space="preserve"> Partial removal of elbow joint lining using an endoscope</t>
  </si>
  <si>
    <t xml:space="preserve"> Removal of entire elbow joint lining using an endoscope</t>
  </si>
  <si>
    <t xml:space="preserve"> Removal of elbow joint tissue using an endoscope</t>
  </si>
  <si>
    <t xml:space="preserve"> Removal of extensive damaged tissue from elbow joint using an endoscope</t>
  </si>
  <si>
    <t xml:space="preserve"> Diagnostic exam of wrist using an endoscope</t>
  </si>
  <si>
    <t xml:space="preserve"> Diagnostic exam, washing, and drainage of infected wrist using an endoscope</t>
  </si>
  <si>
    <t xml:space="preserve"> Partial removal of wrist joint lining using an endoscope</t>
  </si>
  <si>
    <t xml:space="preserve"> Removal of entire wrist joint lining using an endoscope</t>
  </si>
  <si>
    <t xml:space="preserve"> Removal or repair of wrist cartilage using an endoscope</t>
  </si>
  <si>
    <t xml:space="preserve"> Placement of internal stabilizing device using an endoscope to treat broken or unstable wrist</t>
  </si>
  <si>
    <t xml:space="preserve"> Release of wrist ligament using an endoscope</t>
  </si>
  <si>
    <t xml:space="preserve"> Treatment of broken knee joint using an endoscope</t>
  </si>
  <si>
    <t xml:space="preserve"> Treatment of broken knee joint with placement of stabilizing device using an endoscope</t>
  </si>
  <si>
    <t xml:space="preserve"> Treatment of broken upper portion of lower leg bone on side using an endoscope</t>
  </si>
  <si>
    <t xml:space="preserve"> Treatment of broken upper portion of lower leg bone on both sides using an endoscope</t>
  </si>
  <si>
    <t xml:space="preserve"> Diagnostic exam of hip using an endoscope</t>
  </si>
  <si>
    <t xml:space="preserve"> Removal of loose or foreign body in hip joint using an endoscope</t>
  </si>
  <si>
    <t xml:space="preserve"> Removal or shaving of hip joint socket cartilage using an endoscope</t>
  </si>
  <si>
    <t xml:space="preserve"> Removal of hip joint lining using an endoscope</t>
  </si>
  <si>
    <t xml:space="preserve"> Repair of knee cartilage and bone with patient-derived healthy cartilage transplant using an endoscope</t>
  </si>
  <si>
    <t xml:space="preserve"> Repair of knee cartilage and bone with donor cartilage graft using an endoscope</t>
  </si>
  <si>
    <t xml:space="preserve"> Repair of knee cartilage with donor cartilage graft using an endoscope</t>
  </si>
  <si>
    <t xml:space="preserve"> Diagnostic exam of knee using an endoscope</t>
  </si>
  <si>
    <t xml:space="preserve"> Exam, washing, and drainage of infected knee joint using an endoscope</t>
  </si>
  <si>
    <t xml:space="preserve"> Release of ligaments at outer side of knee joint using an endoscope</t>
  </si>
  <si>
    <t xml:space="preserve"> Removal of loose or foreign body in knee joint using an endoscope</t>
  </si>
  <si>
    <t xml:space="preserve"> Partial removal of knee joint lining using an endoscope</t>
  </si>
  <si>
    <t xml:space="preserve"> Removal of joint lining from multiple knee joint compartments using an endoscope</t>
  </si>
  <si>
    <t xml:space="preserve"> Removal or shaving of knee joint cartilage using an endoscope</t>
  </si>
  <si>
    <t xml:space="preserve"> Repair of knee joint with drilling and or scraping of joint using an endoscope</t>
  </si>
  <si>
    <t xml:space="preserve"> Removal of both knee cartilages using an endoscope</t>
  </si>
  <si>
    <t xml:space="preserve"> Removal of knee cartilage using an endoscope</t>
  </si>
  <si>
    <t xml:space="preserve"> Repair of inside or outside knee joint cartilage using an endoscope</t>
  </si>
  <si>
    <t xml:space="preserve"> Repair of inside and outside knee joint cartilage using an endoscope</t>
  </si>
  <si>
    <t xml:space="preserve"> Removal of scar tissue from knee using an endoscope</t>
  </si>
  <si>
    <t xml:space="preserve"> Repair of knee joint with bone graft using an endoscope</t>
  </si>
  <si>
    <t xml:space="preserve"> Repair of knee joint by drilling cartilage using an endoscope</t>
  </si>
  <si>
    <t xml:space="preserve"> Repair of knee joint with bone graft and internal stabilizing device using an endoscope</t>
  </si>
  <si>
    <t xml:space="preserve"> Repair of anterior cruciate ligament of knee using an endoscope</t>
  </si>
  <si>
    <t xml:space="preserve"> Repair of posterior cruciate ligament of knee using an endoscope</t>
  </si>
  <si>
    <t xml:space="preserve"> Removal of shin and/or ankle bone defect using an endoscope</t>
  </si>
  <si>
    <t xml:space="preserve"> Removal of large shin or ankle bone defect using an endoscope</t>
  </si>
  <si>
    <t xml:space="preserve"> Repair of fibrous tissue of arch of foot using an endoscope</t>
  </si>
  <si>
    <t xml:space="preserve"> Removal of loose or foreign body in ankle using an endoscope</t>
  </si>
  <si>
    <t xml:space="preserve"> Partial removal of ankle joint lining using an endoscope</t>
  </si>
  <si>
    <t xml:space="preserve"> Removal of limited dead or infected tissue using an endoscope</t>
  </si>
  <si>
    <t xml:space="preserve"> Removal of extensive dead or infected tissue using an endoscope</t>
  </si>
  <si>
    <t xml:space="preserve"> Fusion of ankle joint using an endoscope</t>
  </si>
  <si>
    <t xml:space="preserve"> Biopsy of lining of joint of finger using an endoscope</t>
  </si>
  <si>
    <t xml:space="preserve"> Removal of dead or infected finger joint tissue using an endoscope</t>
  </si>
  <si>
    <t xml:space="preserve"> Treatment of displaced finger joint ligament using an endoscope</t>
  </si>
  <si>
    <t xml:space="preserve"> Removal of loose or foreign body in ankle joint at heel bones using an endoscope</t>
  </si>
  <si>
    <t xml:space="preserve"> Removal of lining of ankle joint using an endoscope</t>
  </si>
  <si>
    <t xml:space="preserve"> Removal of dead or infected ankle joint tissue using an endoscope</t>
  </si>
  <si>
    <t xml:space="preserve"> Fusion of foot joint using an endoscope</t>
  </si>
  <si>
    <t xml:space="preserve"> Reshaping of thigh bone at hip joint using an endoscope</t>
  </si>
  <si>
    <t xml:space="preserve"> Reshaping of hip socket using an endoscope</t>
  </si>
  <si>
    <t xml:space="preserve"> Repair of hip joint socket cartilage using an endoscope</t>
  </si>
  <si>
    <t xml:space="preserve"> Drainage of abscess or blood accumulation of nose</t>
  </si>
  <si>
    <t xml:space="preserve"> Drainage of abscess or blood accumulation of nasal cartilage</t>
  </si>
  <si>
    <t xml:space="preserve"> Biopsy of lining of nose</t>
  </si>
  <si>
    <t xml:space="preserve"> Simple removal of nasal polyp</t>
  </si>
  <si>
    <t xml:space="preserve"> Extensive removal of nasal polyp</t>
  </si>
  <si>
    <t xml:space="preserve"> Removal or destruction of growth of nose through nose</t>
  </si>
  <si>
    <t xml:space="preserve"> Removal or destruction of growth of nose</t>
  </si>
  <si>
    <t xml:space="preserve"> Removal or scraping of skin on nose</t>
  </si>
  <si>
    <t xml:space="preserve"> Simple removal of cyst and skin growth of nose</t>
  </si>
  <si>
    <t xml:space="preserve"> Removal of growth under nasal bone or cartilage</t>
  </si>
  <si>
    <t xml:space="preserve"> Removal of nasal air passage</t>
  </si>
  <si>
    <t xml:space="preserve"> Removal of nasal air passage under lining tissue</t>
  </si>
  <si>
    <t xml:space="preserve"> Partial removal of nose</t>
  </si>
  <si>
    <t xml:space="preserve"> Removal of nose</t>
  </si>
  <si>
    <t xml:space="preserve"> Injection of medication into nasal air passage</t>
  </si>
  <si>
    <t xml:space="preserve"> Irrigation and drainage of sinus</t>
  </si>
  <si>
    <t xml:space="preserve"> Insertion of implant to close nasal passage</t>
  </si>
  <si>
    <t xml:space="preserve"> Removal of foreign body in nose</t>
  </si>
  <si>
    <t xml:space="preserve"> Removal of foreign body in nose under anesthesia</t>
  </si>
  <si>
    <t xml:space="preserve"> Removal of foreign body in nose by incision</t>
  </si>
  <si>
    <t xml:space="preserve"> Reshaping of tip of nose</t>
  </si>
  <si>
    <t xml:space="preserve"> Reshaping of bone, cartilage, and/or tip of nose</t>
  </si>
  <si>
    <t xml:space="preserve"> Reshaping of bony cartilage dividing nasal passages</t>
  </si>
  <si>
    <t xml:space="preserve"> Revision to reshape nose or small amount of tip of nose after previous repair</t>
  </si>
  <si>
    <t xml:space="preserve"> Revision to reshape nasal bones after previous repair</t>
  </si>
  <si>
    <t xml:space="preserve"> Revision to reshape nasal bones and tip of nose after previous repair</t>
  </si>
  <si>
    <t xml:space="preserve"> Revision of congenital nasal defect to lengthen tip of nose</t>
  </si>
  <si>
    <t xml:space="preserve"> Revision of congenital nasal defect with lengthening of tip of nose</t>
  </si>
  <si>
    <t xml:space="preserve"> Repair of nasal passage</t>
  </si>
  <si>
    <t xml:space="preserve"> Repair of collapsed nostril using implant in side of nose</t>
  </si>
  <si>
    <t xml:space="preserve"> Repair of collapsed nasal valve</t>
  </si>
  <si>
    <t xml:space="preserve"> Reshaping of nasal cartilage</t>
  </si>
  <si>
    <t xml:space="preserve"> Repair of nasal passage through nose</t>
  </si>
  <si>
    <t xml:space="preserve"> Repair of nasal passages through palate</t>
  </si>
  <si>
    <t xml:space="preserve"> Release of nasal scar tissue</t>
  </si>
  <si>
    <t xml:space="preserve"> Repair of abnormal drainage tract between nasal sinuses</t>
  </si>
  <si>
    <t xml:space="preserve"> Repair of abnormal drainage tract between mouth and nasal cavity</t>
  </si>
  <si>
    <t xml:space="preserve"> Reconstruction of lining of nasal passage with graft</t>
  </si>
  <si>
    <t xml:space="preserve"> Repair of openings of nasal cartilage</t>
  </si>
  <si>
    <t xml:space="preserve"> Destruction of soft tissue of nasal passages</t>
  </si>
  <si>
    <t xml:space="preserve"> Destruction of surface soft tissue of nasal passages</t>
  </si>
  <si>
    <t xml:space="preserve"> Simple control of nose bleed</t>
  </si>
  <si>
    <t xml:space="preserve"> Complex control of nose bleed</t>
  </si>
  <si>
    <t xml:space="preserve"> Initial control of nose bleed and insertion of packing</t>
  </si>
  <si>
    <t xml:space="preserve"> Subsequent control of nosebleed and insertion of packing</t>
  </si>
  <si>
    <t xml:space="preserve"> Tying of ethmoidal artery ethmoidal for control of nose bleed</t>
  </si>
  <si>
    <t xml:space="preserve"> Tying of internal nasal artery for control of nose bleed</t>
  </si>
  <si>
    <t xml:space="preserve"> Therapeutic fracture of nasal passages</t>
  </si>
  <si>
    <t xml:space="preserve"> Other procedure on nose</t>
  </si>
  <si>
    <t xml:space="preserve"> Irrigation of nasal sinus</t>
  </si>
  <si>
    <t xml:space="preserve"> Irrigation of sphenoid nasal sinus</t>
  </si>
  <si>
    <t xml:space="preserve"> Incision of nasal sinus through nose</t>
  </si>
  <si>
    <t xml:space="preserve"> Creation of window into nasal sinus</t>
  </si>
  <si>
    <t xml:space="preserve"> Removal of nasal sinus polyp</t>
  </si>
  <si>
    <t xml:space="preserve"> Incision through sinus at cheek bone to reach nerve and blood vessel</t>
  </si>
  <si>
    <t xml:space="preserve"> Incision of sphenoid nasal sinus</t>
  </si>
  <si>
    <t xml:space="preserve"> Removal of nasal polyps</t>
  </si>
  <si>
    <t xml:space="preserve"> Simple incision of frontal nasal sinus</t>
  </si>
  <si>
    <t xml:space="preserve"> Incision of nasal sinus of side of face</t>
  </si>
  <si>
    <t xml:space="preserve"> Insertion of material to stop growth of nasal sinus lining through eyebrow</t>
  </si>
  <si>
    <t xml:space="preserve"> Insertion of material to stop growth of nasal sinus lining through forehead</t>
  </si>
  <si>
    <t xml:space="preserve"> Insertion of material to stop growth of nasal sinus lining with bone flap through eyebrow</t>
  </si>
  <si>
    <t xml:space="preserve"> Insertion of material to stop growth of nasal sinus lining with bone flap through forehead</t>
  </si>
  <si>
    <t xml:space="preserve"> Incision of eyebrow and placement of bone flap to drain frontal nasal sinus</t>
  </si>
  <si>
    <t xml:space="preserve"> Incision of forehead and placement of bone flap to drain frontal nasal sinus</t>
  </si>
  <si>
    <t xml:space="preserve"> Removal of tissue or growths in 3 or more nasal sinuses on side of face</t>
  </si>
  <si>
    <t xml:space="preserve"> Partial removal of nasal sinus</t>
  </si>
  <si>
    <t xml:space="preserve"> Removal of nasal sinus from within nasal passage</t>
  </si>
  <si>
    <t xml:space="preserve"> Removal of nasal sinus from outside nasal passage</t>
  </si>
  <si>
    <t xml:space="preserve"> Removal of nasal sinus</t>
  </si>
  <si>
    <t xml:space="preserve"> Diagnostic exam of nasal passages using an endoscope</t>
  </si>
  <si>
    <t xml:space="preserve"> Exam of nasal passage and sinus using an endoscope</t>
  </si>
  <si>
    <t xml:space="preserve"> Exam of nasal passage and sphenoid sinus using an endoscope</t>
  </si>
  <si>
    <t xml:space="preserve"> Biopsy or removal of nasal polyp or tissue using an endoscope</t>
  </si>
  <si>
    <t xml:space="preserve"> Control of bleeding of nose using an endoscope</t>
  </si>
  <si>
    <t xml:space="preserve"> Incision of tear duct using an endoscope</t>
  </si>
  <si>
    <t xml:space="preserve"> Removal of nasal breathing passages using an endoscope</t>
  </si>
  <si>
    <t xml:space="preserve"> Tying of sphenopalatine artery using an endoscope</t>
  </si>
  <si>
    <t xml:space="preserve"> Destruction of nasal nerve by heat using an endoscope</t>
  </si>
  <si>
    <t xml:space="preserve"> Destruction of nasal nerve by freezing using an endoscope</t>
  </si>
  <si>
    <t xml:space="preserve"> Complete exam of nose and sinuses using an endoscope</t>
  </si>
  <si>
    <t xml:space="preserve"> Partial removal of nasal sinus using an endoscope</t>
  </si>
  <si>
    <t xml:space="preserve"> Removal of nasal sinus using an endoscope</t>
  </si>
  <si>
    <t xml:space="preserve"> Incision of nasal sinus using an endoscope</t>
  </si>
  <si>
    <t xml:space="preserve"> Exam of nose and sinus with removal of nasal sinus using an endoscope</t>
  </si>
  <si>
    <t xml:space="preserve"> Removal of tissue from sphenoid sinus using an endoscope</t>
  </si>
  <si>
    <t xml:space="preserve"> Removal of nasal sinus tissue using an endoscope</t>
  </si>
  <si>
    <t xml:space="preserve"> Exploration of nasal sinus using an endoscope</t>
  </si>
  <si>
    <t xml:space="preserve"> Incision of sphenoid nasal sinus using an endoscope</t>
  </si>
  <si>
    <t xml:space="preserve"> Removal of sphenoid nasal sinus tissue using an endoscope</t>
  </si>
  <si>
    <t xml:space="preserve"> Decompression of medial or inferior wall of eye socket using an endoscope</t>
  </si>
  <si>
    <t xml:space="preserve"> Decompression of medial and inferior wall of eye socket using an endoscope</t>
  </si>
  <si>
    <t xml:space="preserve"> Decompression of optic nerve using an endoscope</t>
  </si>
  <si>
    <t xml:space="preserve"> Dilation of nasal sinus using an endoscope</t>
  </si>
  <si>
    <t xml:space="preserve"> Dilation of frontal nasal sinus using an endoscope</t>
  </si>
  <si>
    <t xml:space="preserve"> Dilation of sphenoid nasal sinus using an endoscope</t>
  </si>
  <si>
    <t xml:space="preserve"> Dilation of sphenoid and frontal nasal sinus using an endoscope</t>
  </si>
  <si>
    <t xml:space="preserve"> Removal of vocal cord growth or cartilage attachment</t>
  </si>
  <si>
    <t xml:space="preserve"> Removal or repair of voice box cartilage</t>
  </si>
  <si>
    <t xml:space="preserve"> Removal of cartilage attaching tongue</t>
  </si>
  <si>
    <t xml:space="preserve"> Emergent insertion of breathing tube into windpipe using an endoscope</t>
  </si>
  <si>
    <t xml:space="preserve"> Change of breathing tube in windpipe</t>
  </si>
  <si>
    <t xml:space="preserve"> Diagnostic exam of voice box using an endoscope with mirror</t>
  </si>
  <si>
    <t xml:space="preserve"> Biopsy of voice box using an endoscope with mirror</t>
  </si>
  <si>
    <t xml:space="preserve"> Removal of foreign body in voice box using an endoscope with mirror</t>
  </si>
  <si>
    <t xml:space="preserve"> Removal of growth of voice box using an endoscope with mirror</t>
  </si>
  <si>
    <t xml:space="preserve"> Injection of vocal cord using an endoscope with mirror</t>
  </si>
  <si>
    <t xml:space="preserve"> Aspiration of voice box using an endoscope</t>
  </si>
  <si>
    <t xml:space="preserve"> Diagnostic exam of voice box using an endoscope, newborn</t>
  </si>
  <si>
    <t xml:space="preserve"> Diagnostic exam of voice box using an endoscope</t>
  </si>
  <si>
    <t xml:space="preserve"> Diagnostic exam of voice box using an endoscope with operating microscope or telescope</t>
  </si>
  <si>
    <t xml:space="preserve"> Insertion of device to close opening of voice box using an endoscope</t>
  </si>
  <si>
    <t xml:space="preserve"> Initial dilation of voice box using an endoscope</t>
  </si>
  <si>
    <t xml:space="preserve"> Subsequent dilation of voice box using an endoscope</t>
  </si>
  <si>
    <t xml:space="preserve"> Removal of foreign body in voice box using an endoscope</t>
  </si>
  <si>
    <t xml:space="preserve"> Removal of foreign body in voice box using an endoscope with operating microscope or telescope</t>
  </si>
  <si>
    <t xml:space="preserve"> Biopsy of voice box using an endoscope</t>
  </si>
  <si>
    <t xml:space="preserve"> Biopsy of voice box using an endoscope with operating microscope or telescope</t>
  </si>
  <si>
    <t xml:space="preserve"> Removal of growth of throat and/or stripping of vocal cords using an endoscope</t>
  </si>
  <si>
    <t xml:space="preserve"> Removal of growth of tongue and/or stripping of vocal cord using an endoscope with operating microscope or telescope</t>
  </si>
  <si>
    <t xml:space="preserve"> Removal of vocal cord growths and reconstruction with local tissue flap using an endoscope with operating microscope or telescope</t>
  </si>
  <si>
    <t xml:space="preserve"> Removal of vocal cord growths and reconstruction with graft using an endoscope with operating microscope or telescope</t>
  </si>
  <si>
    <t xml:space="preserve"> Repair of narrowed voice box with graft (younger than 12 years)</t>
  </si>
  <si>
    <t xml:space="preserve"> Repair of narrowed voice box with graft (12 years or older)</t>
  </si>
  <si>
    <t xml:space="preserve"> Repair of narrowed voice box with graft and placement of indwelling stent (younger than 12 years)</t>
  </si>
  <si>
    <t xml:space="preserve"> Repair of narrowed voice box with graft and placement of indwelling stent (12 years or older)</t>
  </si>
  <si>
    <t xml:space="preserve"> Removal of voice box cartilage using an endoscope</t>
  </si>
  <si>
    <t xml:space="preserve"> Removal of voice box cartilage using an endoscope with operating microscope or telescope</t>
  </si>
  <si>
    <t xml:space="preserve"> Injection into vocal cords using an endoscope</t>
  </si>
  <si>
    <t xml:space="preserve"> Injection into vocal cords using an endoscope with operating microscope or telescope</t>
  </si>
  <si>
    <t xml:space="preserve"> Removal or destruction of growth of side of voice box using an endoscope</t>
  </si>
  <si>
    <t xml:space="preserve"> Injection of drug into side of voice box using an endoscope</t>
  </si>
  <si>
    <t xml:space="preserve"> Injection of substance to augment voice box using an endoscope</t>
  </si>
  <si>
    <t xml:space="preserve"> Diagnostic exam of voice box using a flexible endoscope</t>
  </si>
  <si>
    <t xml:space="preserve"> Biopsy of voice box using a flexible endoscope</t>
  </si>
  <si>
    <t xml:space="preserve"> Removal of foreign body in voice box using a flexible endoscope</t>
  </si>
  <si>
    <t xml:space="preserve"> Removal of growth of voice box using an endoscope</t>
  </si>
  <si>
    <t xml:space="preserve"> Exam to assess movement of vocal cord flaps using an endoscope</t>
  </si>
  <si>
    <t xml:space="preserve"> Repair of congenital vocal cord defect with insertion of indwelling stent</t>
  </si>
  <si>
    <t xml:space="preserve"> Incision of voice box to repair fracture</t>
  </si>
  <si>
    <t xml:space="preserve"> Repair of split of voice box</t>
  </si>
  <si>
    <t xml:space="preserve"> Relocation of nerve and muscle to restore voice box function</t>
  </si>
  <si>
    <t xml:space="preserve"> Repair of side of voice box by moving vocal cord to middle</t>
  </si>
  <si>
    <t xml:space="preserve"> Partial removal of windpipe and cartilage</t>
  </si>
  <si>
    <t xml:space="preserve"> Incision of windpipe for insertion of breathing tube (older than 2 years)</t>
  </si>
  <si>
    <t xml:space="preserve"> Incision of windpipe for insertion of breathing tube (2 years or younger)</t>
  </si>
  <si>
    <t xml:space="preserve"> Emergent incision of windpipe through neck for insertion of breathing tube</t>
  </si>
  <si>
    <t xml:space="preserve"> Emergent incision of windpipe for insertion of breathing tube</t>
  </si>
  <si>
    <t xml:space="preserve"> Creation of permanent opening of windpipe for breathing</t>
  </si>
  <si>
    <t xml:space="preserve"> Creation of opening of windpipe and insertion of speech prosthesis</t>
  </si>
  <si>
    <t xml:space="preserve"> Puncture of windpipe for aspiration and/or injection</t>
  </si>
  <si>
    <t xml:space="preserve"> Simple revision of permanent opening of windpipe for breathing</t>
  </si>
  <si>
    <t xml:space="preserve"> Revision of permanent opening of windpipe for breathing with flap rotation</t>
  </si>
  <si>
    <t xml:space="preserve"> Exam of windpipe and lung airways through permanent windpipe opening using an endoscope</t>
  </si>
  <si>
    <t xml:space="preserve"> Diagnostic exam of lung airway using an endoscope</t>
  </si>
  <si>
    <t xml:space="preserve"> Exam of lung airways using an endoscope</t>
  </si>
  <si>
    <t xml:space="preserve"> Irrigation and suction of lung airways to obtain cells using an endoscope</t>
  </si>
  <si>
    <t xml:space="preserve"> Biopsy of lung airway using an endoscope</t>
  </si>
  <si>
    <t xml:space="preserve"> Placement of radiation therapy markers into lung airways using an endoscope</t>
  </si>
  <si>
    <t xml:space="preserve"> Computer-assisted image-guided navigation of lung airways using an endoscope</t>
  </si>
  <si>
    <t xml:space="preserve"> Biopsy of lobe of lung using an endoscope, 1 lobe</t>
  </si>
  <si>
    <t xml:space="preserve"> Needle biopsy of windpipe cartilage, airway, and/or lung using an endoscope</t>
  </si>
  <si>
    <t xml:space="preserve"> Dilation of windpipe cartilage or treatment of broken windpipe cartilage using an endoscope</t>
  </si>
  <si>
    <t xml:space="preserve"> Placement of stent into windpipe using an endoscope</t>
  </si>
  <si>
    <t xml:space="preserve"> Biopsy of lobe of lung using an endoscope, each additional lobe</t>
  </si>
  <si>
    <t xml:space="preserve"> Needle biopsy of lobe of lung using an endoscope, each additional lobe</t>
  </si>
  <si>
    <t xml:space="preserve"> Exam of lung airways with repair of air leak using an endoscope</t>
  </si>
  <si>
    <t xml:space="preserve"> Removal of foreign body in lung airways using an endoscope</t>
  </si>
  <si>
    <t xml:space="preserve"> Placement of stent in lung airway using an endoscope, first stent</t>
  </si>
  <si>
    <t xml:space="preserve"> Placement of stent in lung airway using an endoscope, each additional stent</t>
  </si>
  <si>
    <t xml:space="preserve"> Revision of previously inserted lung airway stent using an endoscope</t>
  </si>
  <si>
    <t xml:space="preserve"> Removal of growth of lung airways using an endoscope</t>
  </si>
  <si>
    <t xml:space="preserve"> Destruction of growth or narrowing of lung airway using an endoscope</t>
  </si>
  <si>
    <t xml:space="preserve"> Placement of tube for radiation delivery in lung airway using an endoscope</t>
  </si>
  <si>
    <t xml:space="preserve"> Aspiration of initial secretion of lung airway using an endoscope</t>
  </si>
  <si>
    <t xml:space="preserve"> Aspiration of subsequent secretions of lung airway using an endoscope during same hospital stay</t>
  </si>
  <si>
    <t xml:space="preserve"> Assessment of initial lobe of lung for air leak and airway sizing with insertion of bronchial valve in lung airway using an endoscope</t>
  </si>
  <si>
    <t xml:space="preserve"> Removal of bronchial valves of lung airways of lobe of lung using an endoscope, initial lobe</t>
  </si>
  <si>
    <t xml:space="preserve"> Removal of bronchial valves of lung airways of lobe of lung using an endoscope, each additional lobe</t>
  </si>
  <si>
    <t xml:space="preserve"> Assessment of air leak and airway sizing with insertion of bronchial valve in lung airway using an endoscope, each additional lobe</t>
  </si>
  <si>
    <t xml:space="preserve"> Exam of lung airways and sampling of lymph nodes using an endoscope and ultrasound guidance, 1-2 lymph nodes</t>
  </si>
  <si>
    <t xml:space="preserve"> Exam of lung airways and sampling of lymph nodes using an endoscope and ultrasound guidance, 3 or more lymph nodes</t>
  </si>
  <si>
    <t xml:space="preserve"> Exam of lung airways with diagnostic or therapeutic procedure on growths using an endoscope and ultrasound</t>
  </si>
  <si>
    <t xml:space="preserve"> Insertion of tube into airway of lung for biopsy</t>
  </si>
  <si>
    <t xml:space="preserve"> Insertion of tube into airway for aspiration of secretions</t>
  </si>
  <si>
    <t xml:space="preserve"> Insertion of needle wire dilator or indwelling tube for oxygen therapy</t>
  </si>
  <si>
    <t xml:space="preserve"> Repair of windpipe cartilage through neck</t>
  </si>
  <si>
    <t xml:space="preserve"> Creation of drainage tract from throat to windpipe</t>
  </si>
  <si>
    <t xml:space="preserve"> Removal of growth of windpipe cartilage</t>
  </si>
  <si>
    <t xml:space="preserve"> Closure of permanent windpipe opening or abnormal drainage tract</t>
  </si>
  <si>
    <t xml:space="preserve"> Closure of permanent windpipe opening or abnormal drainage tract with plastic repair</t>
  </si>
  <si>
    <t xml:space="preserve"> Revision of permanent windpipe opening scar</t>
  </si>
  <si>
    <t xml:space="preserve"> Needle biopsy of lining of lung</t>
  </si>
  <si>
    <t xml:space="preserve"> Core needle biopsy of lung or center cavity of chest (mediastinum), accessed through skin</t>
  </si>
  <si>
    <t xml:space="preserve"> Insertion of indwelling tube for drainage of lung fluid</t>
  </si>
  <si>
    <t xml:space="preserve"> Removal of fluid from between lung and chest cavity</t>
  </si>
  <si>
    <t xml:space="preserve"> Removal of indwelling tube in lining of lung</t>
  </si>
  <si>
    <t xml:space="preserve"> Insertion of device in chest cavity for radiation therapy guidance</t>
  </si>
  <si>
    <t xml:space="preserve"> Aspiration of fluid from chest cavity</t>
  </si>
  <si>
    <t xml:space="preserve"> Aspiration of fluid from chest cavity using imaging guidance</t>
  </si>
  <si>
    <t xml:space="preserve"> Drainage of fluid from chest cavity with insertion of indwelling tube</t>
  </si>
  <si>
    <t xml:space="preserve"> Drainage of fluid from chest cavity with insertion of indwelling tube using imaging guidance</t>
  </si>
  <si>
    <t xml:space="preserve"> Diagnostic exam of lungs, heart sac, chest cavity, or lung lining using an endoscope</t>
  </si>
  <si>
    <t xml:space="preserve"> Biopsy of heart sac using an endoscope</t>
  </si>
  <si>
    <t xml:space="preserve"> Biopsy of tissue of chest using an endoscope</t>
  </si>
  <si>
    <t xml:space="preserve"> Injection of air into chest cavity to collapse lung</t>
  </si>
  <si>
    <t xml:space="preserve"> Destruction of growth of lung using extreme cold</t>
  </si>
  <si>
    <t xml:space="preserve"> Destruction of growth of lung using radiofrequency</t>
  </si>
  <si>
    <t xml:space="preserve"> Drainage of heart sac using imaging guidance</t>
  </si>
  <si>
    <t xml:space="preserve"> Insertion of pacemaker and upper heart chamber electrode</t>
  </si>
  <si>
    <t xml:space="preserve"> Insertion of pacemaker and lower heart chamber electrode</t>
  </si>
  <si>
    <t xml:space="preserve"> Insertion of pacemaker and upper and lower heart chamber electrode</t>
  </si>
  <si>
    <t xml:space="preserve"> Insertion of temporary pacemaker lead in single heart chamber</t>
  </si>
  <si>
    <t xml:space="preserve"> Insertion of temporary pacemaker lead in upper and lower heart chambers</t>
  </si>
  <si>
    <t xml:space="preserve"> Insertion of pacemaker pulse generator with existing single lead</t>
  </si>
  <si>
    <t xml:space="preserve"> Insertion of pacemaker pulse generator with existing dual leads</t>
  </si>
  <si>
    <t xml:space="preserve"> Insertion of 2 chamber pacemaker system</t>
  </si>
  <si>
    <t xml:space="preserve"> Repositioning of pacemaker or defibrillator electrode</t>
  </si>
  <si>
    <t xml:space="preserve"> Insertion of 1 electrode for permanent pacemaker or defibrillator</t>
  </si>
  <si>
    <t xml:space="preserve"> Insertion of 2 electrodes for permanent pacemaker or defibrillator</t>
  </si>
  <si>
    <t xml:space="preserve"> Repair of electrode for permanent pacemaker or defibrillator</t>
  </si>
  <si>
    <t xml:space="preserve"> Repair of 2 electrodes for permanent pacemaker or defibrillator</t>
  </si>
  <si>
    <t xml:space="preserve"> Insertion of pacemaker pulse generator with existing multiple leads</t>
  </si>
  <si>
    <t xml:space="preserve"> Relocation of pacemaker skin pocket</t>
  </si>
  <si>
    <t xml:space="preserve"> Relocation of defibrillator skin pocket</t>
  </si>
  <si>
    <t xml:space="preserve"> Insertion of left lower heart electrode and attachment to pacemaker or defibrillator</t>
  </si>
  <si>
    <t xml:space="preserve"> Insertion of left lower heart electrode for pacemaker or defibrillator</t>
  </si>
  <si>
    <t xml:space="preserve"> Repositioning of left lower heart electrode</t>
  </si>
  <si>
    <t xml:space="preserve"> Removal and replacement of single lead permanent pacemaker</t>
  </si>
  <si>
    <t xml:space="preserve"> Removal and replacement of dual lead permanent pacemaker</t>
  </si>
  <si>
    <t xml:space="preserve"> Removal and replacement of multiple lead permanent pacemaker</t>
  </si>
  <si>
    <t xml:space="preserve"> Insertion of defibrillator with existing dual leads</t>
  </si>
  <si>
    <t xml:space="preserve"> Insertion of defibrillator with existing multiple leads</t>
  </si>
  <si>
    <t xml:space="preserve"> Removal of permanent pacemaker pulse generator</t>
  </si>
  <si>
    <t xml:space="preserve"> Removal of single electrode from right heart</t>
  </si>
  <si>
    <t xml:space="preserve"> Removal of dual electrodes from right heart</t>
  </si>
  <si>
    <t xml:space="preserve"> Insertion of defibrillator with existing single lead</t>
  </si>
  <si>
    <t xml:space="preserve"> Removal of defibrillator</t>
  </si>
  <si>
    <t xml:space="preserve"> Removal of defibrillator electrodes through vein</t>
  </si>
  <si>
    <t xml:space="preserve"> Insertion of implantable defibrillator system</t>
  </si>
  <si>
    <t xml:space="preserve"> Removal and replacement of single lead defibrillator</t>
  </si>
  <si>
    <t xml:space="preserve"> Removal and replacement of dual lead defibrillator</t>
  </si>
  <si>
    <t xml:space="preserve"> Removal and replacement of multiple lead defibrillator</t>
  </si>
  <si>
    <t xml:space="preserve"> Insertion or replacement of defibrillator with electrode</t>
  </si>
  <si>
    <t xml:space="preserve"> Insertion of defibrillator electrode</t>
  </si>
  <si>
    <t xml:space="preserve"> Repositioning of defibrillator electrode</t>
  </si>
  <si>
    <t xml:space="preserve"> Insertion of permanent leadless pacemaker using imaging guidance</t>
  </si>
  <si>
    <t xml:space="preserve"> Removal of permanent leadless pacemaker using imaging guidance</t>
  </si>
  <si>
    <t xml:space="preserve"> Insertion of phrenic nerve stimulator generator and stimulating lead(s)</t>
  </si>
  <si>
    <t xml:space="preserve"> Insertion of phrenic nerve stimulator sensing lead</t>
  </si>
  <si>
    <t xml:space="preserve"> Removal of phrenic nerve stimulator generator and lead(s)</t>
  </si>
  <si>
    <t xml:space="preserve"> Removal of phrenic nerve stimulator stimulation or sensing lead(s)</t>
  </si>
  <si>
    <t xml:space="preserve"> Removal of phrenic nerve stimulator pulse generator</t>
  </si>
  <si>
    <t xml:space="preserve"> Repositioning of phrenic nerve stimulator lead(s)</t>
  </si>
  <si>
    <t xml:space="preserve"> Insertion of heart rhythm monitor under skin</t>
  </si>
  <si>
    <t xml:space="preserve"> Removal of heart rhythm monitor from under the skin</t>
  </si>
  <si>
    <t xml:space="preserve"> Removal and replacement of phrenic nerve stimulator pulse generator</t>
  </si>
  <si>
    <t xml:space="preserve"> Removal and replacement of phrenic nerve stimulator stimulation or sensing leads</t>
  </si>
  <si>
    <t xml:space="preserve"> Insertion of wireless pressure sensor into lung artery through tube with review by radiologist</t>
  </si>
  <si>
    <t xml:space="preserve"> Repair of mitral valve through the skin, additional prosthesis</t>
  </si>
  <si>
    <t xml:space="preserve"> Replacement of pulmonary valve</t>
  </si>
  <si>
    <t xml:space="preserve"> Harvest of vein using an endoscope</t>
  </si>
  <si>
    <t xml:space="preserve"> Incision of partition between upper chambers of heart to allow blood flow for congenital heart defects, via catheter using imaging guidance</t>
  </si>
  <si>
    <t xml:space="preserve"> Creation of shunt for blood flow within heart for congenital heart defects, via catheter using imaging guidance</t>
  </si>
  <si>
    <t xml:space="preserve"> Creation of additional shunt for blood flow within heart for congenital heart defects, via catheter using imaging guidance</t>
  </si>
  <si>
    <t xml:space="preserve"> Repair of aortic arch with graft</t>
  </si>
  <si>
    <t xml:space="preserve"> Placement of stent in pulmonary artery with normal anatomical connections, on one side of body</t>
  </si>
  <si>
    <t xml:space="preserve"> Placement of stent in pulmonary arteries with normal anatomical connections, on both sides of body</t>
  </si>
  <si>
    <t xml:space="preserve"> Placement of stent in pulmonary artery with abnormal anatomical connections, on one side of body</t>
  </si>
  <si>
    <t xml:space="preserve"> Placement of stent in pulmonary arteries with abnormal anatomical connections, on both sides of body</t>
  </si>
  <si>
    <t xml:space="preserve"> Insertion of right lower heart chamber blood flow assist device via vein accessed through skin, including radiological supervision and interpretation</t>
  </si>
  <si>
    <t xml:space="preserve"> Removal of right lower heart chamber blood flow assist device, accessed through skin</t>
  </si>
  <si>
    <t xml:space="preserve"> Removal of blood clot in artery of upper arm</t>
  </si>
  <si>
    <t xml:space="preserve"> Removal of blood clot in artery of groin and leg</t>
  </si>
  <si>
    <t xml:space="preserve"> Removal of blood clot in artery of lower leg</t>
  </si>
  <si>
    <t xml:space="preserve"> Removal of blood clot in vena cava, pelvic, or thigh vein</t>
  </si>
  <si>
    <t xml:space="preserve"> Removal of blood clot in upper chest vein</t>
  </si>
  <si>
    <t xml:space="preserve"> Removal of blood clot in underarm or upper chest vein</t>
  </si>
  <si>
    <t xml:space="preserve"> Exposure of groin artery for delivery of graft</t>
  </si>
  <si>
    <t xml:space="preserve"> Exposure of major groin artery with creation of conduit</t>
  </si>
  <si>
    <t xml:space="preserve"> Exposure of underarm or upper chest artery for delivery of prosthesis</t>
  </si>
  <si>
    <t xml:space="preserve"> Exposure of underarm or upper chest artery with creation of conduit</t>
  </si>
  <si>
    <t xml:space="preserve"> Repair of aneurysm or arm artery with graft</t>
  </si>
  <si>
    <t xml:space="preserve"> Repair of abnormal artery-vein connection of head and neck</t>
  </si>
  <si>
    <t xml:space="preserve"> Repair of blood vessel of neck</t>
  </si>
  <si>
    <t xml:space="preserve"> Repair of blood vessel of arm</t>
  </si>
  <si>
    <t xml:space="preserve"> Repair of blood vessel of hand or finger</t>
  </si>
  <si>
    <t xml:space="preserve"> Repair of blood vessel of leg</t>
  </si>
  <si>
    <t xml:space="preserve"> Repair of blood vessel of neck with vein graft</t>
  </si>
  <si>
    <t xml:space="preserve"> Repair of blood vessel of arm with vein graft</t>
  </si>
  <si>
    <t xml:space="preserve"> Repair of blood vessel of leg with vein graft</t>
  </si>
  <si>
    <t xml:space="preserve"> Repair of blood vessel of neck with graft</t>
  </si>
  <si>
    <t xml:space="preserve"> Repair of blood vessel of arm with graft</t>
  </si>
  <si>
    <t xml:space="preserve"> Repair of blood vessel of leg with graft</t>
  </si>
  <si>
    <t xml:space="preserve"> Removal of blood clot and portion of artery of upper arm</t>
  </si>
  <si>
    <t xml:space="preserve"> Harvest of upper arm vein segment</t>
  </si>
  <si>
    <t xml:space="preserve"> Harvest of upper leg to thigh vein segment</t>
  </si>
  <si>
    <t xml:space="preserve"> Exploration of arm or leg for bleeding, blood clot, or infection after surgery</t>
  </si>
  <si>
    <t xml:space="preserve"> Removal of blood clot of artery or vein graft</t>
  </si>
  <si>
    <t xml:space="preserve"> Removal of blood clot and revision of artery or vein graft</t>
  </si>
  <si>
    <t xml:space="preserve"> Revision of leg artery bypass with vein patch</t>
  </si>
  <si>
    <t xml:space="preserve"> Revision of leg artery bypass with placement of relocated vein</t>
  </si>
  <si>
    <t xml:space="preserve"> Removal of infected graft of arm or leg</t>
  </si>
  <si>
    <t xml:space="preserve"> Insertion of needle or tube into vein</t>
  </si>
  <si>
    <t xml:space="preserve"> Injection to cause blood clot in diseased or pseudoaneurysm of arm or leg</t>
  </si>
  <si>
    <t xml:space="preserve"> Injection for X-ray imaging procedure into vein of arm or leg</t>
  </si>
  <si>
    <t xml:space="preserve"> Insertion of tube into vena cava</t>
  </si>
  <si>
    <t xml:space="preserve"> Insertion of tube into vein, first order branch</t>
  </si>
  <si>
    <t xml:space="preserve"> Insertion of tube into vein, second order branch</t>
  </si>
  <si>
    <t xml:space="preserve"> Insertion of tube into right heart or main pulmonary artery</t>
  </si>
  <si>
    <t xml:space="preserve"> Insertion of tube into left or right pulmonary artery</t>
  </si>
  <si>
    <t xml:space="preserve"> Insertion of tube into artery of lobe of lung</t>
  </si>
  <si>
    <t xml:space="preserve"> Insertion of needle or tube into artery of neck or brain</t>
  </si>
  <si>
    <t xml:space="preserve"> Insertion of needle or tube into artery of arm or leg</t>
  </si>
  <si>
    <t xml:space="preserve"> Insertion of needle or tube into aorta</t>
  </si>
  <si>
    <t xml:space="preserve"> Insertion of tube into aorta</t>
  </si>
  <si>
    <t xml:space="preserve"> Insertion of tube into chest or arm artery, each first order branch</t>
  </si>
  <si>
    <t xml:space="preserve"> Insertion of tube into chest or arm artery, initial second order branch</t>
  </si>
  <si>
    <t xml:space="preserve"> Insertion of tube into chest or arm artery, initial third order branch</t>
  </si>
  <si>
    <t xml:space="preserve"> Insertion of tube into chest or arm artery, additional second, third order and beyond</t>
  </si>
  <si>
    <t xml:space="preserve"> Insertion of tube into chest aorta for diagnosis or treatment with review by radiologist</t>
  </si>
  <si>
    <t xml:space="preserve"> Insertion of tube into extracranial artery for diagnosis or treatment with review by radiologist</t>
  </si>
  <si>
    <t xml:space="preserve"> Insertion of tube into intracranial artery for diagnosis or treatment with review by radiologist</t>
  </si>
  <si>
    <t xml:space="preserve"> Insertion of tube into internal neck artery for diagnosis or treatment with review by radiologist</t>
  </si>
  <si>
    <t xml:space="preserve"> Insertion of tube into chest artery for diagnosis or treatment with review by radiologist</t>
  </si>
  <si>
    <t xml:space="preserve"> Insertion of tube into brain artery for diagnosis or treatment with review by radiologist</t>
  </si>
  <si>
    <t xml:space="preserve"> Insertion of tube into external neck artery for diagnosis or treatment with review by radiologist</t>
  </si>
  <si>
    <t xml:space="preserve"> Insertion of tube into neck or brain artery for diagnosis or treatment with review by radiologist</t>
  </si>
  <si>
    <t xml:space="preserve"> Insertion of tube into abdominal, pelvic, or leg artery, each first order branch</t>
  </si>
  <si>
    <t xml:space="preserve"> Insertion of tube into abdominal, pelvic, or leg artery, initial second order branch</t>
  </si>
  <si>
    <t xml:space="preserve"> Insertion of tube into abdominal, pelvic, or leg artery, initial third order branch</t>
  </si>
  <si>
    <t xml:space="preserve"> Insertion of tube into abdominal, pelvic, or leg artery, additional second, third, and beyond</t>
  </si>
  <si>
    <t xml:space="preserve"> Insertion of tube into first order main and accessory arteries of kidney for imaging with review by radiologist</t>
  </si>
  <si>
    <t xml:space="preserve"> Insertion of tube into first order main and accessory arteries of both kidneys for imaging with review by radiologist</t>
  </si>
  <si>
    <t xml:space="preserve"> Insertion of tube into second or third order branches of arteries of kidney for imaging with review by radiologist</t>
  </si>
  <si>
    <t xml:space="preserve"> Insertion of tube into second or third order branches of arteries of both kidneys for imaging with review by radiologist</t>
  </si>
  <si>
    <t xml:space="preserve"> Insertion of implantable arterial infusion pump</t>
  </si>
  <si>
    <t xml:space="preserve"> Revision of implanted arterial infusion pump</t>
  </si>
  <si>
    <t xml:space="preserve"> Removal of implanted arterial infusion pump</t>
  </si>
  <si>
    <t xml:space="preserve"> Insertion of needle into upper leg or neck vein (younger than 3 years)</t>
  </si>
  <si>
    <t xml:space="preserve"> Insertion of needle into scalp vein (younger than 3 years)</t>
  </si>
  <si>
    <t xml:space="preserve"> Insertion of needle into vein (younger than 3 years)</t>
  </si>
  <si>
    <t xml:space="preserve"> Insertion of needle into vein (3 years or older)</t>
  </si>
  <si>
    <t xml:space="preserve"> Insertion of needle into vein for collection of blood sample</t>
  </si>
  <si>
    <t xml:space="preserve"> Puncture of skin for collection of blood sample</t>
  </si>
  <si>
    <t xml:space="preserve"> Incision of vein for insertion of needle or tube (younger than 1 year)</t>
  </si>
  <si>
    <t xml:space="preserve"> Incision of vein for insertion of needle or tube (1 year or older)</t>
  </si>
  <si>
    <t xml:space="preserve"> Transfusion of blood or blood products</t>
  </si>
  <si>
    <t xml:space="preserve"> Push blood transfusion (2 years or younger)</t>
  </si>
  <si>
    <t xml:space="preserve"> Exchange blood transfusion, newborn</t>
  </si>
  <si>
    <t xml:space="preserve"> Exchange blood transfusion, other than newborn</t>
  </si>
  <si>
    <t xml:space="preserve"> Partial exchange transfusion, newborn</t>
  </si>
  <si>
    <t xml:space="preserve"> Intrauterine fetal transfusion</t>
  </si>
  <si>
    <t xml:space="preserve"> Injection of chemical agent into single incompetent vein of leg using ultrasound guidance</t>
  </si>
  <si>
    <t xml:space="preserve"> Injection of chemical agent into multiple incompetent veins of same leg using ultrasound guidance</t>
  </si>
  <si>
    <t xml:space="preserve"> Injection of chemical agent into spider vein of arm, leg, or trunk</t>
  </si>
  <si>
    <t xml:space="preserve"> Injection of chemical agent into single incompetent vein</t>
  </si>
  <si>
    <t xml:space="preserve"> Injection of chemical agent into multiple incompetent veins of leg</t>
  </si>
  <si>
    <t xml:space="preserve"> Mechanochemical destruction of first incompetent vein of arm or leg using imaging guidance</t>
  </si>
  <si>
    <t xml:space="preserve"> Mechanochemical destruction of subsequent incompetent veins of arm or leg using imaging guidance</t>
  </si>
  <si>
    <t xml:space="preserve"> Destruction of first incompetent vein of arm or leg using radiofrequency and imaging guidance</t>
  </si>
  <si>
    <t xml:space="preserve"> Destruction of subsequent incompetent veins of arm or leg using radiofrequency and imaging guidance</t>
  </si>
  <si>
    <t xml:space="preserve"> Laser destruction of incompetent vein of arm or leg using imaging guidance</t>
  </si>
  <si>
    <t xml:space="preserve"> Laser destruction of incompetent veins of arm or leg using imaging guidance, subsequent</t>
  </si>
  <si>
    <t xml:space="preserve"> Insertion of tube into portal vein of liver</t>
  </si>
  <si>
    <t xml:space="preserve"> Chemical destruction of first incompetent vein of arm or leg using imaging guidance</t>
  </si>
  <si>
    <t xml:space="preserve"> Chemical destruction of subsequent incompetent veins of arm or leg using imaging guidance</t>
  </si>
  <si>
    <t xml:space="preserve"> Insertion of tube into vein with collection of blood sample</t>
  </si>
  <si>
    <t xml:space="preserve"> Insertion of tube into umbilical vein, newborn</t>
  </si>
  <si>
    <t xml:space="preserve"> Mechanical separation of white blood cells from blood</t>
  </si>
  <si>
    <t xml:space="preserve"> Mechanical separation of red blood cells from blood</t>
  </si>
  <si>
    <t xml:space="preserve"> Mechanical separation of platelet cells from blood</t>
  </si>
  <si>
    <t xml:space="preserve"> Mechanical separation of plasma from blood</t>
  </si>
  <si>
    <t xml:space="preserve"> Mechanical separation of plasma and abnormal antibodies from blood</t>
  </si>
  <si>
    <t xml:space="preserve"> Mechanical separation of white blood cells and platelets from blood</t>
  </si>
  <si>
    <t xml:space="preserve"> Insertion of non-tunneled central venous tube for infusion (younger than 5 years)</t>
  </si>
  <si>
    <t xml:space="preserve"> Insertion of non-tunneled central venous tube for infusion (5 years or older)</t>
  </si>
  <si>
    <t xml:space="preserve"> Insertion of tunneled central venous tube for infusion (younger than 5 years)</t>
  </si>
  <si>
    <t xml:space="preserve"> Insertion of tunneled central venous tube for infusion (5 years or older)</t>
  </si>
  <si>
    <t xml:space="preserve"> Insertion of central venous tube with port (younger than 5 years)</t>
  </si>
  <si>
    <t xml:space="preserve"> Insertion of central venous tube with port (5 years or older)</t>
  </si>
  <si>
    <t xml:space="preserve"> Insertion of central venous tube with pump</t>
  </si>
  <si>
    <t xml:space="preserve"> Insertion of 2 central venous tubes in 2 veins for infusion</t>
  </si>
  <si>
    <t xml:space="preserve"> Insertion of 2 central venous tubes in 2 veins with port</t>
  </si>
  <si>
    <t xml:space="preserve"> Insertion of tube for infusion (younger than 5 years)</t>
  </si>
  <si>
    <t xml:space="preserve"> Insertion of tube for infusion (5 years or older)</t>
  </si>
  <si>
    <t xml:space="preserve"> Insertion of central venous tube with port for infusion (younger than 5 years)</t>
  </si>
  <si>
    <t xml:space="preserve"> Insertion of central venous tube with port for infusion (5 years or older)</t>
  </si>
  <si>
    <t xml:space="preserve"> Insertion of tube for infusion with imaging guidance and review by radiologist, patient younger than 5 years</t>
  </si>
  <si>
    <t xml:space="preserve"> Insertion of tube for infusion with imaging guidance and review by radiologist, patient 5 years or older</t>
  </si>
  <si>
    <t xml:space="preserve"> Repair of central venous tube for infusion</t>
  </si>
  <si>
    <t xml:space="preserve"> Repair of central venous tube for infusion with port or pump</t>
  </si>
  <si>
    <t xml:space="preserve"> Replacement of central venous tube, tube only</t>
  </si>
  <si>
    <t xml:space="preserve"> Replacement of nontunneled central venous tube</t>
  </si>
  <si>
    <t xml:space="preserve"> Replacement of tunneled central venous tube</t>
  </si>
  <si>
    <t xml:space="preserve"> Replacement of tunneled central venous tube with port</t>
  </si>
  <si>
    <t xml:space="preserve"> Replacement of tunneled central venous tube with pump</t>
  </si>
  <si>
    <t xml:space="preserve"> Replacement of peripherally inserted central venous tube (PICC) with review by radiologist</t>
  </si>
  <si>
    <t xml:space="preserve"> Replacement of peripherally inserted central venous tube (PICC) with port</t>
  </si>
  <si>
    <t xml:space="preserve"> Removal of tunneled central venous tube</t>
  </si>
  <si>
    <t xml:space="preserve"> Removal of central venous tube with port or pump</t>
  </si>
  <si>
    <t xml:space="preserve"> Collection of blood sample from implanted device</t>
  </si>
  <si>
    <t xml:space="preserve"> Collection of blood sample from central venous tube</t>
  </si>
  <si>
    <t xml:space="preserve"> Declotting of central venous tube</t>
  </si>
  <si>
    <t xml:space="preserve"> Mechanical removal of obstructive material from central venous tube</t>
  </si>
  <si>
    <t xml:space="preserve"> Mechanical removal of tissue or obstructive material from central venous tube</t>
  </si>
  <si>
    <t xml:space="preserve"> Repositioning of central venous tube using fluoroscopic guidance</t>
  </si>
  <si>
    <t xml:space="preserve"> Contrast injection for imaging to evaluate central venous access device</t>
  </si>
  <si>
    <t xml:space="preserve"> Artery puncture collection of blood sample</t>
  </si>
  <si>
    <t xml:space="preserve"> Insertion of artery tube for blood sampling or infusion through skin</t>
  </si>
  <si>
    <t xml:space="preserve"> Insertion of artery tube for blood sampling or infusion through artery incision</t>
  </si>
  <si>
    <t xml:space="preserve"> Insertion of artery tube for prolonged infusion</t>
  </si>
  <si>
    <t xml:space="preserve"> Insertion of needle for infusion into bone</t>
  </si>
  <si>
    <t xml:space="preserve"> Insertion of tube connecting vein to vein for hemodialysis</t>
  </si>
  <si>
    <t xml:space="preserve"> Insertion of tube connecting artery to vein for hemodialysis</t>
  </si>
  <si>
    <t xml:space="preserve"> Revision or removal of tube connecting artery to vein for hemodialysis</t>
  </si>
  <si>
    <t xml:space="preserve"> Relocation of major upper arm vein with connection to arm artery for hemodialysis</t>
  </si>
  <si>
    <t xml:space="preserve"> Relocation of upper arm surface vein with connection to arm artery for hemodialysis</t>
  </si>
  <si>
    <t xml:space="preserve"> Relocation of forearm vein with connection to arm artery for hemodialysis</t>
  </si>
  <si>
    <t xml:space="preserve"> Relocation of arm vein with connection to arm artery for hemodialysis</t>
  </si>
  <si>
    <t xml:space="preserve"> Creation of artery-vein connection using vein graft for hemodialysis</t>
  </si>
  <si>
    <t xml:space="preserve"> Creation of artery-vein connection using tube graft for hemodialysis</t>
  </si>
  <si>
    <t xml:space="preserve"> Removal of blood clot from hemodialysis graft</t>
  </si>
  <si>
    <t xml:space="preserve"> Revision of hemodialysis graft</t>
  </si>
  <si>
    <t xml:space="preserve"> Revision of hemodialysis graft with removal of blood clot</t>
  </si>
  <si>
    <t xml:space="preserve"> Insertion of hemodialysis shunt in artery or vein</t>
  </si>
  <si>
    <t xml:space="preserve"> Creation of opening between artery and vein in arm with single access to both blood vessels</t>
  </si>
  <si>
    <t xml:space="preserve"> Creation of opening between artery and vein in arm with separate access to each blood vessels</t>
  </si>
  <si>
    <t xml:space="preserve"> Injection for removal of blood clot from external dialysis tube</t>
  </si>
  <si>
    <t xml:space="preserve"> Insertion of balloon tube for removal of blood clot from external dialysis tube</t>
  </si>
  <si>
    <t xml:space="preserve"> Insertion of needle and/or tube into hemodialysis circuit with review by radiologist</t>
  </si>
  <si>
    <t xml:space="preserve"> Insertion of needle and/or tube into hemodialysis circuit and balloon dilation of dialysis segment with review by radiologist</t>
  </si>
  <si>
    <t xml:space="preserve"> Insertion of needle and/or tube into hemodialysis circuit and insertion of stent in dialysis segment with review by radiologist</t>
  </si>
  <si>
    <t xml:space="preserve"> Removal and/or dissolving of blood clot in hemodialysis circuit and balloon dilation of dialysis segment with review by radiologist</t>
  </si>
  <si>
    <t xml:space="preserve"> Removal and/or dissolving of blood clot in hemodialysis circuit and balloon dilation of dialysis segment with imaging review by radiologist, with balloon tube</t>
  </si>
  <si>
    <t xml:space="preserve"> Removal and/or dissolving of blood clot in hemodialysis circuit and balloon dilation of dialysis segment and placement of stent with review by radiologist</t>
  </si>
  <si>
    <t xml:space="preserve"> Balloon dilation of dialysis segment with review by radiologist</t>
  </si>
  <si>
    <t xml:space="preserve"> Insertion of stent in dialysis segment with review by radiologist</t>
  </si>
  <si>
    <t xml:space="preserve"> Permanent blockage of hemodialysis circuit with review by radiologist</t>
  </si>
  <si>
    <t xml:space="preserve"> Primary removal and dissolving of blood clot from artery or artery graft using fluoroscopic guidance, initial vessel</t>
  </si>
  <si>
    <t xml:space="preserve"> Primary removal and dissolving of blood clot from artery or artery graft using fluoroscopic guidance, subsequent vessels</t>
  </si>
  <si>
    <t xml:space="preserve"> Secondary removal and dissolving of blood clot from artery or artery graft using fluoroscopic guidance</t>
  </si>
  <si>
    <t xml:space="preserve"> Removal and dissolving of blood clot from vein using fluoroscopic guidance, initial treatment</t>
  </si>
  <si>
    <t xml:space="preserve"> Removal and dissolving of blood clot from vein using fluoroscopic guidance, repeat treatment on subsequent day</t>
  </si>
  <si>
    <t xml:space="preserve"> Repositioning of vena cava filter with review by radiologist</t>
  </si>
  <si>
    <t xml:space="preserve"> Removal of vena cava filter with review by radiologist</t>
  </si>
  <si>
    <t xml:space="preserve"> Infusion of drug to dissolve blood clot in brain</t>
  </si>
  <si>
    <t xml:space="preserve"> Retrieval of foreign body in blood vessel with review by radiologist</t>
  </si>
  <si>
    <t xml:space="preserve"> Biopsy of blood vessel using tube</t>
  </si>
  <si>
    <t xml:space="preserve"> Insertion of tube into artery for drug infusion for blood clot with review by radiologist, initial treatment day</t>
  </si>
  <si>
    <t xml:space="preserve"> Insertion of tube into vein for drug infusion for blood clot with review by radiologist, initial treatment day</t>
  </si>
  <si>
    <t xml:space="preserve"> Balloon dilation of groin artery, initial vessel</t>
  </si>
  <si>
    <t xml:space="preserve"> Insertion of stent in groin artery, initial vessel</t>
  </si>
  <si>
    <t xml:space="preserve"> Balloon dilation of groin artery, each additional vessel</t>
  </si>
  <si>
    <t xml:space="preserve"> Insertion of stent in groin artery, additional vessel</t>
  </si>
  <si>
    <t xml:space="preserve"> Balloon dilation of artery of leg</t>
  </si>
  <si>
    <t xml:space="preserve"> Removal of plaque in arteries of leg</t>
  </si>
  <si>
    <t xml:space="preserve"> Insertion of stent in arteries of leg</t>
  </si>
  <si>
    <t xml:space="preserve"> Removal of plaque and insertion of stents in arteries of leg</t>
  </si>
  <si>
    <t xml:space="preserve"> Balloon dilation of artery of leg, initial vessel</t>
  </si>
  <si>
    <t xml:space="preserve"> Removal of plaque in artery of leg, initial vessel</t>
  </si>
  <si>
    <t xml:space="preserve"> Insertion of stent in artery of leg, initial vessel</t>
  </si>
  <si>
    <t xml:space="preserve"> Removal of plaque and insertion of stents in artery of leg, initial vessel</t>
  </si>
  <si>
    <t xml:space="preserve"> Balloon dilation of artery of leg, each additional vessel</t>
  </si>
  <si>
    <t xml:space="preserve"> Removal of plaque in artery of leg, each additional vessel</t>
  </si>
  <si>
    <t xml:space="preserve"> Insertion of stent in artery of leg, each additional vessel</t>
  </si>
  <si>
    <t xml:space="preserve"> Removal of plaque and insertion of stents in artery of leg, each additional vessel</t>
  </si>
  <si>
    <t xml:space="preserve"> Insertion of stent in artery (except lower extremity, chest, heart, neck and brain) with review by radiologist, initial artery</t>
  </si>
  <si>
    <t xml:space="preserve"> Insertion of stent in artery (except lower extremity, chest, heart, neck and brain) with review by radiologist, each additional artery</t>
  </si>
  <si>
    <t xml:space="preserve"> Insertion of stent in vein with review by radiologist, initial vein</t>
  </si>
  <si>
    <t xml:space="preserve"> Insertion of stent in vein with review by radiologist, each additional vein</t>
  </si>
  <si>
    <t xml:space="preserve"> Occlusion of vein with review by radiologist</t>
  </si>
  <si>
    <t xml:space="preserve"> Occlusion of artery with review by radiologist</t>
  </si>
  <si>
    <t xml:space="preserve"> Occlusion of growths or obstructed vessels with review by radiologist</t>
  </si>
  <si>
    <t xml:space="preserve"> Balloon dilation of artery with review by radiologist, initial artery</t>
  </si>
  <si>
    <t xml:space="preserve"> Balloon dilation of artery with review by radiologist, each additional artery</t>
  </si>
  <si>
    <t xml:space="preserve"> Balloon dilation of vein with review by radiologist, initial vein</t>
  </si>
  <si>
    <t xml:space="preserve"> Balloon dilation of vein with review by radiologist, each additional vein</t>
  </si>
  <si>
    <t xml:space="preserve"> Ultrasound evaluation of blood vessel with review by radiologist, initial vessel</t>
  </si>
  <si>
    <t xml:space="preserve"> Ultrasound evaluation of blood vessel with review by radiologist, each additional vessel</t>
  </si>
  <si>
    <t xml:space="preserve"> Tying of veins in leg muscles using an endoscope</t>
  </si>
  <si>
    <t xml:space="preserve"> Tying of neck vein</t>
  </si>
  <si>
    <t xml:space="preserve"> Tying of external neck artery</t>
  </si>
  <si>
    <t xml:space="preserve"> Tying of internal neck artery</t>
  </si>
  <si>
    <t xml:space="preserve"> Tying and gradual clamping of neck artery</t>
  </si>
  <si>
    <t xml:space="preserve"> Tying or banding of surgically created artery-vein connection</t>
  </si>
  <si>
    <t xml:space="preserve"> Tying or biopsy of artery on side of skull</t>
  </si>
  <si>
    <t xml:space="preserve"> Tying of major neck artery</t>
  </si>
  <si>
    <t xml:space="preserve"> Tying of upper leg vein</t>
  </si>
  <si>
    <t xml:space="preserve"> Tying and division of long leg vein</t>
  </si>
  <si>
    <t xml:space="preserve"> Tying, incision, and stripping of short leg vein</t>
  </si>
  <si>
    <t xml:space="preserve"> Tying, incision, and stripping of long leg vein</t>
  </si>
  <si>
    <t xml:space="preserve"> Tying, incision, and stripping of leg veins with removal of ulcer and skin graft and/or interruption of lower leg veins</t>
  </si>
  <si>
    <t xml:space="preserve"> Tying of varicose veins, radical procedure including skin graft</t>
  </si>
  <si>
    <t xml:space="preserve"> Tying of varicose veins, simple procedure using ultrasound</t>
  </si>
  <si>
    <t xml:space="preserve"> Removal of varicose veins of arm or leg, 10-20 incisions</t>
  </si>
  <si>
    <t xml:space="preserve"> Removal of varicose veins of arm or leg, more than 20 incisions</t>
  </si>
  <si>
    <t xml:space="preserve"> Tying and division of short leg vein</t>
  </si>
  <si>
    <t xml:space="preserve"> Tying, incision, and/or removal of varicose vein clusters of leg</t>
  </si>
  <si>
    <t xml:space="preserve"> Blockage of penis vein</t>
  </si>
  <si>
    <t xml:space="preserve"> Other procedure on blood vessel</t>
  </si>
  <si>
    <t xml:space="preserve"> Exam of spleen using an endoscope</t>
  </si>
  <si>
    <t xml:space="preserve"> Injection procedure for imaging of spleen</t>
  </si>
  <si>
    <t xml:space="preserve"> Management of stem cell donor search</t>
  </si>
  <si>
    <t xml:space="preserve"> Collection of stem cells for transplantation</t>
  </si>
  <si>
    <t xml:space="preserve"> Aspiration of bone marrow sample for diagnosis</t>
  </si>
  <si>
    <t xml:space="preserve"> Biopsy of bone marrow</t>
  </si>
  <si>
    <t xml:space="preserve"> Biopsy and aspiration of bone marrow sample for diagnosis</t>
  </si>
  <si>
    <t xml:space="preserve"> Harvest of donor bone marrow for transplantation</t>
  </si>
  <si>
    <t xml:space="preserve"> Harvest of patient bone marrow for transplantation</t>
  </si>
  <si>
    <t xml:space="preserve"> Transplantation of donor stem cells per donor</t>
  </si>
  <si>
    <t xml:space="preserve"> Transplantation of patient-derived stem cells</t>
  </si>
  <si>
    <t xml:space="preserve"> Transplantation of donor white blood cells</t>
  </si>
  <si>
    <t xml:space="preserve"> Transplantation of donor stem cells</t>
  </si>
  <si>
    <t xml:space="preserve"> Simple drainage of abscess or swelling of lymph node</t>
  </si>
  <si>
    <t xml:space="preserve"> Drainage of extensive abscess or swelling of lymph node</t>
  </si>
  <si>
    <t xml:space="preserve"> Incision or other operation on lymphatic channels</t>
  </si>
  <si>
    <t xml:space="preserve"> Biopsy or removal of lymph nodes</t>
  </si>
  <si>
    <t xml:space="preserve"> Needle biopsy or removal of surface lymph nodes</t>
  </si>
  <si>
    <t xml:space="preserve"> Biopsy or removal of deep lymph nodes of neck</t>
  </si>
  <si>
    <t xml:space="preserve"> Biopsy or removal of lymph nodes of neck with removal of fat pad</t>
  </si>
  <si>
    <t xml:space="preserve"> Biopsy or removal of deep lymph nodes of underarm</t>
  </si>
  <si>
    <t xml:space="preserve"> Biopsy or removal of lymph nodes of breast</t>
  </si>
  <si>
    <t xml:space="preserve"> Biopsy or removal of lymph nodes of groin</t>
  </si>
  <si>
    <t xml:space="preserve"> Removal of deep lymph nodes of neck</t>
  </si>
  <si>
    <t xml:space="preserve"> Removal of congenital defect of lymph nodes at underarm or neck</t>
  </si>
  <si>
    <t xml:space="preserve"> Removal of congenital defect of lymph nodes at underarm or neck with deep neurovascular dissection</t>
  </si>
  <si>
    <t xml:space="preserve"> Biopsy and removal of lymph nodes of abdominal cavity using an endoscope</t>
  </si>
  <si>
    <t xml:space="preserve"> Removal of lymph nodes of both sides of pelvis using an endoscope</t>
  </si>
  <si>
    <t xml:space="preserve"> Removal of lymph nodes of both sides of pelvis and abdominal lymph node biopsy using an endoscope</t>
  </si>
  <si>
    <t xml:space="preserve"> Removal of lymph nodes of both sides of pelvis with biopsy and washing of abdomen using an endoscope</t>
  </si>
  <si>
    <t xml:space="preserve"> Removal of lymph nodes from chin to thyroid cartilage</t>
  </si>
  <si>
    <t xml:space="preserve"> Removal of lymph nodes of neck</t>
  </si>
  <si>
    <t xml:space="preserve"> Removal of lymph nodes, muscle, and tissue of neck</t>
  </si>
  <si>
    <t xml:space="preserve"> Partial removal of lymph nodes of underarm</t>
  </si>
  <si>
    <t xml:space="preserve"> Removal of lymph nodes of underarm</t>
  </si>
  <si>
    <t xml:space="preserve"> Removal of lymph nodes of groin</t>
  </si>
  <si>
    <t xml:space="preserve"> Injection procedure for imaging of lymphatic system</t>
  </si>
  <si>
    <t xml:space="preserve"> Injection of radioactive material for X-ray identification of lymph node</t>
  </si>
  <si>
    <t xml:space="preserve"> Exposure of lymph duct of chest cavity</t>
  </si>
  <si>
    <t xml:space="preserve"> Imaging of lymph nodes during surgery</t>
  </si>
  <si>
    <t xml:space="preserve"> Biopsy of lip</t>
  </si>
  <si>
    <t xml:space="preserve"> Removal of border of lip</t>
  </si>
  <si>
    <t xml:space="preserve"> Removal of wedge of lip tissue with closure</t>
  </si>
  <si>
    <t xml:space="preserve"> V-shaped removal of lip tissue</t>
  </si>
  <si>
    <t xml:space="preserve"> Removal of lip with repair using local tissue graft</t>
  </si>
  <si>
    <t xml:space="preserve"> Removal of lip with repair using tissue graft</t>
  </si>
  <si>
    <t xml:space="preserve"> Partial removal of lip</t>
  </si>
  <si>
    <t xml:space="preserve"> Repair of lip and border</t>
  </si>
  <si>
    <t xml:space="preserve"> Repair of vertical lip wound extending to half of lip</t>
  </si>
  <si>
    <t xml:space="preserve"> Repair of vertical lip wound extending to over half of lip</t>
  </si>
  <si>
    <t xml:space="preserve"> Primary plastic repair of deformity present at birth on 1 side of nose and/or lip</t>
  </si>
  <si>
    <t xml:space="preserve"> Plastic repair of deformity present at birth on both sides of nose and/or lip</t>
  </si>
  <si>
    <t xml:space="preserve"> Plastic repair of deformity present at birth on both sides of nose and/or lip, first stage</t>
  </si>
  <si>
    <t xml:space="preserve"> Secondary plastic repair of nose and lip deformity present at birth</t>
  </si>
  <si>
    <t xml:space="preserve"> Plastic repair of nose and/or lip deformity present at birth using a tissue graft</t>
  </si>
  <si>
    <t xml:space="preserve"> Simple drainage of abscess, cyst, or blood accumulation of mouth</t>
  </si>
  <si>
    <t xml:space="preserve"> Complicated drainage of abscess, cyst, or blood accumulation of mouth</t>
  </si>
  <si>
    <t xml:space="preserve"> Simple removal of embedded foreign body in mouth</t>
  </si>
  <si>
    <t xml:space="preserve"> Complicated removal of embedded foreign body in mouth</t>
  </si>
  <si>
    <t xml:space="preserve"> Incision of tissue joining lip and gum</t>
  </si>
  <si>
    <t xml:space="preserve"> Biopsy of mouth</t>
  </si>
  <si>
    <t xml:space="preserve"> Removal of growth of tissue of mouth</t>
  </si>
  <si>
    <t xml:space="preserve"> Removal of growth of mouth with simple repair</t>
  </si>
  <si>
    <t xml:space="preserve"> Removal of growth of mouth with complicated repair</t>
  </si>
  <si>
    <t xml:space="preserve"> Complex removal of tissue and muscle growth of mouth</t>
  </si>
  <si>
    <t xml:space="preserve"> Removal of mouth tissue for grafting</t>
  </si>
  <si>
    <t xml:space="preserve"> Removal of tissue at dental edge and cheek</t>
  </si>
  <si>
    <t xml:space="preserve"> Destruction of growth or scar of mouth</t>
  </si>
  <si>
    <t xml:space="preserve"> Repair of lacerated mouth, 2.5 cm or less</t>
  </si>
  <si>
    <t xml:space="preserve"> Repair of lacerated mouth, more than 2.5 cm</t>
  </si>
  <si>
    <t xml:space="preserve"> Repair to increase depth of front portion of mouth</t>
  </si>
  <si>
    <t xml:space="preserve"> Repair to increase depth on side of mouth</t>
  </si>
  <si>
    <t xml:space="preserve"> Repair to increase depth on both sides of mouth</t>
  </si>
  <si>
    <t xml:space="preserve"> Repair to increase depth of entire arch of mouth</t>
  </si>
  <si>
    <t xml:space="preserve"> Complex repair to increase depth of mouth</t>
  </si>
  <si>
    <t xml:space="preserve"> Drainage of abscess, cyst, or blood accumulation of side of tongue from inside mouth</t>
  </si>
  <si>
    <t xml:space="preserve"> Drainage of abscess, cyst, or blood accumulation under tongue from inside mouth</t>
  </si>
  <si>
    <t xml:space="preserve"> Drainage of abscess, cyst, or blood accumulation of tongue or floor of mouth from inside mouth</t>
  </si>
  <si>
    <t xml:space="preserve"> Drainage of abscess, cyst, or blood accumulation beneath chin from inside mouth</t>
  </si>
  <si>
    <t xml:space="preserve"> Drainage of abscess, cyst, or blood accumulation under jaw bone from inside mouth</t>
  </si>
  <si>
    <t xml:space="preserve"> Drainage of abscess, cyst, or blood accumulation under lower teeth from inside mouth</t>
  </si>
  <si>
    <t xml:space="preserve"> Incision of tissue connecting tongue and floor of mouth</t>
  </si>
  <si>
    <t xml:space="preserve"> Drainage of abscess, cyst, or blood accumulation under tongue from outside mouth</t>
  </si>
  <si>
    <t xml:space="preserve"> Drainage of abscess, cyst, or blood accumulation beneath chin from outside mouth</t>
  </si>
  <si>
    <t xml:space="preserve"> Drainage of abscess, cyst, or blood accumulation under jaw bone from outside mouth</t>
  </si>
  <si>
    <t xml:space="preserve"> Drainage of abscess, cyst, or blood accumulation under lower teeth from outside mouth</t>
  </si>
  <si>
    <t xml:space="preserve"> Insertion of needles, tubes, or devices into head and/or neck for radiation therapy</t>
  </si>
  <si>
    <t xml:space="preserve"> Biopsy of front 2/3 of tongue</t>
  </si>
  <si>
    <t xml:space="preserve"> Biopsy of back 1/3 of tongue</t>
  </si>
  <si>
    <t xml:space="preserve"> Biopsy of floor of mouth</t>
  </si>
  <si>
    <t xml:space="preserve"> Removal of growth of tongue without closure</t>
  </si>
  <si>
    <t xml:space="preserve"> Removal of growth of front 2/3 of tongue with switches</t>
  </si>
  <si>
    <t xml:space="preserve"> Removal of growth of back 1/3 of tongue with suturing</t>
  </si>
  <si>
    <t xml:space="preserve"> Removal of growth of tongue with local tissue graft</t>
  </si>
  <si>
    <t xml:space="preserve"> Removal of tissue connecting tongue and floor of mouth</t>
  </si>
  <si>
    <t xml:space="preserve"> Removal of growth of floor of mouth</t>
  </si>
  <si>
    <t xml:space="preserve"> Removal of less than half of tongue</t>
  </si>
  <si>
    <t xml:space="preserve"> Repair of lacerated floor of mouth and/or tongue, 2.5 cm or less</t>
  </si>
  <si>
    <t xml:space="preserve"> Repair of lacerated back 1/3 of tongue, 2.5 cm or less</t>
  </si>
  <si>
    <t xml:space="preserve"> Repair of lacerated tongue or floor of mouth, more than 2.6 cm</t>
  </si>
  <si>
    <t xml:space="preserve"> Suture of tongue to lip to enlarge mouth</t>
  </si>
  <si>
    <t xml:space="preserve"> Permanent suspension of tongue base using sutures</t>
  </si>
  <si>
    <t xml:space="preserve"> Repair of tissue connecting tongue to floor of mouth</t>
  </si>
  <si>
    <t xml:space="preserve"> Destruction of tongue tissue, per session</t>
  </si>
  <si>
    <t xml:space="preserve"> Drainage of abscess, cyst, or blood accumulation of dental bone</t>
  </si>
  <si>
    <t xml:space="preserve"> Removal of embedded foreign body in soft tissue of tooth bearing bone</t>
  </si>
  <si>
    <t xml:space="preserve"> Removal of foreign body in dental bone</t>
  </si>
  <si>
    <t xml:space="preserve"> Removal of overgrown gum tissue</t>
  </si>
  <si>
    <t xml:space="preserve"> Removal of gum tissue around tooth</t>
  </si>
  <si>
    <t xml:space="preserve"> Removal of tissue fiber at dental bone</t>
  </si>
  <si>
    <t xml:space="preserve"> Removal of dental bone</t>
  </si>
  <si>
    <t xml:space="preserve"> Removal of dental bone growth</t>
  </si>
  <si>
    <t xml:space="preserve"> Removal of dental bone growth with simple repair</t>
  </si>
  <si>
    <t xml:space="preserve"> Removal of growth of dental bone growth with complex repair</t>
  </si>
  <si>
    <t xml:space="preserve"> Removal of enlarged membrane covering of teeth or tooth socket</t>
  </si>
  <si>
    <t xml:space="preserve"> Removal of tissue overgrowth at teeth or tooth socket</t>
  </si>
  <si>
    <t xml:space="preserve"> Destruction of growth of structure supporting teeth</t>
  </si>
  <si>
    <t xml:space="preserve"> Graft of mouth tissue lining to gum surface</t>
  </si>
  <si>
    <t xml:space="preserve"> Reshaping of gum</t>
  </si>
  <si>
    <t xml:space="preserve"> Reshaping of tooth socket</t>
  </si>
  <si>
    <t xml:space="preserve"> Other procedure on teeth and gums</t>
  </si>
  <si>
    <t xml:space="preserve"> Drainage of abscess of roof of mouth</t>
  </si>
  <si>
    <t xml:space="preserve"> Biopsy of roof of mouth</t>
  </si>
  <si>
    <t xml:space="preserve"> Removal of growth of roof of mouth</t>
  </si>
  <si>
    <t xml:space="preserve"> Removal of growth of roof of mouth with simple closure</t>
  </si>
  <si>
    <t xml:space="preserve"> Removal of growth of roof of mouth with local tissue graft</t>
  </si>
  <si>
    <t xml:space="preserve"> Partial removal of roof of mouth</t>
  </si>
  <si>
    <t xml:space="preserve"> Removal of soft tissue of roof of mouth</t>
  </si>
  <si>
    <t xml:space="preserve"> Complex removal of soft tissue of roof of mouth</t>
  </si>
  <si>
    <t xml:space="preserve"> Destruction of growth or soft tissue of roof of mouth</t>
  </si>
  <si>
    <t xml:space="preserve"> Repair of lacerated roof of mouth, 2.0 cm or less</t>
  </si>
  <si>
    <t xml:space="preserve"> Repair of lacerated roof of mouth, more than 2.0 cm</t>
  </si>
  <si>
    <t xml:space="preserve"> Repair of defect of soft and/or hard tissue of roof of mouth for cleft palate</t>
  </si>
  <si>
    <t xml:space="preserve"> Repair of defect of soft tissue of roof of mouth for cleft palate</t>
  </si>
  <si>
    <t xml:space="preserve"> Repair of cleft palate with bone graft</t>
  </si>
  <si>
    <t xml:space="preserve"> Revision of prior cleft palate repair</t>
  </si>
  <si>
    <t xml:space="preserve"> Repair of cleft palate with palate lengthening</t>
  </si>
  <si>
    <t xml:space="preserve"> Repair of cleft palate with local tissue graft from throat</t>
  </si>
  <si>
    <t xml:space="preserve"> Lengthening of roof of mouth with throat tissue graft</t>
  </si>
  <si>
    <t xml:space="preserve"> Lengthening of roof of mouth using mucous membrane tissue graft</t>
  </si>
  <si>
    <t xml:space="preserve"> Lengthening of roof of mouth with tissue graft from tissue separating nose airways</t>
  </si>
  <si>
    <t xml:space="preserve"> Repair of abnormal connection from nasal sinus to skin</t>
  </si>
  <si>
    <t xml:space="preserve"> Impression of cheek bone for prosthesis at roof of mouth</t>
  </si>
  <si>
    <t xml:space="preserve"> Insertion of roof of mouth prosthesis</t>
  </si>
  <si>
    <t xml:space="preserve"> Simple drainage of abscess of saliva gland</t>
  </si>
  <si>
    <t xml:space="preserve"> Complicated drainage of abscess of saliva gland</t>
  </si>
  <si>
    <t xml:space="preserve"> Drainage of abscess of lower jaw from inside of mouth</t>
  </si>
  <si>
    <t xml:space="preserve"> Drainage of abscess of lower jaw from outside of mouth</t>
  </si>
  <si>
    <t xml:space="preserve"> Uncomplicated removal of saliva gland stone from inside mouth</t>
  </si>
  <si>
    <t xml:space="preserve"> Complicated removal of saliva gland stone from inside mouth</t>
  </si>
  <si>
    <t xml:space="preserve"> Complicated removal of saliva gland stone</t>
  </si>
  <si>
    <t xml:space="preserve"> Needle biopsy of saliva gland</t>
  </si>
  <si>
    <t xml:space="preserve"> Biopsy of saliva gland</t>
  </si>
  <si>
    <t xml:space="preserve"> Removal of salivary cyst under tongue</t>
  </si>
  <si>
    <t xml:space="preserve"> Creation of tract to drain cyst of saliva gland</t>
  </si>
  <si>
    <t xml:space="preserve"> Removal of growth of saliva gland or saliva gland, lateral lobe</t>
  </si>
  <si>
    <t xml:space="preserve"> Removal of growth of saliva gland with release of facial nerve</t>
  </si>
  <si>
    <t xml:space="preserve"> Removal of growth of saliva gland or saliva gland with release of facial nerve</t>
  </si>
  <si>
    <t xml:space="preserve"> Removal of growth of saliva gland or saliva gland, and facial nerve</t>
  </si>
  <si>
    <t xml:space="preserve"> Removal of saliva gland under floor of mouth</t>
  </si>
  <si>
    <t xml:space="preserve"> Removal of saliva gland under tongue</t>
  </si>
  <si>
    <t xml:space="preserve"> Simple repair of salivary duct</t>
  </si>
  <si>
    <t xml:space="preserve"> Complicated plastic repair of salivary duct</t>
  </si>
  <si>
    <t xml:space="preserve"> Creation of new drainage tracts of major saliva gland ducts on both sides of mouth</t>
  </si>
  <si>
    <t xml:space="preserve"> Creation of new drainage tracts of major saliva gland ducts on both sides of mouth with removal of salivary glands below both sides of jaw</t>
  </si>
  <si>
    <t xml:space="preserve"> Creation of new drainage tracts of major saliva gland ducts on both sides of mouth with tying of saliva gland ducts below both sides of jaw</t>
  </si>
  <si>
    <t xml:space="preserve"> Injection of contrast for imaging of saliva glands</t>
  </si>
  <si>
    <t xml:space="preserve"> Closure of abnormal drainage tract of saliva gland</t>
  </si>
  <si>
    <t xml:space="preserve"> Insertion of probe to widen saliva gland duct</t>
  </si>
  <si>
    <t xml:space="preserve"> Dilation of saliva gland duct and insertion of tube</t>
  </si>
  <si>
    <t xml:space="preserve"> Tying of saliva gland duct</t>
  </si>
  <si>
    <t xml:space="preserve"> Other procedure on saliva gland or duct</t>
  </si>
  <si>
    <t xml:space="preserve"> Drainage of abscess near tonsil</t>
  </si>
  <si>
    <t xml:space="preserve"> Drainage of abscess of throat from inside mouth</t>
  </si>
  <si>
    <t xml:space="preserve"> Drainage of abscess of throat from outside mouth</t>
  </si>
  <si>
    <t xml:space="preserve"> Biopsy of back of throat</t>
  </si>
  <si>
    <t xml:space="preserve"> Simple biopsy of growth of throat behind nose</t>
  </si>
  <si>
    <t xml:space="preserve"> Complex biopsy of growth of throat behind nose</t>
  </si>
  <si>
    <t xml:space="preserve"> Removal or destruction of growth of throat</t>
  </si>
  <si>
    <t xml:space="preserve"> Removal of foreign body in throat</t>
  </si>
  <si>
    <t xml:space="preserve"> Removal of congenital skin and tissue cyst of neck</t>
  </si>
  <si>
    <t xml:space="preserve"> Removal of congenital cyst or abnormal drainage tract of neck and/or throat</t>
  </si>
  <si>
    <t xml:space="preserve"> Removal of tonsils and adenoid glands (younger than 12 years)</t>
  </si>
  <si>
    <t xml:space="preserve"> Removal of tonsils and adenoid glands (12 years or older)</t>
  </si>
  <si>
    <t xml:space="preserve"> Removal of tonsils (younger than 12 years)</t>
  </si>
  <si>
    <t xml:space="preserve"> Removal of tonsils (12 years or older)</t>
  </si>
  <si>
    <t xml:space="preserve"> Primary removal of adenoids (younger than 12 years)</t>
  </si>
  <si>
    <t xml:space="preserve"> Primary removal of adenoids (12 years or older)</t>
  </si>
  <si>
    <t xml:space="preserve"> Secondary removal of adenoids (younger than 12 years)</t>
  </si>
  <si>
    <t xml:space="preserve"> Secondary removal of adenoids (12 years or older)</t>
  </si>
  <si>
    <t xml:space="preserve"> Extensive removal of tonsils, tissue, muscle, and bone</t>
  </si>
  <si>
    <t xml:space="preserve"> Extensive removal of tonsils, tissue, muscle, and bone with local tissue graft</t>
  </si>
  <si>
    <t xml:space="preserve"> Removal of remaining tonsil tissue</t>
  </si>
  <si>
    <t xml:space="preserve"> Removal or destruction of growth of tongue lymph node</t>
  </si>
  <si>
    <t xml:space="preserve"> Partial removal of throat</t>
  </si>
  <si>
    <t xml:space="preserve"> Partial removal of wall of throat with suture repair</t>
  </si>
  <si>
    <t xml:space="preserve"> Suture of wound or injury in throat</t>
  </si>
  <si>
    <t xml:space="preserve"> Plastic or reconstructive repair of throat</t>
  </si>
  <si>
    <t xml:space="preserve"> Creation of opening to throat for feeding</t>
  </si>
  <si>
    <t xml:space="preserve"> Simple control of bleeding of throat</t>
  </si>
  <si>
    <t xml:space="preserve"> Complicated control of bleeding of throat</t>
  </si>
  <si>
    <t xml:space="preserve"> Simple control of bleeding of throat with insertion of packing</t>
  </si>
  <si>
    <t xml:space="preserve"> Complicated control of bleeding of throat with insertion of packing</t>
  </si>
  <si>
    <t xml:space="preserve"> Evaluation of sleep-disordered breathing by examination of upper airway using an endoscope</t>
  </si>
  <si>
    <t xml:space="preserve"> Removal of foreign body in esophagus through neck</t>
  </si>
  <si>
    <t xml:space="preserve"> Incision of muscle at upper esophagus</t>
  </si>
  <si>
    <t xml:space="preserve"> Removal of defect in wall of esophagus through neck</t>
  </si>
  <si>
    <t xml:space="preserve"> Removal of defect in wall of esophagus using a rigid endoscope</t>
  </si>
  <si>
    <t xml:space="preserve"> Diagnostic exam of esophagus using an endoscope</t>
  </si>
  <si>
    <t xml:space="preserve"> Injection into esophagus using an endoscope</t>
  </si>
  <si>
    <t xml:space="preserve"> Biopsy of esophagus using a rigid endoscope</t>
  </si>
  <si>
    <t xml:space="preserve"> Removal of foreign bodies from esophagus using a rigid endoscope</t>
  </si>
  <si>
    <t xml:space="preserve"> Balloon dilation of esophagus using a rigid endoscope, less than 3.0 cm</t>
  </si>
  <si>
    <t xml:space="preserve"> Insertion of wire and dilation of esophagus using an endoscope</t>
  </si>
  <si>
    <t xml:space="preserve"> Diagnostic exam of esophagus using a flexible endoscope through nose</t>
  </si>
  <si>
    <t xml:space="preserve"> Biopsy of esophagus using a flexible endoscope through nose</t>
  </si>
  <si>
    <t xml:space="preserve"> Diagnostic exam of esophagus using a flexible endoscope through mouth</t>
  </si>
  <si>
    <t xml:space="preserve"> Injection into esophagus using a flexible endoscope</t>
  </si>
  <si>
    <t xml:space="preserve"> Biopsy of esophagus using a flexible endoscope through mouth</t>
  </si>
  <si>
    <t xml:space="preserve"> Injection of swollen vein of esophagus using a flexible endoscope</t>
  </si>
  <si>
    <t xml:space="preserve"> Tying of dilated veins of esophagus with bands using a flexible endoscope</t>
  </si>
  <si>
    <t xml:space="preserve"> Microscopic exam of esophagus using a flexible endoscope</t>
  </si>
  <si>
    <t xml:space="preserve"> Repair of muscle at esophagus and stomach using a flexible endoscope</t>
  </si>
  <si>
    <t xml:space="preserve"> Removal of tissue lining of esophagus using a flexible endoscope</t>
  </si>
  <si>
    <t xml:space="preserve"> Placement of stent in esophagus using a flexible endoscope</t>
  </si>
  <si>
    <t xml:space="preserve"> Dilation of esophagus using a flexible endoscope</t>
  </si>
  <si>
    <t xml:space="preserve"> Balloon dilation of esophagus using a flexible endoscope, 3.0 cm or more</t>
  </si>
  <si>
    <t xml:space="preserve"> Removal of foreign bodies in esophagus using a flexible endoscope</t>
  </si>
  <si>
    <t xml:space="preserve"> Removal of polyps or growths of esophagus using a flexible endoscope with electrical cautery</t>
  </si>
  <si>
    <t xml:space="preserve"> Removal of polyps or growths of esophagus using a flexible endoscope with mechanical snare</t>
  </si>
  <si>
    <t xml:space="preserve"> Balloon dilation of esophagus using a flexible endoscope, less than 3.0 cm</t>
  </si>
  <si>
    <t xml:space="preserve"> Dilation of esophagus with insertion of guide wire using a flexible endoscope</t>
  </si>
  <si>
    <t xml:space="preserve"> Control of bleeding in esophagus using a flexible endoscope</t>
  </si>
  <si>
    <t xml:space="preserve"> Destruction of polyp or growth of esophagus using a flexible endoscope</t>
  </si>
  <si>
    <t xml:space="preserve"> Ultrasound exam of esophagus using a flexible endoscope</t>
  </si>
  <si>
    <t xml:space="preserve"> Ultrasound guided fine needle aspiration or biopsy of esophagus using a flexible endoscope</t>
  </si>
  <si>
    <t xml:space="preserve"> Balloon dilation of esophagus, stomach, and/or upper small bowel using a flexible endoscope, 3.0 cm or more</t>
  </si>
  <si>
    <t xml:space="preserve"> Diagnostic exam of esophagus, stomach, and/or upper small bowel using a flexible endoscope</t>
  </si>
  <si>
    <t xml:space="preserve"> Injection of esophagus, stomach, and/or upper small bowel using a flexible endoscope</t>
  </si>
  <si>
    <t xml:space="preserve"> Ultrasound exam of esophagus, stomach, and/or upper small bowel using a flexible endoscope through mouth</t>
  </si>
  <si>
    <t xml:space="preserve"> Ultrasound guided needle aspiration or biopsy of esophagus using a flexible endoscope</t>
  </si>
  <si>
    <t xml:space="preserve"> Biopsy of esophagus, stomach, and/or upper small bowel using a flexible endoscope</t>
  </si>
  <si>
    <t xml:space="preserve"> Drainage of fluid collection of esophagus, stomach, and/or upper small bowel using a flexible endoscope</t>
  </si>
  <si>
    <t xml:space="preserve"> Insertion of tube or tube in esophagus, stomach, and/or upper small bowel using a flexible endoscope</t>
  </si>
  <si>
    <t xml:space="preserve"> Ultrasound guided needle aspiration or biopsy of esophagus, stomach, and/or upper small bowel using a flexible endoscope</t>
  </si>
  <si>
    <t xml:space="preserve"> Injection of dilated vein of stomach and/or esophagus using a flexible endoscope</t>
  </si>
  <si>
    <t xml:space="preserve"> Tying of dilated veins of stomach and/or esophagus using a flexible endoscope</t>
  </si>
  <si>
    <t xml:space="preserve"> Dilation of stomach outlet using a flexible endoscope</t>
  </si>
  <si>
    <t xml:space="preserve"> Insertion of stomach tube using a flexible endoscope</t>
  </si>
  <si>
    <t xml:space="preserve"> Removal of foreign bodies of esophagus, stomach, and/or upper small bowel using a flexible endoscope</t>
  </si>
  <si>
    <t xml:space="preserve"> Insertion of guide wire with dilation of esophagus using a flexible endoscope</t>
  </si>
  <si>
    <t xml:space="preserve"> Balloon dilation of esophagus, stomach, and/or upper small bowel using a flexible endoscope, less than 3.0 cm</t>
  </si>
  <si>
    <t xml:space="preserve"> Removal of polyps or growths of esophagus, stomach, and/or upper small bowel using a flexible endoscope with electrical cautery</t>
  </si>
  <si>
    <t xml:space="preserve"> Removal of polyps or growths of esophagus, stomach, and/or upper small bowel using an endoscope with mechanical snare</t>
  </si>
  <si>
    <t xml:space="preserve"> Microscopic exam of esophagus, stomach, and/or upper small bowel using a flexible endoscope</t>
  </si>
  <si>
    <t xml:space="preserve"> Injection of diagnostic or therapeutic substance or marker in esophagus, stomach, and/or upper small bowel using a flexible endoscope</t>
  </si>
  <si>
    <t xml:space="preserve"> Removal of tissue lining of esophagus, stomach, and/or upper small bowel using a flexible endoscope</t>
  </si>
  <si>
    <t xml:space="preserve"> Control of bleeding of esophagus, stomach, and/or upper small bowel using a flexible endoscope</t>
  </si>
  <si>
    <t xml:space="preserve"> Heat delivery to muscle at esophagus and/or stomach to treat gastric reflux using a flexible endoscope</t>
  </si>
  <si>
    <t xml:space="preserve"> Ultrasound exam of esophagus, stomach, and/or upper small bowel using a flexible endoscope</t>
  </si>
  <si>
    <t xml:space="preserve"> Diagnostic exam of gallbladder and pancreatic, liver, and bile ducts using an endoscope</t>
  </si>
  <si>
    <t xml:space="preserve"> Biopsy of gallbladder, pancreatic, liver, and bile ducts using a flexible endoscope</t>
  </si>
  <si>
    <t xml:space="preserve"> Incision of pancreatic outlet using a flexible endoscope</t>
  </si>
  <si>
    <t xml:space="preserve"> Pressure measurement of pancreatic or bile duct sphincter using a flexible endoscope</t>
  </si>
  <si>
    <t xml:space="preserve"> Removal of stone or debris from bile or pancreatic duct using a flexible endoscope</t>
  </si>
  <si>
    <t xml:space="preserve"> Destruction of stone of bile or pancreatic duct using a flexible endoscope</t>
  </si>
  <si>
    <t xml:space="preserve"> Placement of stent in esophagus, stomach, and/or upper small bowel using a flexible endoscope</t>
  </si>
  <si>
    <t xml:space="preserve"> Destruction of polyp or growth of esophagus, stomach, and/or upper small bowel using a flexible endoscope</t>
  </si>
  <si>
    <t xml:space="preserve"> Exam of common bile and/or pancreatic duct using a flexible endoscope</t>
  </si>
  <si>
    <t xml:space="preserve"> Insertion of stent into pancreatic or bile duct using a flexible endoscope</t>
  </si>
  <si>
    <t xml:space="preserve"> Removal of stent from pancreatic or bile duct using a flexible endoscope</t>
  </si>
  <si>
    <t xml:space="preserve"> Replacement of stent in pancreatic or bile duct using a flexible endoscope</t>
  </si>
  <si>
    <t xml:space="preserve"> Balloon dilation of pancreatic or bile duct or sphincter using a flexible endoscope</t>
  </si>
  <si>
    <t xml:space="preserve"> Destruction of polyp or growth of gallbladder and/or bile duct using a flexible endoscope</t>
  </si>
  <si>
    <t xml:space="preserve"> Strengthening of muscle between esophagus and stomach by wrapping part of stomach around esophagus using an endoscope</t>
  </si>
  <si>
    <t xml:space="preserve"> Repair of hernia of muscle at esophagus and stomach using an endoscope</t>
  </si>
  <si>
    <t xml:space="preserve"> Repair of hernia of muscle at esophagus and stomach with implantation of mesh using an endoscope</t>
  </si>
  <si>
    <t xml:space="preserve"> Insertion of magnetic band around base of esophagus to tighten opening into stomach using an endoscope</t>
  </si>
  <si>
    <t xml:space="preserve"> Removal of magnetic band from base of esophagus using an endoscope</t>
  </si>
  <si>
    <t xml:space="preserve"> Other procedure on esophagus using an endoscope</t>
  </si>
  <si>
    <t xml:space="preserve"> Placement of balloon in stomach for weight loss using flexible endoscope</t>
  </si>
  <si>
    <t xml:space="preserve"> Removal of balloon in stomach for weight loss using flexible endoscope</t>
  </si>
  <si>
    <t xml:space="preserve"> Repair of abnormal drainage tract of esophagus through neck</t>
  </si>
  <si>
    <t xml:space="preserve"> Dilation of esophagus</t>
  </si>
  <si>
    <t xml:space="preserve"> Dilation of esophagus with a guide wire</t>
  </si>
  <si>
    <t xml:space="preserve"> Insertion of permanent stomach tube with dilation of esophagus</t>
  </si>
  <si>
    <t xml:space="preserve"> Incision of vagus nerve in stomach using an endoscope</t>
  </si>
  <si>
    <t xml:space="preserve"> Incision of selective vagus nerves of stomach using an endoscope</t>
  </si>
  <si>
    <t xml:space="preserve"> Creation of surgical opening from stomach to skin using an endoscope</t>
  </si>
  <si>
    <t xml:space="preserve"> Other procedure on stomach using an endoscope</t>
  </si>
  <si>
    <t xml:space="preserve"> Insertion of stomach tube through nose or mouth using fluoroscopic guidance</t>
  </si>
  <si>
    <t xml:space="preserve"> Insertion of stomach tube and aspiration of stomach contents</t>
  </si>
  <si>
    <t xml:space="preserve"> Diagnostic insertion of stomach tube and aspiration of stomach contents</t>
  </si>
  <si>
    <t xml:space="preserve"> Diagnostic insertion of stomach tube and aspiration of stomach contents after administration of drugs to stimulate stomach secretions, with multiple samples</t>
  </si>
  <si>
    <t xml:space="preserve"> Diagnostic insertion of tube into upper small bowel and specimen collection using imaging guidance</t>
  </si>
  <si>
    <t xml:space="preserve"> Insertion of tube into upper small bowel for collection of multiple bile and pancreatic specimens using imaging guidance after administration of drugs to stimulate secretions</t>
  </si>
  <si>
    <t xml:space="preserve"> Repositioning of oral or nasal feeding tube in small bowel</t>
  </si>
  <si>
    <t xml:space="preserve"> Replacement of stomach stoma tube</t>
  </si>
  <si>
    <t xml:space="preserve"> Replacement of stomach stoma tube with revision of stoma opening</t>
  </si>
  <si>
    <t xml:space="preserve"> Insertion of adjustable stomach reduction device using an endoscope</t>
  </si>
  <si>
    <t xml:space="preserve"> Removal of stomach reduction device using an endoscope</t>
  </si>
  <si>
    <t xml:space="preserve"> Replacement of stomach reduction device using an endoscope</t>
  </si>
  <si>
    <t xml:space="preserve"> Removal of stomach reduction device and port using an endoscope</t>
  </si>
  <si>
    <t xml:space="preserve"> Insertion of stomach feeding tube</t>
  </si>
  <si>
    <t xml:space="preserve"> Insertion of stomach feeding tube, newborn</t>
  </si>
  <si>
    <t xml:space="preserve"> Closure of surgically created opening from stomach to skin</t>
  </si>
  <si>
    <t xml:space="preserve"> Revision of port for saline injection into stomach banding device</t>
  </si>
  <si>
    <t xml:space="preserve"> Removal of port for saline injection into stomach banding device</t>
  </si>
  <si>
    <t xml:space="preserve"> Replacement of port for saline injection into stomach banding device</t>
  </si>
  <si>
    <t xml:space="preserve"> Biopsy of small bowel by capsule attached to tube passed through mouth</t>
  </si>
  <si>
    <t xml:space="preserve"> Partial removal of large bowel and reattachment to rectum</t>
  </si>
  <si>
    <t xml:space="preserve"> Release of small bowel scar tissue using an endoscope</t>
  </si>
  <si>
    <t xml:space="preserve"> Creation of opening from small bowel to skin with insertion of a tube for decompression or feeding using an endoscope</t>
  </si>
  <si>
    <t xml:space="preserve"> Creation of opening from small bowel to skin</t>
  </si>
  <si>
    <t xml:space="preserve"> Simple revision of superficial scar tissue from surgically created opening of small bowel to skin</t>
  </si>
  <si>
    <t xml:space="preserve"> Simple revision of superficial scar tissue from surgically created opening of large bowel to skin</t>
  </si>
  <si>
    <t xml:space="preserve"> Diagnostic exam of small bowel (excluding lower small intestine) using an endoscope</t>
  </si>
  <si>
    <t xml:space="preserve"> Biopsy of small bowel (except ileum) using an endoscope</t>
  </si>
  <si>
    <t xml:space="preserve"> Removal of foreign bodies from small bowel using an endoscope</t>
  </si>
  <si>
    <t xml:space="preserve"> Removal of small bowel polyps or growths using an endoscope with mechanical snare</t>
  </si>
  <si>
    <t xml:space="preserve"> Removal of small bowel polyps or growths using an endoscope with electrical cautery</t>
  </si>
  <si>
    <t xml:space="preserve"> Control of bleeding of first or second part of small bowel using an endoscope</t>
  </si>
  <si>
    <t xml:space="preserve"> Destruction of polyp or growth of small bowel using an endoscope</t>
  </si>
  <si>
    <t xml:space="preserve"> Insertion of small bowel stent above lower small bowel using an endoscope</t>
  </si>
  <si>
    <t xml:space="preserve"> Insertion of tube into middle small bowel using an endoscope</t>
  </si>
  <si>
    <t xml:space="preserve"> Conversion of stomach tube to tube in middle small bowel using an endoscope</t>
  </si>
  <si>
    <t xml:space="preserve"> Diagnostic exam of small bowel (including lower small intestine) using an endoscope</t>
  </si>
  <si>
    <t xml:space="preserve"> Biopsy of small bowel using an endoscope</t>
  </si>
  <si>
    <t xml:space="preserve"> Control of bleeding of small bowel using an endoscope</t>
  </si>
  <si>
    <t xml:space="preserve"> Insertion of small bowel stent below lower small bowel using an endoscope</t>
  </si>
  <si>
    <t xml:space="preserve"> Diagnostic exam of small bowel using an endoscope inserted through surgically created opening from small bowel to skin</t>
  </si>
  <si>
    <t xml:space="preserve"> Balloon dilation of small bowel using an endoscope</t>
  </si>
  <si>
    <t xml:space="preserve"> Biopsy of small bowel using an endoscope inserted through surgically created opening from lower small bowel to skin</t>
  </si>
  <si>
    <t xml:space="preserve"> Insertion of stent into small bowel using an endoscope inserted through surgically created opening from small bowel to skin</t>
  </si>
  <si>
    <t xml:space="preserve"> Diagnostic exam of surgically created pouch of small bowel using an endoscope</t>
  </si>
  <si>
    <t xml:space="preserve"> Biopsy of small bowel pouch using an endoscope</t>
  </si>
  <si>
    <t xml:space="preserve"> Diagnostic exam of large bowel using an endoscope inserted through surgically created opening from large bowel to skin</t>
  </si>
  <si>
    <t xml:space="preserve"> Biopsy of large bowel using an endoscope inserted through surgically created opening from large bowel to skin</t>
  </si>
  <si>
    <t xml:space="preserve"> Removal of foreign bodies from large bowel using an endoscope inserted through surgically created opening from large bowel to skin</t>
  </si>
  <si>
    <t xml:space="preserve"> Control of bleeding of large bowel using an endoscope inserted through surgically created opening from large bowel to skin</t>
  </si>
  <si>
    <t xml:space="preserve"> Removal of growths or polyps of large bowel by electrical cautery using an endoscope inserted through surgically created opening from large bowel to skin</t>
  </si>
  <si>
    <t xml:space="preserve"> Removal of growths or polyps of large bowel by mechanical snare using an endoscope inserted through surgically created opening into large bowel to skin</t>
  </si>
  <si>
    <t xml:space="preserve"> Destruction of growth or polyp of large bowel using an endoscope inserted through surgically created opening from large bowel to skin</t>
  </si>
  <si>
    <t xml:space="preserve"> Insertion of stent into large bowel using an endoscope inserted through surgically created opening from large bowel to skin</t>
  </si>
  <si>
    <t xml:space="preserve"> Removal of lining of large bowel using an endoscope inserted through surgically created opening from large bowel to skin</t>
  </si>
  <si>
    <t xml:space="preserve"> Injection beneath lining of large bowel using an endoscope inserted through surgically created opening from large bowel to skin</t>
  </si>
  <si>
    <t xml:space="preserve"> Balloon dilation of large bowel using an endoscope</t>
  </si>
  <si>
    <t xml:space="preserve"> Ultrasound exam of large bowel using an endoscope inserted through surgically created opening from large bowel to skin</t>
  </si>
  <si>
    <t xml:space="preserve"> Fine needle aspiration and/or biopsy of large bowel with ultrasound guidance using an endoscope inserted through surgically created opening from large bowel to skin</t>
  </si>
  <si>
    <t xml:space="preserve"> Decompression of large bowel using an endoscope inserted through surgically created opening in large bowel to skin</t>
  </si>
  <si>
    <t xml:space="preserve"> Dilation of stomach and/or small bowel using long gastrointestinal tube</t>
  </si>
  <si>
    <t xml:space="preserve"> Suture of tear of hole in small bowel</t>
  </si>
  <si>
    <t xml:space="preserve"> Irrigation of large bowel during surgery</t>
  </si>
  <si>
    <t xml:space="preserve"> Removal of appendix</t>
  </si>
  <si>
    <t xml:space="preserve"> Removal of appendix during other major procedure</t>
  </si>
  <si>
    <t xml:space="preserve"> Removal of appendix using an endoscope</t>
  </si>
  <si>
    <t xml:space="preserve"> Drainage of abscess of pelvic region</t>
  </si>
  <si>
    <t xml:space="preserve"> Drainage of superficial rectal abscess</t>
  </si>
  <si>
    <t xml:space="preserve"> Incision and drainage of abscess above pelvic floor or behind rectum</t>
  </si>
  <si>
    <t xml:space="preserve"> Biopsy of anal and/or rectal wall through anus</t>
  </si>
  <si>
    <t xml:space="preserve"> Removal of muscle in anus and rectum area</t>
  </si>
  <si>
    <t xml:space="preserve"> Incision of stricture of rectum</t>
  </si>
  <si>
    <t xml:space="preserve"> Removal of growth of rectum through sacrum</t>
  </si>
  <si>
    <t xml:space="preserve"> Removal of growth of rectum through anus</t>
  </si>
  <si>
    <t xml:space="preserve"> Removal of growth of rectum through anus with removal of a portion of muscle</t>
  </si>
  <si>
    <t xml:space="preserve"> Destruction of growth of rectum</t>
  </si>
  <si>
    <t xml:space="preserve"> Diagnostic exam of rectum and lower large bowel using an endoscope</t>
  </si>
  <si>
    <t xml:space="preserve"> Dilation of rectum and/or lower large bowel using an endoscope</t>
  </si>
  <si>
    <t xml:space="preserve"> Biopsies of rectum and/or lower large bowel using a rigid endoscope</t>
  </si>
  <si>
    <t xml:space="preserve"> Removal of foreign bodies from rectum and/or lower large bowel using a rigid endoscope</t>
  </si>
  <si>
    <t xml:space="preserve"> Removal of polyp or growth of rectum and large bowel using an endoscope with electrical cautery</t>
  </si>
  <si>
    <t xml:space="preserve"> Removal of polyp or growth of rectum and large bowel using an endoscope with mechanical snare</t>
  </si>
  <si>
    <t xml:space="preserve"> Removal of multiple growths or polyps of lower large bowel by electrical cautery or mechanical snare using a rigid endoscope</t>
  </si>
  <si>
    <t xml:space="preserve"> Control of bleeding of lower large bowel using an endoscope</t>
  </si>
  <si>
    <t xml:space="preserve"> Destruction of multiple polyps or growths of lower large bowel using an endoscope</t>
  </si>
  <si>
    <t xml:space="preserve"> Release of twisted lower large bowel using a rigid endoscope</t>
  </si>
  <si>
    <t xml:space="preserve"> Insertion of stent into lower large bowel using an endoscope</t>
  </si>
  <si>
    <t xml:space="preserve"> Diagnostic exam of lower portion of large bowel using a flexible endoscope</t>
  </si>
  <si>
    <t xml:space="preserve"> Biopsy of lower large bowel using a flexible endoscope</t>
  </si>
  <si>
    <t xml:space="preserve"> Removal of foreign bodies in lower portion of large bowel using a flexible endoscope</t>
  </si>
  <si>
    <t xml:space="preserve"> Removal of polyps or growths of lower large bowel using a flexible endoscope with electrical cautery</t>
  </si>
  <si>
    <t xml:space="preserve"> Control of bleeding of lower large bowel using a flexible endoscope</t>
  </si>
  <si>
    <t xml:space="preserve"> Injection beneath lining of lower large bowel using a flexible endoscope</t>
  </si>
  <si>
    <t xml:space="preserve"> Decompression of twisted or abnormally dilated lower large bowel using a flexible endoscope</t>
  </si>
  <si>
    <t xml:space="preserve"> Removal of polyps or growths of lower large bowel using a flexible endoscope with mechanical snare</t>
  </si>
  <si>
    <t xml:space="preserve"> Balloon dilation of lower large bowel using a flexible endoscope</t>
  </si>
  <si>
    <t xml:space="preserve"> Ultrasound exam of lower large bowel using a flexible endoscope</t>
  </si>
  <si>
    <t xml:space="preserve"> Fine needle aspiration and/or biopsy of lower large bowel with ultrasound guidance using a flexible endoscope</t>
  </si>
  <si>
    <t xml:space="preserve"> Destruction of polyp or growth of lower large bowel using a flexible endoscope</t>
  </si>
  <si>
    <t xml:space="preserve"> Insertion of stent into lower large bowel using a flexible endoscope</t>
  </si>
  <si>
    <t xml:space="preserve"> Removal of lower portion of large bowel tissue using a flexible endoscope</t>
  </si>
  <si>
    <t xml:space="preserve"> Banding of hemorrhoids using a flexible endoscope (sigmoidoscope)</t>
  </si>
  <si>
    <t xml:space="preserve"> Diagnostic exam of large bowel using a flexible endoscope</t>
  </si>
  <si>
    <t xml:space="preserve"> Removal of foreign bodies in large bowel using a flexible endoscope</t>
  </si>
  <si>
    <t xml:space="preserve"> Biopsy of large bowel using a flexible endoscope</t>
  </si>
  <si>
    <t xml:space="preserve"> Injection beneath lining of large bowel using a flexible endoscope</t>
  </si>
  <si>
    <t xml:space="preserve"> Control of bleeding of upper large bowel using a flexible endoscope</t>
  </si>
  <si>
    <t xml:space="preserve"> Removal of polyps or growths of large bowel using a flexible endoscope with electrical cautery</t>
  </si>
  <si>
    <t xml:space="preserve"> Removal of polyps or growths of large bowel using an endoscope with mechanical snare</t>
  </si>
  <si>
    <t xml:space="preserve"> Balloon dilation of large bowel using a flexible endoscope</t>
  </si>
  <si>
    <t xml:space="preserve"> Destruction of polyp or growth of large bowel using a flexible endoscope</t>
  </si>
  <si>
    <t xml:space="preserve"> Insertion of stent in large bowel using a flexible endoscope</t>
  </si>
  <si>
    <t xml:space="preserve"> Removal of large bowel tissue using a flexible endoscope</t>
  </si>
  <si>
    <t xml:space="preserve"> Ultrasound exam of large bowel using a flexible endoscope</t>
  </si>
  <si>
    <t xml:space="preserve"> Fine needle aspiration and/or biopsy of large bowel with ultrasound guidance using a flexible endoscope</t>
  </si>
  <si>
    <t xml:space="preserve"> Decompression of twisted or abnormally dilated large bowel using a flexible endoscope</t>
  </si>
  <si>
    <t xml:space="preserve"> Banding of hemorrhoids using a flexible endoscope (colonoscope)</t>
  </si>
  <si>
    <t xml:space="preserve"> Repair of narrowed rectum</t>
  </si>
  <si>
    <t xml:space="preserve"> Repair of prolapsed lining of rectum through anus</t>
  </si>
  <si>
    <t xml:space="preserve"> Injection of prolapsed vein in rectum</t>
  </si>
  <si>
    <t xml:space="preserve"> Suture of rectum to sacrum through perineum</t>
  </si>
  <si>
    <t xml:space="preserve"> Repair of bulging of rectum into vagina</t>
  </si>
  <si>
    <t xml:space="preserve"> Manual replacement of prolapsed rectum under anesthesia</t>
  </si>
  <si>
    <t xml:space="preserve"> Dilation of sphincter of anus under anesthesia</t>
  </si>
  <si>
    <t xml:space="preserve"> Dilation of narrowing of rectum under anesthesia</t>
  </si>
  <si>
    <t xml:space="preserve"> Removal of impacted stool or foreign body in rectum under anesthesia</t>
  </si>
  <si>
    <t xml:space="preserve"> Diagnostic exam of anus and rectum under anesthesia</t>
  </si>
  <si>
    <t xml:space="preserve"> Other procedure on rectum</t>
  </si>
  <si>
    <t xml:space="preserve"> Insertion of drain (seton) into anus</t>
  </si>
  <si>
    <t xml:space="preserve"> Removal of drain (seton) from anus</t>
  </si>
  <si>
    <t xml:space="preserve"> Drainage of deep abscess in rectum</t>
  </si>
  <si>
    <t xml:space="preserve"> Incision and drainage of abscess within wall of rectum under anesthesia</t>
  </si>
  <si>
    <t xml:space="preserve"> Drainage of superficial rectal abscess surrounding anus</t>
  </si>
  <si>
    <t xml:space="preserve"> Incision and drainage of abscess in wall of rectum or between rectum and muscle with incision or removal of abnormal drainage tract</t>
  </si>
  <si>
    <t xml:space="preserve"> Incision of tissue blocking rectum, infant</t>
  </si>
  <si>
    <t xml:space="preserve"> Incision of sphincter of anus</t>
  </si>
  <si>
    <t xml:space="preserve"> Incision of external hemorrhoid with blood clot</t>
  </si>
  <si>
    <t xml:space="preserve"> Removal of chronic tear of anus</t>
  </si>
  <si>
    <t xml:space="preserve"> Removal of single external noncancer growth of anus</t>
  </si>
  <si>
    <t xml:space="preserve"> Removal of external hemorrhoids by rubber banding</t>
  </si>
  <si>
    <t xml:space="preserve"> Removal of multiple external noncancer growths of anus</t>
  </si>
  <si>
    <t xml:space="preserve"> Removal of multiple external hemorrhoids</t>
  </si>
  <si>
    <t xml:space="preserve"> Removal of single external and internal hemorrhoid group</t>
  </si>
  <si>
    <t xml:space="preserve"> Removal of single external and internal hemorrhoid group and chronic tear in anus</t>
  </si>
  <si>
    <t xml:space="preserve"> Removal of single external and internal hemorrhoid group with removal of abnormal drainage tract in anus</t>
  </si>
  <si>
    <t xml:space="preserve"> Removal of multiple hemorrhoid groups</t>
  </si>
  <si>
    <t xml:space="preserve"> Removal of multiple hemorrhoid groups and chronic tear in anus</t>
  </si>
  <si>
    <t xml:space="preserve"> Removal of multiple hemorrhoid groups with removal of abnormal drainage tract from anus</t>
  </si>
  <si>
    <t xml:space="preserve"> Repair of abnormal anal drainage tract</t>
  </si>
  <si>
    <t xml:space="preserve"> Repair of abnormal drainage tract in anal sphincter</t>
  </si>
  <si>
    <t xml:space="preserve"> Repair of abnormal drainage tract around anal sphincter</t>
  </si>
  <si>
    <t xml:space="preserve"> second stage repair of abnormal anal drainage tract</t>
  </si>
  <si>
    <t xml:space="preserve"> Repair of abnormal anal drainage tract with rectal tissue flap</t>
  </si>
  <si>
    <t xml:space="preserve"> Removal of external hemorrhoid with blood clot</t>
  </si>
  <si>
    <t xml:space="preserve"> Injection of hemorrhoid</t>
  </si>
  <si>
    <t xml:space="preserve"> Injection of agent to destroy nerve to internal sphincter of anus</t>
  </si>
  <si>
    <t xml:space="preserve"> Diagnostic exam of anus using an endoscope</t>
  </si>
  <si>
    <t xml:space="preserve"> Diagnostic exam of anus with magnification and chemical agent enhancement using an endoscope</t>
  </si>
  <si>
    <t xml:space="preserve"> Dilation of anus using an endoscope</t>
  </si>
  <si>
    <t xml:space="preserve"> Biopsy of anus using an endoscope</t>
  </si>
  <si>
    <t xml:space="preserve"> Biopsy of anus with magnification and chemical agent enhancement using an endoscope</t>
  </si>
  <si>
    <t xml:space="preserve"> Removal of foreign body in anus using an endoscope</t>
  </si>
  <si>
    <t xml:space="preserve"> Removal of anal polyps or growths using an endoscope with electrical cautery</t>
  </si>
  <si>
    <t xml:space="preserve"> Removal of single anal polyp or growth using an endoscope with mechanical snare</t>
  </si>
  <si>
    <t xml:space="preserve"> Removal of multiple anal polyps or growths using an endoscope with electrical cautery or mechanical snare</t>
  </si>
  <si>
    <t xml:space="preserve"> Control of bleeding of anus using an endoscope</t>
  </si>
  <si>
    <t xml:space="preserve"> Destruction of anal polyp or growth using an endoscope</t>
  </si>
  <si>
    <t xml:space="preserve"> Plastic repair of anal stricture, adult</t>
  </si>
  <si>
    <t xml:space="preserve"> Repair of abnormal anal drainage tract with tissue glue</t>
  </si>
  <si>
    <t xml:space="preserve"> Repair of abnormal anal drainage tract with implanted plug</t>
  </si>
  <si>
    <t xml:space="preserve"> Repair of anal muscle for incontinence or prolapse, adult</t>
  </si>
  <si>
    <t xml:space="preserve"> Repair of muscle of anus for incontinence and/or prolapse using wire, graft, or suture</t>
  </si>
  <si>
    <t xml:space="preserve"> Removal of anal muscle wire or suture</t>
  </si>
  <si>
    <t xml:space="preserve"> Repair of anal muscle to correct incontinence using muscle transplant, adult</t>
  </si>
  <si>
    <t xml:space="preserve"> Repair of anal muscle to correct incontinence with muscle tightening, adult</t>
  </si>
  <si>
    <t xml:space="preserve"> Simple chemical destruction of growth of anus</t>
  </si>
  <si>
    <t xml:space="preserve"> Simple destruction of growth of anus</t>
  </si>
  <si>
    <t xml:space="preserve"> Electrical destruction of growth of anus</t>
  </si>
  <si>
    <t xml:space="preserve"> Laser destruction of growth of anus</t>
  </si>
  <si>
    <t xml:space="preserve"> Simple removal of growth of anus</t>
  </si>
  <si>
    <t xml:space="preserve"> Extensive destruction of growth of anus</t>
  </si>
  <si>
    <t xml:space="preserve"> Destruction of internal hemorrhoids using heat</t>
  </si>
  <si>
    <t xml:space="preserve"> Initial repair of anal tear with dilation of anal muscle</t>
  </si>
  <si>
    <t xml:space="preserve"> Subsequent repair of anal tear with dilation of anal muscle</t>
  </si>
  <si>
    <t xml:space="preserve"> Tying of single internal hemorrhoid group</t>
  </si>
  <si>
    <t xml:space="preserve"> Tying of multiple internal hemorrhoid groups</t>
  </si>
  <si>
    <t xml:space="preserve"> Stapling of internal hemorrhoid</t>
  </si>
  <si>
    <t xml:space="preserve"> Tying of arteries to multiple internal hemorrhoid groups</t>
  </si>
  <si>
    <t xml:space="preserve"> Other procedure on anus</t>
  </si>
  <si>
    <t xml:space="preserve"> Needle biopsy of liver through skin</t>
  </si>
  <si>
    <t xml:space="preserve"> Needle biopsy of liver</t>
  </si>
  <si>
    <t xml:space="preserve"> Partial removal of liver tissue</t>
  </si>
  <si>
    <t xml:space="preserve"> Other procedure on liver using an endoscope</t>
  </si>
  <si>
    <t xml:space="preserve"> Destruction of growth of liver through skin using radiofrequency</t>
  </si>
  <si>
    <t xml:space="preserve"> Destruction of growth of liver through skin using freezing</t>
  </si>
  <si>
    <t xml:space="preserve"> Insertion of tube into gallbladder using imaging guidance with review by radiologist</t>
  </si>
  <si>
    <t xml:space="preserve"> Injection of bile duct for X-ray through already existing skin access using imaging guidance with review by radiologist</t>
  </si>
  <si>
    <t xml:space="preserve"> Injection of bile duct for X-ray through new skin access using imaging guidance with review by radiologist</t>
  </si>
  <si>
    <t xml:space="preserve"> Placement of external drainage tube of biliary duct using imaging guidance with review by radiologist</t>
  </si>
  <si>
    <t xml:space="preserve"> Placement of internal-external drainage tube of biliary duct using imaging guidance with review by radiologist</t>
  </si>
  <si>
    <t xml:space="preserve"> Conversion of external biliary drainage tube to internal-external biliary drainage tube using imaging guidance and study of bile duct with review by radiologist</t>
  </si>
  <si>
    <t xml:space="preserve"> Replacement of liver duct drainage tube using imaging guidance with review by radiologist</t>
  </si>
  <si>
    <t xml:space="preserve"> Removal of biliary drainage tube using imaging guidance with review by radiologist</t>
  </si>
  <si>
    <t xml:space="preserve"> Placement of stent of biliary duct through existing skin access using imaging guidance with review by radiologist</t>
  </si>
  <si>
    <t xml:space="preserve"> Placement of stent of biliary duct through new skin access using imaging with review by radiologist</t>
  </si>
  <si>
    <t xml:space="preserve"> Placement of stent and drainage tube of biliary duct using imaging guidance with review by radiologist</t>
  </si>
  <si>
    <t xml:space="preserve"> Placement of access device into biliary tract using imaging guidance with review by radiologist</t>
  </si>
  <si>
    <t xml:space="preserve"> Balloon dilation of bile duct using imaging guidance with review by radiologist</t>
  </si>
  <si>
    <t xml:space="preserve"> Biopsy of bile duct or liver duct using imaging guidance with review by radiologist</t>
  </si>
  <si>
    <t xml:space="preserve"> Removal of biliary duct or gallbladder stone using imaging guidance with review by radiologist</t>
  </si>
  <si>
    <t xml:space="preserve"> Diagnostic exam of bile duct using an endoscope</t>
  </si>
  <si>
    <t xml:space="preserve"> Biopsy of bile duct using an endoscope</t>
  </si>
  <si>
    <t xml:space="preserve"> Removal of bile duct stones using an endoscope</t>
  </si>
  <si>
    <t xml:space="preserve"> Dilation of bile ducts using an endoscope</t>
  </si>
  <si>
    <t xml:space="preserve"> Dilation of bile ducts with stent insertion using an endoscope</t>
  </si>
  <si>
    <t xml:space="preserve"> Removal of gallbladder using an endoscope</t>
  </si>
  <si>
    <t xml:space="preserve"> Removal of gallbladder with X-ray study of bile ducts using an endoscope</t>
  </si>
  <si>
    <t xml:space="preserve"> Removal of gallbladder with exploration of common bile duct using an endoscope</t>
  </si>
  <si>
    <t xml:space="preserve"> Other procedure on bile duct using an endoscope</t>
  </si>
  <si>
    <t xml:space="preserve"> Removal of gallbladder</t>
  </si>
  <si>
    <t xml:space="preserve"> Removal of gallbladder with X-ray study of bile ducts</t>
  </si>
  <si>
    <t xml:space="preserve"> Needle biopsy of pancreas</t>
  </si>
  <si>
    <t xml:space="preserve"> Removal of pancreas with pancreatic cell transplantation</t>
  </si>
  <si>
    <t xml:space="preserve"> Reopening of recent abdominal incision</t>
  </si>
  <si>
    <t xml:space="preserve"> Drainage of fluid from abdominal cavity</t>
  </si>
  <si>
    <t xml:space="preserve"> Drainage of fluid from abdominal cavity using imaging guidance</t>
  </si>
  <si>
    <t xml:space="preserve"> Irrigation of abdominal cavity</t>
  </si>
  <si>
    <t xml:space="preserve"> Needle biopsy of growth of abdominal cavity</t>
  </si>
  <si>
    <t xml:space="preserve"> Removal of navel and surrounding tissue</t>
  </si>
  <si>
    <t xml:space="preserve"> Diagnostic exam of abdomen using an endoscope</t>
  </si>
  <si>
    <t xml:space="preserve"> Biopsy of abdomen using an endoscope</t>
  </si>
  <si>
    <t xml:space="preserve"> Aspiration of abdominal cavity or cyst using an endoscope</t>
  </si>
  <si>
    <t xml:space="preserve"> Drainage of lymph fluid to abdominal cavity using an endoscope</t>
  </si>
  <si>
    <t xml:space="preserve"> Insertion of abdominal cavity tube using an endoscope</t>
  </si>
  <si>
    <t xml:space="preserve"> Revision of abdominal cavity tube using an endoscope</t>
  </si>
  <si>
    <t xml:space="preserve"> Suture of internal abdominal lining using an endoscope</t>
  </si>
  <si>
    <t xml:space="preserve"> Exam of abdomen with insertion of device for radiation therapy using an endoscope</t>
  </si>
  <si>
    <t xml:space="preserve"> Other procedure on abdomen using an endoscope</t>
  </si>
  <si>
    <t xml:space="preserve"> Injection of air or X-ray contrast into abdominal cavity</t>
  </si>
  <si>
    <t xml:space="preserve"> Removal of foreign body in abdominal cavity</t>
  </si>
  <si>
    <t xml:space="preserve"> Drainage of fluid collection of abdominal cavity by tube using imaging guidance</t>
  </si>
  <si>
    <t xml:space="preserve"> Drainage of fluid collection by tube through vagina or rectum using imaging guidance</t>
  </si>
  <si>
    <t xml:space="preserve"> Insertion of device in abdominal cavity through skin for radiation therapy guidance</t>
  </si>
  <si>
    <t xml:space="preserve"> Insertion of abdominal tube using imaging guidance with review by radiologist</t>
  </si>
  <si>
    <t xml:space="preserve"> Insertion of abdominal cavity tube for drug delivery</t>
  </si>
  <si>
    <t xml:space="preserve"> Insertion of abdominal cavity tube for drainage or dialysis</t>
  </si>
  <si>
    <t xml:space="preserve"> Removal of abdominal cavity tube</t>
  </si>
  <si>
    <t xml:space="preserve"> Exchange of abdominal cavity drainage tube using imaging guidance</t>
  </si>
  <si>
    <t xml:space="preserve"> Injection of contrast through abdominal cavity tube for X-ray study</t>
  </si>
  <si>
    <t xml:space="preserve"> Revision of shunt from jugular vein to abdominal cavity</t>
  </si>
  <si>
    <t xml:space="preserve"> Injection for X-ray study of shunt from jugular vein to abdominal cavity</t>
  </si>
  <si>
    <t xml:space="preserve"> Removal of shunt from jugular vein to abdominal cavity</t>
  </si>
  <si>
    <t xml:space="preserve"> Insertion of abdominal cavity tube extension</t>
  </si>
  <si>
    <t xml:space="preserve"> Creation of exit site for tube in abdominal cavity</t>
  </si>
  <si>
    <t xml:space="preserve"> Insertion of stomach tube using fluoroscopic guidance with contrast</t>
  </si>
  <si>
    <t xml:space="preserve"> Insertion of small bowel tube using fluoroscopic guidance with contrast</t>
  </si>
  <si>
    <t xml:space="preserve"> Insertion of large bowel tube using fluoroscopic guidance with contrast</t>
  </si>
  <si>
    <t xml:space="preserve"> Conversion of stomach tube to stomach-to-small bowel tube using fluoroscopic guidance with contrast</t>
  </si>
  <si>
    <t xml:space="preserve"> Replacement of stomach or large bowel tube using fluoroscopic guidance with contrast</t>
  </si>
  <si>
    <t xml:space="preserve"> Replacement of small bowel tube using fluoroscopic guidance with contrast</t>
  </si>
  <si>
    <t xml:space="preserve"> Replacement of stomach-to-small bowel tube using fluoroscopic guidance with contrast</t>
  </si>
  <si>
    <t xml:space="preserve"> Mechanical removal of obstructive material from stomach, large, or small bowel tube using fluoroscopic guidance</t>
  </si>
  <si>
    <t xml:space="preserve"> Contrast injection for X-ray imaging through existing tube in stomach, small bowel or large bowel</t>
  </si>
  <si>
    <t xml:space="preserve"> Repair of groin hernia in full term infant younger than 6 months or preterm infant older than 50 weeks of age postconception and younger than 6 months at time of surgery</t>
  </si>
  <si>
    <t xml:space="preserve"> Repair of trapped groin hernia in full term infant younger than 6 months or preterm infant older than 50 weeks postconception and younger than 6 months at time of surgery</t>
  </si>
  <si>
    <t xml:space="preserve"> Repair of groin hernia (6 months to younger than 5 years)</t>
  </si>
  <si>
    <t xml:space="preserve"> Repair of trapped groin hernia (6 months to younger than 5 years)</t>
  </si>
  <si>
    <t xml:space="preserve"> Repair of groin hernia (5 years or older)</t>
  </si>
  <si>
    <t xml:space="preserve"> Repair of trapped groin hernia (5 years or older)</t>
  </si>
  <si>
    <t xml:space="preserve"> Repair of groin hernia that is not trapped</t>
  </si>
  <si>
    <t xml:space="preserve"> Repair of trapped or strangulated groin hernia</t>
  </si>
  <si>
    <t xml:space="preserve"> Repair of sliding groin hernia</t>
  </si>
  <si>
    <t xml:space="preserve"> Repair of abdominal muscle hernia</t>
  </si>
  <si>
    <t xml:space="preserve"> Repair of femoral groin hernia</t>
  </si>
  <si>
    <t xml:space="preserve"> Repair of trapped femoral groin hernia</t>
  </si>
  <si>
    <t xml:space="preserve"> Repair of recurrent femoral groin hernia</t>
  </si>
  <si>
    <t xml:space="preserve"> Repair of trapped recurrent femoral groin hernia</t>
  </si>
  <si>
    <t xml:space="preserve"> Initial repair of sliding hernia of abdomen, less than 3 cm in length</t>
  </si>
  <si>
    <t xml:space="preserve"> Initial repair of entrapped hernia of abdomen, less than 3 cm in length</t>
  </si>
  <si>
    <t xml:space="preserve"> Initial repair of sliding hernia of abdomen, 3-10 cm in length</t>
  </si>
  <si>
    <t xml:space="preserve"> Initial repair of entrapped hernia of abdomen, 3-10 cm in length</t>
  </si>
  <si>
    <t xml:space="preserve"> Initial repair of sliding hernia of abdomen, more than 10 cm in length</t>
  </si>
  <si>
    <t xml:space="preserve"> Repair of small defect of abdominal wall at navel</t>
  </si>
  <si>
    <t xml:space="preserve"> Repair of recurrent sliding hernia of abdomen, less than 3 cm in length</t>
  </si>
  <si>
    <t xml:space="preserve"> Repair of recurrent entrapped hernia of abdomen, less than 3 cm in length</t>
  </si>
  <si>
    <t xml:space="preserve"> Repair of recurrent sliding hernia of abdomen, 3-10 cm in length</t>
  </si>
  <si>
    <t xml:space="preserve"> Repair of groin hernia using an endoscope</t>
  </si>
  <si>
    <t xml:space="preserve"> Repair of recurrent groin hernia using an endoscope</t>
  </si>
  <si>
    <t xml:space="preserve"> Drainage of abscess of kidney</t>
  </si>
  <si>
    <t xml:space="preserve"> Simple surgical treatment of kidney stone with imaging guidance</t>
  </si>
  <si>
    <t xml:space="preserve"> Complex surgical treatment of kidney stone with imaging guidance</t>
  </si>
  <si>
    <t xml:space="preserve"> Needle biopsy of kidney</t>
  </si>
  <si>
    <t xml:space="preserve"> Removal and replacement of stent in ureter with review by radiologist</t>
  </si>
  <si>
    <t xml:space="preserve"> Removal of stent in ureter through skin with review by radiologist</t>
  </si>
  <si>
    <t xml:space="preserve"> Removal and replacement of stent in ureter through urethra with review by radiologist</t>
  </si>
  <si>
    <t xml:space="preserve"> Removal of stent in ureter through ureter with review by radiologist</t>
  </si>
  <si>
    <t xml:space="preserve"> Removal and replacement of stent in kidney and ureter using fluoroscopic guidance with review by radiologist</t>
  </si>
  <si>
    <t xml:space="preserve"> Removal of kidney drainage tube using fluoroscopic guidance</t>
  </si>
  <si>
    <t xml:space="preserve"> Aspiration and/or injection of cyst of kidney</t>
  </si>
  <si>
    <t xml:space="preserve"> Instillation of drug into kidney and/or ureter</t>
  </si>
  <si>
    <t xml:space="preserve"> Measurement of urine flow in kidneys and ureters</t>
  </si>
  <si>
    <t xml:space="preserve"> Injection procedure for imaging of kidney and ureter through new skin access using imaging guidance with review by radiologist</t>
  </si>
  <si>
    <t xml:space="preserve"> Injection procedure for imaging of kidney and ureter through already existing skin access using imaging guidance with review by radiologist</t>
  </si>
  <si>
    <t xml:space="preserve"> Placement of tube of kidney using imaging guidance with review by radiologist</t>
  </si>
  <si>
    <t xml:space="preserve"> Placement of tube of kidney and urinary tube through new skin access using imaging guidance with review by radiologist</t>
  </si>
  <si>
    <t xml:space="preserve"> Conversion of kidney tube to nephroureteral tube using imaging guidance and study of kidney and ureter with review by radiologist</t>
  </si>
  <si>
    <t xml:space="preserve"> Replacement of kidney drainage tube using imaging guidance with review by radiologist</t>
  </si>
  <si>
    <t xml:space="preserve"> Dilation of existing opening into urinary tract using imaging guidance</t>
  </si>
  <si>
    <t xml:space="preserve"> Dilation of existing opening into urinary tract and creation of new access into urine collecting system of kidney using imaging guidance</t>
  </si>
  <si>
    <t xml:space="preserve"> Destruction of cyst of kidney using an endoscope</t>
  </si>
  <si>
    <t xml:space="preserve"> Repair of kidney using an endoscope</t>
  </si>
  <si>
    <t xml:space="preserve"> Exam of kidney using an endoscope inserted through surgically created opening from kidney to skin</t>
  </si>
  <si>
    <t xml:space="preserve"> Insertion of tube into ureter using an endoscope inserted through surgically created opening from kidney to skin</t>
  </si>
  <si>
    <t xml:space="preserve"> Biopsy of kidney using an endoscope inserted through surgically created opening from kidney to skin</t>
  </si>
  <si>
    <t xml:space="preserve"> Destruction and/or removal of growth of kidney using an endoscope inserted through surgically created opening from kidney to skin</t>
  </si>
  <si>
    <t xml:space="preserve"> Removal of foreign body or stone in kidney using an endoscope inserted through surgically created opening from kidney to skin</t>
  </si>
  <si>
    <t xml:space="preserve"> Removal of growth of kidney using an endoscope inserted through surgically created opening from kidney to skin</t>
  </si>
  <si>
    <t xml:space="preserve"> Exam of kidney using an endoscope</t>
  </si>
  <si>
    <t xml:space="preserve"> Insertion of tube into ureter using an endoscope through upper kidney area</t>
  </si>
  <si>
    <t xml:space="preserve"> Biopsy of kidney using an endoscope</t>
  </si>
  <si>
    <t xml:space="preserve"> Dilation and ureter stent insertion using an endoscope</t>
  </si>
  <si>
    <t xml:space="preserve"> Destruction and/or removal of growth of kidney using an endoscope</t>
  </si>
  <si>
    <t xml:space="preserve"> Removal of foreign body or stone in kidney using an endoscope</t>
  </si>
  <si>
    <t xml:space="preserve"> Shock wave crushing of kidney stones</t>
  </si>
  <si>
    <t xml:space="preserve"> Destruction of growth of kidney using radiofrequency</t>
  </si>
  <si>
    <t xml:space="preserve"> Destruction of growth of kidney by freezing</t>
  </si>
  <si>
    <t xml:space="preserve"> Biopsy of ureter and/or renal pelvis using imaging guidance with review by radiologist</t>
  </si>
  <si>
    <t xml:space="preserve"> Injection of ureter for imaging</t>
  </si>
  <si>
    <t xml:space="preserve"> Measurement of urine flow in ureter</t>
  </si>
  <si>
    <t xml:space="preserve"> Change of tube or stent in ureter</t>
  </si>
  <si>
    <t xml:space="preserve"> Injection of bladder and ureter for imaging</t>
  </si>
  <si>
    <t xml:space="preserve"> Placement of stent of ureter through existing skin access using imaging guidance with review by radiologist</t>
  </si>
  <si>
    <t xml:space="preserve"> Placement of stent of ureter through new skin access using imaging guidance with review by radiologist</t>
  </si>
  <si>
    <t xml:space="preserve"> Placement of stent of ureter and separate tube in kidney through new skin access using imaging guidance with review by radiologist</t>
  </si>
  <si>
    <t xml:space="preserve"> Blocking of ureter using imaging guidance with review by radiologist</t>
  </si>
  <si>
    <t xml:space="preserve"> Balloon dilation treatment of stricture of ureter using imaging guidance with review by radiologist</t>
  </si>
  <si>
    <t xml:space="preserve"> Revision of opening from urinary tract to skin</t>
  </si>
  <si>
    <t xml:space="preserve"> Removal of stone from ureter using an endoscope</t>
  </si>
  <si>
    <t xml:space="preserve"> Repositioning of ureter and insertion of stent using an endoscope</t>
  </si>
  <si>
    <t xml:space="preserve"> Repositioning of ureter using an endoscope</t>
  </si>
  <si>
    <t xml:space="preserve"> Exam of kidney and ureter using an endoscope inserted through an already created ureter opening</t>
  </si>
  <si>
    <t xml:space="preserve"> Insertion of tube into ureter using an endoscope inserted through an already created opening in ureter</t>
  </si>
  <si>
    <t xml:space="preserve"> Biopsy of kidney or ureter using an endoscope inserted through an already created opening in ureter</t>
  </si>
  <si>
    <t xml:space="preserve"> Destruction and/or removal of growth of kidney or ureter using an endoscope inserted through an already created opening in ureter</t>
  </si>
  <si>
    <t xml:space="preserve"> Removal of foreign body or stone in kidney or ureter using an endoscope inserted through an already created opening in ureter</t>
  </si>
  <si>
    <t xml:space="preserve"> Exam of kidney and ureter using an endoscope</t>
  </si>
  <si>
    <t xml:space="preserve"> Insertion of tube into ureter using an endoscope</t>
  </si>
  <si>
    <t xml:space="preserve"> Biopsy of kidney or ureter using an endoscope</t>
  </si>
  <si>
    <t xml:space="preserve"> Destruction and/or removal of growth of kidney or ureter using an endoscope</t>
  </si>
  <si>
    <t xml:space="preserve"> Removal of foreign body or stone in kidney or ureter using an endoscope</t>
  </si>
  <si>
    <t xml:space="preserve"> Incision of bladder with destruction of growth and/or insertion of radioactive material</t>
  </si>
  <si>
    <t xml:space="preserve"> Incision of bladder with destruction of growth of bladder</t>
  </si>
  <si>
    <t xml:space="preserve"> Incision of bladder with drainage</t>
  </si>
  <si>
    <t xml:space="preserve"> Incision of bladder with insertion of tube or stent in ureter</t>
  </si>
  <si>
    <t xml:space="preserve"> Incision of bladder with removal of bladder stone</t>
  </si>
  <si>
    <t xml:space="preserve"> Incision of bladder with removal of stone in ureter</t>
  </si>
  <si>
    <t xml:space="preserve"> Incision of bladder with basket removal and/or ultrasonic crushing of stone in ureter</t>
  </si>
  <si>
    <t xml:space="preserve"> Drainage of abscess of bladder</t>
  </si>
  <si>
    <t xml:space="preserve"> Needle aspiration of bladder</t>
  </si>
  <si>
    <t xml:space="preserve"> Aspiration of bladder using tube or trocar</t>
  </si>
  <si>
    <t xml:space="preserve"> Aspiration of bladder with insertion of bladder tube to skin</t>
  </si>
  <si>
    <t xml:space="preserve"> Repair of congenital defect of bladder</t>
  </si>
  <si>
    <t xml:space="preserve"> Simple removal of bladder neck</t>
  </si>
  <si>
    <t xml:space="preserve"> Incision, removal, or repair of abnormal drainage tract from bladder into bowel</t>
  </si>
  <si>
    <t xml:space="preserve"> Injection procedure for imaging of bladder during voiding</t>
  </si>
  <si>
    <t xml:space="preserve"> Injection procedure for imaging of bladder and urethra and placement of X-ray marker</t>
  </si>
  <si>
    <t xml:space="preserve"> Injection procedure through bladder and urethra for X-ray imaging</t>
  </si>
  <si>
    <t xml:space="preserve"> Simple bladder irrigation and/or instillation</t>
  </si>
  <si>
    <t xml:space="preserve"> Insertion of temporary bladder tube</t>
  </si>
  <si>
    <t xml:space="preserve"> Simple insertion of temporary bladder tube</t>
  </si>
  <si>
    <t xml:space="preserve"> Complicated insertion of bladder tube</t>
  </si>
  <si>
    <t xml:space="preserve"> Simple change of bladder tube</t>
  </si>
  <si>
    <t xml:space="preserve"> Complicated change of bladder tube</t>
  </si>
  <si>
    <t xml:space="preserve"> Injection of implant material beneath lining of bladder and/or urethra using an endoscope</t>
  </si>
  <si>
    <t xml:space="preserve"> Instillation of anti-cancer drug into bladder</t>
  </si>
  <si>
    <t xml:space="preserve"> Simple measurement of pressure of urine flow in bladder</t>
  </si>
  <si>
    <t xml:space="preserve"> Complex measurement of pressure of urine flow in bladder</t>
  </si>
  <si>
    <t xml:space="preserve"> Complex measurement of pressure of urine flow in bladder with urethra pressure studies</t>
  </si>
  <si>
    <t xml:space="preserve"> Complex measurement of pressure of urine flow in bladder with voiding pressure studies</t>
  </si>
  <si>
    <t xml:space="preserve"> Complex measurement of pressure of urine flow in bladder with urethra pressure and voiding pressure studies</t>
  </si>
  <si>
    <t xml:space="preserve"> Simple timed assessment of bladder emptying</t>
  </si>
  <si>
    <t xml:space="preserve"> Electronic assessment of bladder emptying</t>
  </si>
  <si>
    <t xml:space="preserve"> Non-needle measurement and recording of electrical activity of muscles at bladder and bowel openings</t>
  </si>
  <si>
    <t xml:space="preserve"> Needle measurement and recording of electrical activity of muscles at bladder and bowel openings</t>
  </si>
  <si>
    <t xml:space="preserve"> Assessment of muscle signal of pelvic nerves</t>
  </si>
  <si>
    <t xml:space="preserve"> Insertion of device into abdomen with pressure and urine flow rate study</t>
  </si>
  <si>
    <t xml:space="preserve"> Ultrasound measurement of bladder capacity after voiding</t>
  </si>
  <si>
    <t xml:space="preserve"> Repair of bladder neck in female</t>
  </si>
  <si>
    <t xml:space="preserve"> Suture of simple wound, injury, or rupture of bladder</t>
  </si>
  <si>
    <t xml:space="preserve"> Closure of surgically created opening from bladder to skin</t>
  </si>
  <si>
    <t xml:space="preserve"> Suture suspension of urethra to control leakage using an endoscope</t>
  </si>
  <si>
    <t xml:space="preserve"> Creation of sling around urethra to control leakage using an endoscope</t>
  </si>
  <si>
    <t xml:space="preserve"> Diagnostic exam of bladder and urethra using an endoscope</t>
  </si>
  <si>
    <t xml:space="preserve"> Irrigation and removal of multiple blood clots from bladder and urethra using an endoscope</t>
  </si>
  <si>
    <t xml:space="preserve"> Insertion of tube into ureter using an endoscope through bladder area</t>
  </si>
  <si>
    <t xml:space="preserve"> Insertion of tube into ureter and biopsy of ureter and/or renal pelvis using an endoscope</t>
  </si>
  <si>
    <t xml:space="preserve"> Insertion of tube into sperm duct using an endoscope</t>
  </si>
  <si>
    <t xml:space="preserve"> Biopsy of bladder using an endoscope</t>
  </si>
  <si>
    <t xml:space="preserve"> Destruction of tissue of bladder, urethra, or surrounding glands using an endoscope</t>
  </si>
  <si>
    <t xml:space="preserve"> Destruction of growth of bladder and urethra using an endoscope, less than 0.5 cm</t>
  </si>
  <si>
    <t xml:space="preserve"> Destruction and/or removal of growth of bladder and urethra using an endoscope, 0.5-2.0 cm</t>
  </si>
  <si>
    <t xml:space="preserve"> Destruction and/or removal of growth of bladder and urethra using an endoscope, 2.0-5.0 cm</t>
  </si>
  <si>
    <t xml:space="preserve"> Destruction and/or removal of large growth of bladder using an endoscope</t>
  </si>
  <si>
    <t xml:space="preserve"> Insertion of radioactive substance of bladder and urethra using an endoscope</t>
  </si>
  <si>
    <t xml:space="preserve"> Dilation of bladder using an endoscope under general or spinal anesthesia</t>
  </si>
  <si>
    <t xml:space="preserve"> Dilation of bladder using an endoscope</t>
  </si>
  <si>
    <t xml:space="preserve"> Incision of urethra in female using an endoscope</t>
  </si>
  <si>
    <t xml:space="preserve"> Incision of urethra in male using an endoscope</t>
  </si>
  <si>
    <t xml:space="preserve"> Incision of urethra using an endoscope</t>
  </si>
  <si>
    <t xml:space="preserve"> Removal of muscles at urinary opening using an endoscope</t>
  </si>
  <si>
    <t xml:space="preserve"> Dilation of urethra using an endoscope</t>
  </si>
  <si>
    <t xml:space="preserve"> Insertion of a permanent urethra stent using an endoscope</t>
  </si>
  <si>
    <t xml:space="preserve"> Steroid injection into urethra stricture using an endoscope</t>
  </si>
  <si>
    <t xml:space="preserve"> Drug delivery using a drug-coated balloon for male treatment of urethral stricture using an endoscope</t>
  </si>
  <si>
    <t xml:space="preserve"> Exam of bladder and urethra for treatment of female urethral syndrome using an endoscope</t>
  </si>
  <si>
    <t xml:space="preserve"> Exam with injections of chemical for destruction of bladder using an endoscope</t>
  </si>
  <si>
    <t xml:space="preserve"> Incision of ureter using an endoscope</t>
  </si>
  <si>
    <t xml:space="preserve"> Removal or destruction of abnormal pouches of ureter at bladder using an endoscope</t>
  </si>
  <si>
    <t xml:space="preserve"> Removal or destruction of abnormal pouches of ureter at bladder, ectopic ureterocele, using an endoscope</t>
  </si>
  <si>
    <t xml:space="preserve"> Removal of bladder pouches using an endoscope</t>
  </si>
  <si>
    <t xml:space="preserve"> Simple removal of foreign body, stone, or stent in urethra or bladder using an endoscope</t>
  </si>
  <si>
    <t xml:space="preserve"> Complicated removal of foreign body, stone, or stent in urethra or bladder using an endoscope</t>
  </si>
  <si>
    <t xml:space="preserve"> Crushing, fragmenting, and removal of bladder stones, less than 2.5 cm</t>
  </si>
  <si>
    <t xml:space="preserve"> Crushing, fragmenting, and removal of bladder stones, more than 2.5 cm</t>
  </si>
  <si>
    <t xml:space="preserve"> Removal of stone in ureter using an endoscope</t>
  </si>
  <si>
    <t xml:space="preserve"> Fragmenting of stone in ureter using an endoscope</t>
  </si>
  <si>
    <t xml:space="preserve"> Injection of implant material in bladder using an endoscope</t>
  </si>
  <si>
    <t xml:space="preserve"> Manipulation of stone in ureter using an endoscope</t>
  </si>
  <si>
    <t xml:space="preserve"> Insertion of stent in ureter using an endoscope</t>
  </si>
  <si>
    <t xml:space="preserve"> Insertion of guide wire through kidney into ureter using an endoscope</t>
  </si>
  <si>
    <t xml:space="preserve"> Dilation of bladder and urethra using an endoscope</t>
  </si>
  <si>
    <t xml:space="preserve"> Repair of stricture at junction of kidney and ureter using an endoscope</t>
  </si>
  <si>
    <t xml:space="preserve"> Repair of stricture in kidney using an endoscope</t>
  </si>
  <si>
    <t xml:space="preserve"> Repair of stricture of ureter using an endoscope</t>
  </si>
  <si>
    <t xml:space="preserve"> Repair of stricture of upper attachment of ureter to kidney using an endoscope</t>
  </si>
  <si>
    <t xml:space="preserve"> Repair of stricture in kidney with exam of urinary tract using an endoscope</t>
  </si>
  <si>
    <t xml:space="preserve"> Diagnostic exam of bladder, urethra, and ureter or kidney using an endoscope</t>
  </si>
  <si>
    <t xml:space="preserve"> Removal or manipulation of stone in ureter or kidney using an endoscope</t>
  </si>
  <si>
    <t xml:space="preserve"> Crushing of stone of ureter using an endoscope</t>
  </si>
  <si>
    <t xml:space="preserve"> Biopsy and/or destruction of growth of ureter or kidney using an endoscope</t>
  </si>
  <si>
    <t xml:space="preserve"> Removal of growth of ureter or kidney using an endoscope</t>
  </si>
  <si>
    <t xml:space="preserve"> Crushing of stone of ureter with insertion of stent using an endoscope</t>
  </si>
  <si>
    <t xml:space="preserve"> Incision, destruction, or removal of congenital defects of bladder and urethra using an endoscope</t>
  </si>
  <si>
    <t xml:space="preserve"> Incision or removal of ejaculatory duct using an endoscope</t>
  </si>
  <si>
    <t xml:space="preserve"> Incision of prostate</t>
  </si>
  <si>
    <t xml:space="preserve"> Removal of bladder neck through urethra</t>
  </si>
  <si>
    <t xml:space="preserve"> Removal of prostate gland using an electrocautery knife through urethra with control of bleeding using an endoscope</t>
  </si>
  <si>
    <t xml:space="preserve"> Complete removal of remaining or regrown prostate tissue with control of bleeding using an endoscope</t>
  </si>
  <si>
    <t xml:space="preserve"> Removal of postsurgical tightening of bladder neck</t>
  </si>
  <si>
    <t xml:space="preserve"> Complete laser destruction of prostate including control of bleeding using an endoscope</t>
  </si>
  <si>
    <t xml:space="preserve"> Complete laser vaporization of prostate including control of bleeding using an endoscope</t>
  </si>
  <si>
    <t xml:space="preserve"> Complete laser fragmentation of prostate including control of bleeding using an endoscope</t>
  </si>
  <si>
    <t xml:space="preserve"> Drainage of prostate abscess</t>
  </si>
  <si>
    <t xml:space="preserve"> Incision or repair of urethra</t>
  </si>
  <si>
    <t xml:space="preserve"> Incision or repair of abnormal urethra</t>
  </si>
  <si>
    <t xml:space="preserve"> Incision of external urinary opening</t>
  </si>
  <si>
    <t xml:space="preserve"> Incision of external urinary opening, infant</t>
  </si>
  <si>
    <t xml:space="preserve"> Drainage of abscess around urethra</t>
  </si>
  <si>
    <t xml:space="preserve"> Drainage of abscess or cyst of Skene's glands</t>
  </si>
  <si>
    <t xml:space="preserve"> Uncomplicated drainage of abnormal urine collection</t>
  </si>
  <si>
    <t xml:space="preserve"> Complicated drainage of abnormal urine collection</t>
  </si>
  <si>
    <t xml:space="preserve"> Biopsy of urethra</t>
  </si>
  <si>
    <t xml:space="preserve"> Removal of bladder and urethra in female</t>
  </si>
  <si>
    <t xml:space="preserve"> Removal of bladder and urethra in male</t>
  </si>
  <si>
    <t xml:space="preserve"> Removal or destruction of cancer urethra</t>
  </si>
  <si>
    <t xml:space="preserve"> Removal of pouch of urethra in female</t>
  </si>
  <si>
    <t xml:space="preserve"> Removal of pouch of urethra in male</t>
  </si>
  <si>
    <t xml:space="preserve"> Repair of pouch of urethra</t>
  </si>
  <si>
    <t xml:space="preserve"> Removal of seminal fluid gland</t>
  </si>
  <si>
    <t xml:space="preserve"> Removal or destruction of polyps of urethra</t>
  </si>
  <si>
    <t xml:space="preserve"> Removal or destruction of growth of urethra</t>
  </si>
  <si>
    <t xml:space="preserve"> Removal or destruction of mucous glands of urethra</t>
  </si>
  <si>
    <t xml:space="preserve"> Removal or destruction of prolapse of urethra</t>
  </si>
  <si>
    <t xml:space="preserve"> Repair of abnormal drainage tract, pouch, or stricture of urethra, first stage</t>
  </si>
  <si>
    <t xml:space="preserve"> second stage repair of urethra with creation of new urethra</t>
  </si>
  <si>
    <t xml:space="preserve"> Reconstruction of urethra in male</t>
  </si>
  <si>
    <t xml:space="preserve"> Reconstruction or repair of urethra, stage 1 of 2</t>
  </si>
  <si>
    <t xml:space="preserve"> Reconstruction or repair of urethra, stage 2 of 2</t>
  </si>
  <si>
    <t xml:space="preserve"> Reconstruction of urethra in female</t>
  </si>
  <si>
    <t xml:space="preserve"> Repair of urethra and/or lower bladder for incontinence</t>
  </si>
  <si>
    <t xml:space="preserve"> Creation of sling around urethra in male to control leakage</t>
  </si>
  <si>
    <t xml:space="preserve"> Removal or revision of sling in male for urinary incontinence</t>
  </si>
  <si>
    <t xml:space="preserve"> Insertion of artificial urinary sphincter</t>
  </si>
  <si>
    <t xml:space="preserve"> Insertion of inflatable urethra or bladder neck sphincter</t>
  </si>
  <si>
    <t xml:space="preserve"> Removal of inflatable urethra or bladder neck sphincter</t>
  </si>
  <si>
    <t xml:space="preserve"> Removal and replacement of inflatable urethra or bladder neck sphincter</t>
  </si>
  <si>
    <t xml:space="preserve"> Repair of inflatable urethra or bladder neck sphincter</t>
  </si>
  <si>
    <t xml:space="preserve"> Repair of urethra and urinary opening</t>
  </si>
  <si>
    <t xml:space="preserve"> Insertion of adjustable balloon continence device on both sides of urethra using imaging guidance</t>
  </si>
  <si>
    <t xml:space="preserve"> Insertion of adjustable balloon continence device on one side of urethra using imaging guidance</t>
  </si>
  <si>
    <t xml:space="preserve"> Removal of adjustable balloon continence device from beside urethra</t>
  </si>
  <si>
    <t xml:space="preserve"> Adjustment of fluid volume in adjustable balloon continence device beside urethra</t>
  </si>
  <si>
    <t xml:space="preserve"> Repair and partial removal of urethra and urinary opening</t>
  </si>
  <si>
    <t xml:space="preserve"> Suture of wound or injury of urethra in female</t>
  </si>
  <si>
    <t xml:space="preserve"> Suture of wound or injury of urethra in penis</t>
  </si>
  <si>
    <t xml:space="preserve"> Suture of urethra wound or injury</t>
  </si>
  <si>
    <t xml:space="preserve"> Suture of wound or injury of urethra near prostate gland</t>
  </si>
  <si>
    <t xml:space="preserve"> Closure of abnormal drainage tract from urethra to skin in male</t>
  </si>
  <si>
    <t xml:space="preserve"> Initial dilation of urethra in male using dilator</t>
  </si>
  <si>
    <t xml:space="preserve"> Subsequent dilation of stricture of urethra in male by passage of dilator</t>
  </si>
  <si>
    <t xml:space="preserve"> Dilation of narrowing of urethra in male under general or spinal anesthesia</t>
  </si>
  <si>
    <t xml:space="preserve"> Initial dilation of urethra in male using filiform dilator</t>
  </si>
  <si>
    <t xml:space="preserve"> Subsequent dilation of urethral stricture in male by passage of filiform urethral dilator</t>
  </si>
  <si>
    <t xml:space="preserve"> Initial dilation of urethra in female</t>
  </si>
  <si>
    <t xml:space="preserve"> Subsequent dilation of urethra in female</t>
  </si>
  <si>
    <t xml:space="preserve"> Dilation of urethra in female under general or spinal anesthesia</t>
  </si>
  <si>
    <t xml:space="preserve"> Destruction of prostate tissue using microwave induced heat</t>
  </si>
  <si>
    <t xml:space="preserve"> Destruction of prostate tissue using radiofrequency induced heat</t>
  </si>
  <si>
    <t xml:space="preserve"> Destruction of prostate tissue using radiofrequency induced heated water vapor</t>
  </si>
  <si>
    <t xml:space="preserve"> Insertion of a temporary urethra stent using an endoscope</t>
  </si>
  <si>
    <t xml:space="preserve"> Reconstruction of female bladder neck for stress urinary incontinence using radiofrequency</t>
  </si>
  <si>
    <t xml:space="preserve"> Incision of newborn foreskin</t>
  </si>
  <si>
    <t xml:space="preserve"> Incision of foreskin</t>
  </si>
  <si>
    <t xml:space="preserve"> Incision and drainage of penis</t>
  </si>
  <si>
    <t xml:space="preserve"> Simple destruction of growths of penis using chemical</t>
  </si>
  <si>
    <t xml:space="preserve"> Simple destruction of growth of penis using electric current</t>
  </si>
  <si>
    <t xml:space="preserve"> Simple destruction of growth of penis using freezing</t>
  </si>
  <si>
    <t xml:space="preserve"> Simple destruction of growth of penis using laser</t>
  </si>
  <si>
    <t xml:space="preserve"> Removal of growth of penis</t>
  </si>
  <si>
    <t xml:space="preserve"> Destruction of multiple growths of penis</t>
  </si>
  <si>
    <t xml:space="preserve"> Biopsy of penis</t>
  </si>
  <si>
    <t xml:space="preserve"> Biopsy of deep structure of penis</t>
  </si>
  <si>
    <t xml:space="preserve"> Removal of thickened tissue of penis</t>
  </si>
  <si>
    <t xml:space="preserve"> Removal of abnormally thickened tissue in penis with graft, 5.0 cm or less</t>
  </si>
  <si>
    <t xml:space="preserve"> Removal of abnormally thickened tissue in penis with graft, more than 5.0 cm</t>
  </si>
  <si>
    <t xml:space="preserve"> Removal of foreign body in penis</t>
  </si>
  <si>
    <t xml:space="preserve"> Partial amputation of penis</t>
  </si>
  <si>
    <t xml:space="preserve"> Removal of foreskin using clamp or device</t>
  </si>
  <si>
    <t xml:space="preserve"> Removal of foreskin (28 days or younger)</t>
  </si>
  <si>
    <t xml:space="preserve"> Removal of foreskin (older than 28 days)</t>
  </si>
  <si>
    <t xml:space="preserve"> Removal of scar tissue after foreskin removal</t>
  </si>
  <si>
    <t xml:space="preserve"> Repair of incomplete removal of foreskin</t>
  </si>
  <si>
    <t xml:space="preserve"> Incision of membrane attaching foreskin and penis</t>
  </si>
  <si>
    <t xml:space="preserve"> Injection procedure to correct thickened penile tissue</t>
  </si>
  <si>
    <t xml:space="preserve"> Injection of drug into erectile tissue at sides and back of penis</t>
  </si>
  <si>
    <t xml:space="preserve"> Injection procedure for imaging of penile erection</t>
  </si>
  <si>
    <t xml:space="preserve"> Assessment of erectile dysfunction including injection of drugs into penis</t>
  </si>
  <si>
    <t xml:space="preserve"> Injection procedure to cause erection</t>
  </si>
  <si>
    <t xml:space="preserve"> Assessment of penile blood flow</t>
  </si>
  <si>
    <t xml:space="preserve"> Assessment of nighttime erection</t>
  </si>
  <si>
    <t xml:space="preserve"> Repair of curved penis</t>
  </si>
  <si>
    <t xml:space="preserve"> Repair of curved penis and urinary outlet</t>
  </si>
  <si>
    <t xml:space="preserve"> Repair of urinary outlet at underside of penis, less than 3.0 cm</t>
  </si>
  <si>
    <t xml:space="preserve"> Repair of urinary outlet at underside of penis, more than 3.0 cm</t>
  </si>
  <si>
    <t xml:space="preserve"> Repair of urinary outlet of penis with skin graft, stage 2 of 2</t>
  </si>
  <si>
    <t xml:space="preserve"> Repair of urinary outlet with release of penis from scrotum</t>
  </si>
  <si>
    <t xml:space="preserve"> Simple repair and relocation of urinary outlet at underside of penis</t>
  </si>
  <si>
    <t xml:space="preserve"> Repair of urinary outlet of penis with skin flap</t>
  </si>
  <si>
    <t xml:space="preserve"> Repair of urinary outlet at underside of penis with skin flap</t>
  </si>
  <si>
    <t xml:space="preserve"> Repair of urinary outlet at underside of head of penis with local skin flaps, skin graft patch, and/or island flap</t>
  </si>
  <si>
    <t xml:space="preserve"> Repair of urinary outlet at underside of base of penis with skin graft tube and/or island flap</t>
  </si>
  <si>
    <t xml:space="preserve"> Repair of urinary outlet between thighs in male with skin graft tube and/or island flap</t>
  </si>
  <si>
    <t xml:space="preserve"> Simple repair of urinary outlet complications at underside of penis</t>
  </si>
  <si>
    <t xml:space="preserve"> Repair of complication of urinary outlet of penis at underside of penis with mobilization of skin graft or flap</t>
  </si>
  <si>
    <t xml:space="preserve"> Extensive repair of urinary outlet at underside of penis with flap, patch or graft</t>
  </si>
  <si>
    <t xml:space="preserve"> Extensive revision of previous repair of urinary outlet at underside of penis with skin grafts and flaps</t>
  </si>
  <si>
    <t xml:space="preserve"> Surgery to correct abnormal penis angle</t>
  </si>
  <si>
    <t xml:space="preserve"> Repair of urinary outlet of penis</t>
  </si>
  <si>
    <t xml:space="preserve"> Repair of urinary outlet of penis with incontinence</t>
  </si>
  <si>
    <t xml:space="preserve"> Insertion of non-inflatable penile implant</t>
  </si>
  <si>
    <t xml:space="preserve"> Insertion of inflatable penile implant</t>
  </si>
  <si>
    <t xml:space="preserve"> Insertion of multicomponent inflatable penile implant</t>
  </si>
  <si>
    <t xml:space="preserve"> Removal of all components of inflatable penile implant</t>
  </si>
  <si>
    <t xml:space="preserve"> Repair of multicomponent inflatable penile implant</t>
  </si>
  <si>
    <t xml:space="preserve"> Removal and replacement of multicomponent inflatable penile implant during same surgery</t>
  </si>
  <si>
    <t xml:space="preserve"> Removal of inflatable or noninflatable penile implant</t>
  </si>
  <si>
    <t xml:space="preserve"> Removal and replacement of noninflatable penile implant</t>
  </si>
  <si>
    <t xml:space="preserve"> Creation of blood flow tract from penis to groin</t>
  </si>
  <si>
    <t xml:space="preserve"> Redirection of blood flow from penis with partial removal of tissue at head of penis</t>
  </si>
  <si>
    <t xml:space="preserve"> Repair of penis</t>
  </si>
  <si>
    <t xml:space="preserve"> Repair of injury of penis</t>
  </si>
  <si>
    <t xml:space="preserve"> Repositioning of foreskin including scar tissue removal</t>
  </si>
  <si>
    <t xml:space="preserve"> Needle biopsy of testicle</t>
  </si>
  <si>
    <t xml:space="preserve"> Incision of testicle for biopsy</t>
  </si>
  <si>
    <t xml:space="preserve"> Removal of growth of testicle</t>
  </si>
  <si>
    <t xml:space="preserve"> Simple removal of testicle</t>
  </si>
  <si>
    <t xml:space="preserve"> Partial removal of testicle</t>
  </si>
  <si>
    <t xml:space="preserve"> Removal of growth of testicle through groin</t>
  </si>
  <si>
    <t xml:space="preserve"> Removal of growth of testicle through abdomen</t>
  </si>
  <si>
    <t xml:space="preserve"> Exploration of spermatic veins and scrotum using an endoscope</t>
  </si>
  <si>
    <t xml:space="preserve"> Exploration for location of testicle in abdomen</t>
  </si>
  <si>
    <t xml:space="preserve"> Repair of twisted testicle</t>
  </si>
  <si>
    <t xml:space="preserve"> Suture of testicle to other testicle</t>
  </si>
  <si>
    <t xml:space="preserve"> Repositioning and suture of misplaced testicle</t>
  </si>
  <si>
    <t xml:space="preserve"> Repair of congenital malpositioned testicle</t>
  </si>
  <si>
    <t xml:space="preserve"> Insertion of testicular implant</t>
  </si>
  <si>
    <t xml:space="preserve"> Suture or repair of injury to testicle</t>
  </si>
  <si>
    <t xml:space="preserve"> Transplantation of testicles to thigh</t>
  </si>
  <si>
    <t xml:space="preserve"> Removal of testicles using an endoscope</t>
  </si>
  <si>
    <t xml:space="preserve"> Removal of congenital malpositioned testicle using an endoscope</t>
  </si>
  <si>
    <t xml:space="preserve"> Other procedure on testicle using an endoscope</t>
  </si>
  <si>
    <t xml:space="preserve"> Incision and drainage of sperm reservoir, testis, and/or scrotal area</t>
  </si>
  <si>
    <t xml:space="preserve"> Needle biopsy of sperm reservoir</t>
  </si>
  <si>
    <t xml:space="preserve"> Removal of growth of sperm duct</t>
  </si>
  <si>
    <t xml:space="preserve"> Removal of fluid accumulation in sperm reservoir</t>
  </si>
  <si>
    <t xml:space="preserve"> Removal of sperm reservoir</t>
  </si>
  <si>
    <t xml:space="preserve"> Removal of both sperm reservoirs</t>
  </si>
  <si>
    <t xml:space="preserve"> Search of sperm reservoir</t>
  </si>
  <si>
    <t xml:space="preserve"> Connection of sperm reservoir to sperm duct</t>
  </si>
  <si>
    <t xml:space="preserve"> Connection of both sperm reservoirs to sperm ducts</t>
  </si>
  <si>
    <t xml:space="preserve"> Aspiration of fluid collection in testicle and sperm reservoir</t>
  </si>
  <si>
    <t xml:space="preserve"> Removal of fluid collection in testicle and sperm reservoir</t>
  </si>
  <si>
    <t xml:space="preserve"> Removal of fluid collection in both testicles and sperm reservoirs</t>
  </si>
  <si>
    <t xml:space="preserve"> Repair of fluid collection in testicle and sperm reservoir</t>
  </si>
  <si>
    <t xml:space="preserve"> Drainage of abscess of scrotum</t>
  </si>
  <si>
    <t xml:space="preserve"> Search of scrotum</t>
  </si>
  <si>
    <t xml:space="preserve"> Removal of foreign body in scrotum</t>
  </si>
  <si>
    <t xml:space="preserve"> Removal of diseased or injured scrotum</t>
  </si>
  <si>
    <t xml:space="preserve"> Simple repair of scrotum</t>
  </si>
  <si>
    <t xml:space="preserve"> Complicated repair of scrotum</t>
  </si>
  <si>
    <t xml:space="preserve"> Incision of sperm duct</t>
  </si>
  <si>
    <t xml:space="preserve"> Removal of sperm duct</t>
  </si>
  <si>
    <t xml:space="preserve"> Incision of sperm duct for X-ray procedure</t>
  </si>
  <si>
    <t xml:space="preserve"> Incision or repair of sperm duct</t>
  </si>
  <si>
    <t xml:space="preserve"> Removal of fluid collection in sperm cord</t>
  </si>
  <si>
    <t xml:space="preserve"> Removal of growth of sperm cord</t>
  </si>
  <si>
    <t xml:space="preserve"> Removal of spermatic cord venous dilation or tying of spermatic veins</t>
  </si>
  <si>
    <t xml:space="preserve"> Removal of spermatic cord venous dilation or suturing of spermatic veins</t>
  </si>
  <si>
    <t xml:space="preserve"> Removal of spermatic cord venous dilation or suturing spermatic veins with hernia repair</t>
  </si>
  <si>
    <t xml:space="preserve"> Tying of sperm veins using an endoscope</t>
  </si>
  <si>
    <t xml:space="preserve"> Other procedure on sperm cord using an endoscope</t>
  </si>
  <si>
    <t xml:space="preserve"> Incision or puncture of fluid-producing gland for sperm movement</t>
  </si>
  <si>
    <t xml:space="preserve"> Removal of congenital remnant of fluid-producing glands for sperm movement</t>
  </si>
  <si>
    <t xml:space="preserve"> Biopsy of prostate gland</t>
  </si>
  <si>
    <t xml:space="preserve"> Incisional biopsy of prostate gland</t>
  </si>
  <si>
    <t xml:space="preserve"> Needle biopsy of prostate gland using image guidance</t>
  </si>
  <si>
    <t xml:space="preserve"> Simple incision and drainage of abscess of prostate</t>
  </si>
  <si>
    <t xml:space="preserve"> Complicated incision and drainage of abscess of prostate</t>
  </si>
  <si>
    <t xml:space="preserve"> Surgical opening of prostate for radiation therapy</t>
  </si>
  <si>
    <t xml:space="preserve"> Insertion of device to enhance semen discharge</t>
  </si>
  <si>
    <t xml:space="preserve"> Destruction of prostate using imaging guidance</t>
  </si>
  <si>
    <t xml:space="preserve"> Injection of biodegradable material next to prostate</t>
  </si>
  <si>
    <t xml:space="preserve"> Insertion of needle or tube into prostate for radiation therapy</t>
  </si>
  <si>
    <t xml:space="preserve"> Placement of device in prostate for radiation therapy</t>
  </si>
  <si>
    <t xml:space="preserve"> High-intensity ultrasound destruction of cancerous tissue in prostate gland, accessed through rectum using ultrasound guidance</t>
  </si>
  <si>
    <t xml:space="preserve"> Other procedure on male genital system</t>
  </si>
  <si>
    <t xml:space="preserve"> Insertion of needles or tubes into pelvic or genital organs for radiation therapy</t>
  </si>
  <si>
    <t xml:space="preserve"> Incision and drainage of abscess of external female genitals</t>
  </si>
  <si>
    <t xml:space="preserve"> Incision and drainage of abscess of female genital gland</t>
  </si>
  <si>
    <t xml:space="preserve"> Creation of drainage tract for gland cyst of female genitals</t>
  </si>
  <si>
    <t xml:space="preserve"> Removal of scar tissue of female genitals</t>
  </si>
  <si>
    <t xml:space="preserve"> Simple incision of hymen</t>
  </si>
  <si>
    <t xml:space="preserve"> Simple destruction of growth of external female genitals</t>
  </si>
  <si>
    <t xml:space="preserve"> Extensive destruction of growth of external female genitals</t>
  </si>
  <si>
    <t xml:space="preserve"> Biopsy of growth of external female genitals, first growth</t>
  </si>
  <si>
    <t xml:space="preserve"> Biopsy of growth of external female genitals, each additional growth</t>
  </si>
  <si>
    <t xml:space="preserve"> Simple partial removal of external female genitals</t>
  </si>
  <si>
    <t xml:space="preserve"> Removal of external female genitals</t>
  </si>
  <si>
    <t xml:space="preserve"> Partial removal of hymen</t>
  </si>
  <si>
    <t xml:space="preserve"> Removal of cyst of female genital gland</t>
  </si>
  <si>
    <t xml:space="preserve"> Plastic repair of vaginal opening</t>
  </si>
  <si>
    <t xml:space="preserve"> Reconstruction or creation of the external female sexual organ for intersex state</t>
  </si>
  <si>
    <t xml:space="preserve"> Repair of skin in area between anus and genitals</t>
  </si>
  <si>
    <t xml:space="preserve"> Exam of external female genitals using an endoscope</t>
  </si>
  <si>
    <t xml:space="preserve"> Exam and biopsy of external female genitals using an endoscope</t>
  </si>
  <si>
    <t xml:space="preserve"> Incision and exploration of vagina</t>
  </si>
  <si>
    <t xml:space="preserve"> Incision and drainage of abscess of pelvis</t>
  </si>
  <si>
    <t xml:space="preserve"> Removal of abdominal fluid</t>
  </si>
  <si>
    <t xml:space="preserve"> Incision and drainage of vaginal blood accumulation following delivery</t>
  </si>
  <si>
    <t xml:space="preserve"> Incision and drainage of vaginal blood accumulation</t>
  </si>
  <si>
    <t xml:space="preserve"> Simple destruction of growth of vagina</t>
  </si>
  <si>
    <t xml:space="preserve"> Extensive destruction of growth of vagina</t>
  </si>
  <si>
    <t xml:space="preserve"> Simple biopsy of vaginal mucous membrane</t>
  </si>
  <si>
    <t xml:space="preserve"> Biopsy of extensive area of vaginal mucous membrane</t>
  </si>
  <si>
    <t xml:space="preserve"> Partial removal of vaginal wall</t>
  </si>
  <si>
    <t xml:space="preserve"> Partial removal of vaginal wall and tissue</t>
  </si>
  <si>
    <t xml:space="preserve"> Partial removal of vaginal wall and tissue with removal of pelvic lymph nodes and biopsy of aortic lymph node</t>
  </si>
  <si>
    <t xml:space="preserve"> Suture closure of vagina and vaginal opening</t>
  </si>
  <si>
    <t xml:space="preserve"> Removal of abnormal tissue dividing vagina</t>
  </si>
  <si>
    <t xml:space="preserve"> Removal of cyst or growth of vaginal</t>
  </si>
  <si>
    <t xml:space="preserve"> Irrigation of vagina and/or application of drug to treat infection</t>
  </si>
  <si>
    <t xml:space="preserve"> Insertion of device into uterus for radiation therapy</t>
  </si>
  <si>
    <t xml:space="preserve"> Insertion of device into vagina for radiation therapy</t>
  </si>
  <si>
    <t xml:space="preserve"> Fitting and insertion of vaginal support device</t>
  </si>
  <si>
    <t xml:space="preserve"> Fitting and insertion of pregnancy prevention device</t>
  </si>
  <si>
    <t xml:space="preserve"> Insertion of drug agent or packing to control vaginal bleeding</t>
  </si>
  <si>
    <t xml:space="preserve"> Suture of nonobstetrical injury of vagina</t>
  </si>
  <si>
    <t xml:space="preserve"> Suture of injury of vagina and/or skin</t>
  </si>
  <si>
    <t xml:space="preserve"> Plastic repair of muscles at urinary opening through vagina</t>
  </si>
  <si>
    <t xml:space="preserve"> Plastic repair of urethra prolapse</t>
  </si>
  <si>
    <t xml:space="preserve"> Repair of bladder hernia into vaginal wall</t>
  </si>
  <si>
    <t xml:space="preserve"> Repair of herniated rectum into vaginal wall</t>
  </si>
  <si>
    <t xml:space="preserve"> Plastic repair of vagina and tissue separating vagina, rectum, and bladder</t>
  </si>
  <si>
    <t xml:space="preserve"> Repair of bulging of rectum and bladder into vaginal wall</t>
  </si>
  <si>
    <t xml:space="preserve"> Insertion of artificial material for pelvic floor defect</t>
  </si>
  <si>
    <t xml:space="preserve"> Repair of protrusion of intestine into rectum or vagina through vagina</t>
  </si>
  <si>
    <t xml:space="preserve"> Repair of pelvic ligaments through vagina</t>
  </si>
  <si>
    <t xml:space="preserve"> Repair of prolapsing vaginal vault through vagina</t>
  </si>
  <si>
    <t xml:space="preserve"> Repair of vaginal wall defect through abdomen</t>
  </si>
  <si>
    <t xml:space="preserve"> Repair of vaginal wall defect through vagina</t>
  </si>
  <si>
    <t xml:space="preserve"> Removal or revision of incontinence sling</t>
  </si>
  <si>
    <t xml:space="preserve"> Creation of sling around urethra in female to control leakage</t>
  </si>
  <si>
    <t xml:space="preserve"> Repair of prolapsed urinary canal and bladder into vaginal wall</t>
  </si>
  <si>
    <t xml:space="preserve"> Construction of artificial vagina</t>
  </si>
  <si>
    <t xml:space="preserve"> Construction of artificial vagina using tissue graft</t>
  </si>
  <si>
    <t xml:space="preserve"> Revision of prosthetic vaginal graft</t>
  </si>
  <si>
    <t xml:space="preserve"> Closure of abnormal drainage tract from rectum to vagina through vagina or anus</t>
  </si>
  <si>
    <t xml:space="preserve"> Closure of abnormal drainage tract from urethra to vagina</t>
  </si>
  <si>
    <t xml:space="preserve"> Closure of abnormal drainage tract from bladder to vagina through vagina</t>
  </si>
  <si>
    <t xml:space="preserve"> Closure of abnormal drainage tract from bladder to vagina through bladder and vagina</t>
  </si>
  <si>
    <t xml:space="preserve"> Plastic repair of vagina for intersex state</t>
  </si>
  <si>
    <t xml:space="preserve"> Dilation of vagina under anesthesia</t>
  </si>
  <si>
    <t xml:space="preserve"> Pelvic exam under anesthesia</t>
  </si>
  <si>
    <t xml:space="preserve"> Removal of impacted foreign body in vagina under anesthesia</t>
  </si>
  <si>
    <t xml:space="preserve"> Exam of vagina and cervix using an endoscope</t>
  </si>
  <si>
    <t xml:space="preserve"> Biopsy of vagina and cervix using an endoscope</t>
  </si>
  <si>
    <t xml:space="preserve"> Repair of vaginal defect using an endoscope</t>
  </si>
  <si>
    <t xml:space="preserve"> Surgical repair of vaginal defect using an endoscope</t>
  </si>
  <si>
    <t xml:space="preserve"> Revision or removal of prosthetic vaginal graft using an endoscope</t>
  </si>
  <si>
    <t xml:space="preserve"> Exam of cervix and upper part of vagina using an endoscope</t>
  </si>
  <si>
    <t xml:space="preserve"> Biopsy and scraping of cervix using an endoscope</t>
  </si>
  <si>
    <t xml:space="preserve"> Biopsy of cervix using an endoscope</t>
  </si>
  <si>
    <t xml:space="preserve"> Scraping of cervix using an endoscope</t>
  </si>
  <si>
    <t xml:space="preserve"> Biopsy of cervix using an endoscope with loop electrode</t>
  </si>
  <si>
    <t xml:space="preserve"> Cone biopsy of cervix and vagina using an endoscope with loop electrode</t>
  </si>
  <si>
    <t xml:space="preserve"> Computer-aided mapping of cervix during examination of vagina and cervix using endoscope</t>
  </si>
  <si>
    <t xml:space="preserve"> Biopsy of cervix or removal of growth</t>
  </si>
  <si>
    <t xml:space="preserve"> Scraping of tissue of cervix</t>
  </si>
  <si>
    <t xml:space="preserve"> Electro or thermal destruction of cervix</t>
  </si>
  <si>
    <t xml:space="preserve"> Destruction of cervix using freezing</t>
  </si>
  <si>
    <t xml:space="preserve"> Laser destruction of cervix</t>
  </si>
  <si>
    <t xml:space="preserve"> Removal or destruction of cervix with cold knife or laser</t>
  </si>
  <si>
    <t xml:space="preserve"> Removal or destruction of cervix using loop electrode</t>
  </si>
  <si>
    <t xml:space="preserve"> Amputation of cervix</t>
  </si>
  <si>
    <t xml:space="preserve"> Removal of remaining cervix through vagina</t>
  </si>
  <si>
    <t xml:space="preserve"> Removal of remaining cervix with repair of supporting vaginal tissue</t>
  </si>
  <si>
    <t xml:space="preserve"> Removal of remaining cervix with repair of herniated bowel into vaginal wall</t>
  </si>
  <si>
    <t xml:space="preserve"> Dilation and scraping of cervix</t>
  </si>
  <si>
    <t xml:space="preserve"> Suture of cervix</t>
  </si>
  <si>
    <t xml:space="preserve"> Plastic repair of cervix</t>
  </si>
  <si>
    <t xml:space="preserve"> Dilation of cervical canal</t>
  </si>
  <si>
    <t xml:space="preserve"> Biopsy of lining of uterus</t>
  </si>
  <si>
    <t xml:space="preserve"> Exam of cervix using an endoscope with biopsy of lining of uterus</t>
  </si>
  <si>
    <t xml:space="preserve"> Dilation and scraping of uterus</t>
  </si>
  <si>
    <t xml:space="preserve"> Removal of growth of uterus through vagina, 1-4 growths</t>
  </si>
  <si>
    <t xml:space="preserve"> Removal of uterus through vagina, 250.0 g or less</t>
  </si>
  <si>
    <t xml:space="preserve"> Removal of uterus, tubes, and/or ovaries through vagina, 250.0 g or less</t>
  </si>
  <si>
    <t xml:space="preserve"> Removal of uterus with repair of herniated bowel through vagina, 250.0 g or less</t>
  </si>
  <si>
    <t xml:space="preserve"> Insertion of IUD for pregnancy prevention</t>
  </si>
  <si>
    <t xml:space="preserve"> Removal of IUD</t>
  </si>
  <si>
    <t xml:space="preserve"> Injection of semen into cervix</t>
  </si>
  <si>
    <t xml:space="preserve"> Injection of semen into uterus</t>
  </si>
  <si>
    <t xml:space="preserve"> Sperm washing for artificial insemination</t>
  </si>
  <si>
    <t xml:space="preserve"> Insertion of tube and introduction of contrast for X-ray of uterus and fallopian tubes</t>
  </si>
  <si>
    <t xml:space="preserve"> Insertion of tube into fallopian tube</t>
  </si>
  <si>
    <t xml:space="preserve"> Insertion of capsule into uterus for radiation therapy</t>
  </si>
  <si>
    <t xml:space="preserve"> Injection of X-ray contrast into fallopian tube</t>
  </si>
  <si>
    <t xml:space="preserve"> Destruction of lining of uterus</t>
  </si>
  <si>
    <t xml:space="preserve"> Destruction of lining of uterus using ultrasound guidance</t>
  </si>
  <si>
    <t xml:space="preserve"> Repositioning of uterus</t>
  </si>
  <si>
    <t xml:space="preserve"> Partial removal of uterus with retention of cervix using an endoscope, 250.0 g or less</t>
  </si>
  <si>
    <t xml:space="preserve"> Partial removal of uterus, tubes, and/or ovaries with retention of cervix using an endoscope, 250.0 g or less</t>
  </si>
  <si>
    <t xml:space="preserve"> Partial removal of uterus with retention of cervix using an endoscope, more than 250.0 g</t>
  </si>
  <si>
    <t xml:space="preserve"> Partial removal of uterus, tubes, and/or ovaries with retention of cervix using an endoscope, more than 250.0 g</t>
  </si>
  <si>
    <t xml:space="preserve"> Removal of growth of uterus using an endoscope, 250.0 g or less</t>
  </si>
  <si>
    <t xml:space="preserve"> Removal of growth of uterus using an endoscope, more than 250.0 g</t>
  </si>
  <si>
    <t xml:space="preserve"> Removal of uterus through vagina using an endoscope, 250.0 g or less</t>
  </si>
  <si>
    <t xml:space="preserve"> Removal of uterus, tubes, and/or ovaries through vagina using an endoscope, 250.0 g or less</t>
  </si>
  <si>
    <t xml:space="preserve"> Removal of uterus through vagina using an endoscope, more than 250.0</t>
  </si>
  <si>
    <t xml:space="preserve"> Removal of uterus, tubes, and/or ovaries through vagina using an endoscope, more than 250.0 g</t>
  </si>
  <si>
    <t xml:space="preserve"> Diagnostic exam of uterus using an endoscope</t>
  </si>
  <si>
    <t xml:space="preserve"> Biopsy of lining of uterus and/or removal of polyp using an endoscope</t>
  </si>
  <si>
    <t xml:space="preserve"> Release of scar tissue of uterus using an endoscope</t>
  </si>
  <si>
    <t xml:space="preserve"> Release of scar tissue of uterus and release or removal and septum using an endoscope</t>
  </si>
  <si>
    <t xml:space="preserve"> Removal of growth of muscle of uterus using an endoscope</t>
  </si>
  <si>
    <t xml:space="preserve"> Removal of foreign body in uterus using an endoscope</t>
  </si>
  <si>
    <t xml:space="preserve"> Exam of uterus with destruction of lining of uterus using an endoscope</t>
  </si>
  <si>
    <t xml:space="preserve"> Placement of implants to block fallopian tubes using an endoscope</t>
  </si>
  <si>
    <t xml:space="preserve"> Removal of uterus through abdomen using an endoscope, 250.0 g or less</t>
  </si>
  <si>
    <t xml:space="preserve"> Removal of uterus, tubes, and/or ovaries through abdomen using an endoscope, 250.0 g or less</t>
  </si>
  <si>
    <t xml:space="preserve"> Removal of uterus through abdomen using an endoscope, more than 250.0 g</t>
  </si>
  <si>
    <t xml:space="preserve"> Removal of uterus, tubes, and/or ovaries through abdomen using an endoscope, more than 250.0 g</t>
  </si>
  <si>
    <t xml:space="preserve"> Destruction of uterine fibroid(s) using heat with ultrasound guidance and monitoring</t>
  </si>
  <si>
    <t xml:space="preserve"> Tying or incision of fallopian tubes</t>
  </si>
  <si>
    <t xml:space="preserve"> Tying of fallopian tubes by device through vagina</t>
  </si>
  <si>
    <t xml:space="preserve"> Removal of scar tissue of ovaries or fallopian tubes using an endoscope</t>
  </si>
  <si>
    <t xml:space="preserve"> Removal of ovaries and/or tubes using an endoscope</t>
  </si>
  <si>
    <t xml:space="preserve"> Destruction or removal of ovary or growth of pelvis using an endoscope</t>
  </si>
  <si>
    <t xml:space="preserve"> Destruction of fallopian tubes using an endoscope</t>
  </si>
  <si>
    <t xml:space="preserve"> Blockage of uterine tubes by device using an endoscope</t>
  </si>
  <si>
    <t xml:space="preserve"> Repair of uterine tube tissue near ovary using an endoscope</t>
  </si>
  <si>
    <t xml:space="preserve"> Repair of uterine tube using an endoscope</t>
  </si>
  <si>
    <t xml:space="preserve"> Destruction of growth of uterus using an endoscope with ultrasound guidance and monitoring</t>
  </si>
  <si>
    <t xml:space="preserve"> Removal of uterine tubes</t>
  </si>
  <si>
    <t xml:space="preserve"> Repair of blocked uterine tube opening</t>
  </si>
  <si>
    <t xml:space="preserve"> Drainage of cysts of ovaries through vagina</t>
  </si>
  <si>
    <t xml:space="preserve"> Drainage of cysts of ovaries through abdomen</t>
  </si>
  <si>
    <t xml:space="preserve"> Drainage of abscess of ovaries through vagina</t>
  </si>
  <si>
    <t xml:space="preserve"> Biopsy of ovaries</t>
  </si>
  <si>
    <t xml:space="preserve"> Partial removal of ovaries</t>
  </si>
  <si>
    <t xml:space="preserve"> Removal of cysts of ovaries</t>
  </si>
  <si>
    <t xml:space="preserve"> Removal of eggs from ovaries</t>
  </si>
  <si>
    <t xml:space="preserve"> Injection of fertilized eggs into uterus</t>
  </si>
  <si>
    <t xml:space="preserve"> Insertion of eggs with sperm into fallopian tubes</t>
  </si>
  <si>
    <t xml:space="preserve"> Other procedure on female genital system (nonobstetrical)</t>
  </si>
  <si>
    <t xml:space="preserve"> Removal of sample of amniotic fluid surrounding fetus for diagnosis</t>
  </si>
  <si>
    <t xml:space="preserve"> Removal of amniotic fluid to reduce amount of fluid surrounding fetus using ultrasound guidance</t>
  </si>
  <si>
    <t xml:space="preserve"> Removal of blood from fetal umbilical cord</t>
  </si>
  <si>
    <t xml:space="preserve"> Removal of tissue from placenta for diagnosis</t>
  </si>
  <si>
    <t xml:space="preserve"> Fetal contraction stress test</t>
  </si>
  <si>
    <t xml:space="preserve"> Fetal test</t>
  </si>
  <si>
    <t xml:space="preserve"> Interpretation of fetal monitoring during labor by consulting physician</t>
  </si>
  <si>
    <t xml:space="preserve"> Infusion of normal saline into fetal amniotic sac using ultrasound guidance</t>
  </si>
  <si>
    <t xml:space="preserve"> Occlusion of fetal umbilical cord using ultrasound guidance</t>
  </si>
  <si>
    <t xml:space="preserve"> Drainage of fetal fluid using ultrasound guidance</t>
  </si>
  <si>
    <t xml:space="preserve"> Placement of shunt into fetal chest using ultrasound guidance</t>
  </si>
  <si>
    <t xml:space="preserve"> Incision of uterus</t>
  </si>
  <si>
    <t xml:space="preserve"> Removal of ovarian or tubal pregnancy using an endoscope</t>
  </si>
  <si>
    <t xml:space="preserve"> Removal of ovarian or tubal pregnancy with removal of ovary and/or tube using an endoscope</t>
  </si>
  <si>
    <t xml:space="preserve"> Scraping of lining of uterus after delivery</t>
  </si>
  <si>
    <t xml:space="preserve"> Insertion of dilator device into cervix</t>
  </si>
  <si>
    <t xml:space="preserve"> Episiotomy or repair of vagina</t>
  </si>
  <si>
    <t xml:space="preserve"> Suture of cervix during pregnancy through vagina</t>
  </si>
  <si>
    <t xml:space="preserve"> Turning of fetus through external manipulation</t>
  </si>
  <si>
    <t xml:space="preserve"> Delivery of placenta</t>
  </si>
  <si>
    <t xml:space="preserve"> NO LONG DESCRIPTION</t>
  </si>
  <si>
    <t xml:space="preserve"> Vaginal delivery after previous cesarean delivery</t>
  </si>
  <si>
    <t xml:space="preserve"> Vaginal delivery and care after delivery after prior cesarean delivery</t>
  </si>
  <si>
    <t xml:space="preserve"> Cesarean delivery with care after delivery following vaginal delivery attempt after previous cesarean delivery</t>
  </si>
  <si>
    <t xml:space="preserve"> Treatment of miscarriage</t>
  </si>
  <si>
    <t xml:space="preserve"> Treatment of miscarriage during first trimester</t>
  </si>
  <si>
    <t xml:space="preserve"> Treatment of miscarriage during second trimester</t>
  </si>
  <si>
    <t xml:space="preserve"> Induced abortion by dilation and scraping of uterine</t>
  </si>
  <si>
    <t xml:space="preserve"> Induced abortion by dilation</t>
  </si>
  <si>
    <t xml:space="preserve"> Elimination of fetuses of a multifetal pregnancy</t>
  </si>
  <si>
    <t xml:space="preserve"> Removal of abnormal pregnancy contents with scraping of uterine wall</t>
  </si>
  <si>
    <t xml:space="preserve"> Removal of suture of cervix under anesthesia</t>
  </si>
  <si>
    <t xml:space="preserve"> Incision and drainage of cyst of thyroid duct</t>
  </si>
  <si>
    <t xml:space="preserve"> Needle biopsy of thyroid through skin</t>
  </si>
  <si>
    <t xml:space="preserve"> Incision of cyst or growth of thyroid</t>
  </si>
  <si>
    <t xml:space="preserve"> Partial removal of thyroid lobe on side of neck</t>
  </si>
  <si>
    <t xml:space="preserve"> Partial removal of thyroid lobes on both sides of neck and connecting tissue</t>
  </si>
  <si>
    <t xml:space="preserve"> Removal of thyroid lobe on side of neck</t>
  </si>
  <si>
    <t xml:space="preserve"> Removal of thyroid lobe on side of neck and partial removal of thyroid lobe on opposite side of neck including tissue in between</t>
  </si>
  <si>
    <t xml:space="preserve"> Removal of thyroid</t>
  </si>
  <si>
    <t xml:space="preserve"> Removal of thyroid and surrounding lymph nodes with limited neck removal</t>
  </si>
  <si>
    <t xml:space="preserve"> Removal of remaining thyroid tissue from prior operation</t>
  </si>
  <si>
    <t xml:space="preserve"> Removal of cyst of thyroid or drainage of thyroid gland duct</t>
  </si>
  <si>
    <t xml:space="preserve"> Removal of recurrent cyst of thyroid or drainage of thyroid gland duct</t>
  </si>
  <si>
    <t xml:space="preserve"> Aspiration and/or injection of cyst of thyroid</t>
  </si>
  <si>
    <t xml:space="preserve"> Removal or exploration of parathyroid glands</t>
  </si>
  <si>
    <t xml:space="preserve"> Removal and reimplantation of parathyroid tissue</t>
  </si>
  <si>
    <t xml:space="preserve"> Removal of thymus gland through neck</t>
  </si>
  <si>
    <t xml:space="preserve"> Other procedure on endocrine system using an endoscope</t>
  </si>
  <si>
    <t xml:space="preserve"> Other procedure on endocrine system</t>
  </si>
  <si>
    <t xml:space="preserve"> Initial removal of cerebrospinal fluid from skull bone soft spot, infant</t>
  </si>
  <si>
    <t xml:space="preserve"> Subsequent aspiration of cerebrospinal fluid from infant skull bone soft spot</t>
  </si>
  <si>
    <t xml:space="preserve"> Removal of cerebrospinal fluid from brain for diagnosis</t>
  </si>
  <si>
    <t xml:space="preserve"> Removal of cerebrospinal fluid from brain and injection of substance</t>
  </si>
  <si>
    <t xml:space="preserve"> Removal of cerebrospinal fluid from upper spine</t>
  </si>
  <si>
    <t xml:space="preserve"> Spinal puncture in upper spine with injection of substance</t>
  </si>
  <si>
    <t xml:space="preserve"> Aspiration of cerebrospinal fluid and injection in shunt tubing or reservoir</t>
  </si>
  <si>
    <t xml:space="preserve"> Insertion of device for continuous infusion in brain</t>
  </si>
  <si>
    <t xml:space="preserve"> Incision of eye bone to reduce pressure</t>
  </si>
  <si>
    <t xml:space="preserve"> Removal of growth of brain or other growth of skull bone</t>
  </si>
  <si>
    <t xml:space="preserve"> Removal of skull bone for removal or drainage of cyst of upper brain</t>
  </si>
  <si>
    <t xml:space="preserve"> Removal of skull bone for removal of growth of lower brain</t>
  </si>
  <si>
    <t xml:space="preserve"> Occlusion of head or neck artery</t>
  </si>
  <si>
    <t xml:space="preserve"> Computer-assisted creation of growth of brain of globus pallidus or thalamus</t>
  </si>
  <si>
    <t xml:space="preserve"> Computer-assisted insertion of tube or probe for radiation placement</t>
  </si>
  <si>
    <t xml:space="preserve"> Computer-assisted procedure inside brain</t>
  </si>
  <si>
    <t xml:space="preserve"> Computer-assisted procedure outside membrane covering brain</t>
  </si>
  <si>
    <t xml:space="preserve"> Computer-assisted spinal procedure</t>
  </si>
  <si>
    <t xml:space="preserve"> Computer-assisted creation of growth of face nerve</t>
  </si>
  <si>
    <t xml:space="preserve"> Computer-assisted creation of growth of brainstem</t>
  </si>
  <si>
    <t xml:space="preserve"> Computer-assisted radiosurgery of simple growth of brain, first growth</t>
  </si>
  <si>
    <t xml:space="preserve"> Computer-assisted radiosurgery of simple growth of brain, each additional growth</t>
  </si>
  <si>
    <t xml:space="preserve"> Computer-assisted radiosurgery of complex growth of brain, first growth</t>
  </si>
  <si>
    <t xml:space="preserve"> Computer-assisted radiosurgery of complex growth of brain, each additional growth</t>
  </si>
  <si>
    <t xml:space="preserve"> Computer-assisted radiosurgery application of headframe</t>
  </si>
  <si>
    <t xml:space="preserve"> Revision or removal of brain neurostimulator electrodes</t>
  </si>
  <si>
    <t xml:space="preserve"> Insertion of brain neurostimulator pulse device with connection to single electrode array</t>
  </si>
  <si>
    <t xml:space="preserve"> Insertion of brain neurostimulator pulse device with connection to 2 or more electrode arrays</t>
  </si>
  <si>
    <t xml:space="preserve"> Removal of brain neurostimulator device</t>
  </si>
  <si>
    <t xml:space="preserve"> Elevation of simple depressed broken skull bone</t>
  </si>
  <si>
    <t xml:space="preserve"> Insertion of tube in brain using an endoscope</t>
  </si>
  <si>
    <t xml:space="preserve"> Replacement or irrigation of tube in membranes covering brain</t>
  </si>
  <si>
    <t xml:space="preserve"> Replacement or irrigation of tube in brain</t>
  </si>
  <si>
    <t xml:space="preserve"> Insertion or revision of cerebrospinal fluid drainage shunt valve or tube</t>
  </si>
  <si>
    <t xml:space="preserve"> Reprogramming of cerebrospinal fluid shunt</t>
  </si>
  <si>
    <t xml:space="preserve"> Removal of spinal canal scar tissue, multiple sessions over 2 days or more</t>
  </si>
  <si>
    <t xml:space="preserve"> Removal of spinal canal scar tissue, multiple sessions in 1 day</t>
  </si>
  <si>
    <t xml:space="preserve"> Aspiration of spinal disc tissue for diagnostic purposes</t>
  </si>
  <si>
    <t xml:space="preserve"> Aspiration of fluid from cyst of spinal cord or fluid-filled cavity</t>
  </si>
  <si>
    <t xml:space="preserve"> Biopsy of spinal cord with needle through skin</t>
  </si>
  <si>
    <t xml:space="preserve"> Removal of cerebrospinal fluid with lower back spinal tap for diagnostic test</t>
  </si>
  <si>
    <t xml:space="preserve"> Removal of cerebrospinal fluid with lower back spinal tap</t>
  </si>
  <si>
    <t xml:space="preserve"> Injection of blood or blood clot into spinal canal</t>
  </si>
  <si>
    <t xml:space="preserve"> Injection of substance into spinal canal for removal of nerve tissue in space around brain</t>
  </si>
  <si>
    <t xml:space="preserve"> Injection of substance into spinal canal for removal of upper spine nerve tissue</t>
  </si>
  <si>
    <t xml:space="preserve"> Injection of substance into spinal canal for removal of lower spine nerve tissue</t>
  </si>
  <si>
    <t xml:space="preserve"> Injection of contrast for imaging of lower spinal canal</t>
  </si>
  <si>
    <t xml:space="preserve"> Removal of lower spine disc tissue at single or multiple levels using fluoroscopic guidance</t>
  </si>
  <si>
    <t xml:space="preserve"> Injection of contrast for imaging of each level of lower spine</t>
  </si>
  <si>
    <t xml:space="preserve"> Injection of contrast for imaging of each level of middle or upper spine</t>
  </si>
  <si>
    <t xml:space="preserve"> Injection for removal of lower spine disc</t>
  </si>
  <si>
    <t xml:space="preserve"> Injection of substance to occlude spinal cord artery and/or vein</t>
  </si>
  <si>
    <t xml:space="preserve"> X-ray of upper spinal canal with review by radiologist</t>
  </si>
  <si>
    <t xml:space="preserve"> X-ray of middle spinal canal with review by radiologist</t>
  </si>
  <si>
    <t xml:space="preserve"> X-ray of lower spinal canal with review by radiologist</t>
  </si>
  <si>
    <t xml:space="preserve"> X-ray of multiple regions of spinal canal with review by radiologist</t>
  </si>
  <si>
    <t xml:space="preserve"> Injection of substance into middle or upper spine canal</t>
  </si>
  <si>
    <t xml:space="preserve"> Injection of substance into middle or upper spine canal using imaging guidance</t>
  </si>
  <si>
    <t xml:space="preserve"> Injection of substance into lower spine canal</t>
  </si>
  <si>
    <t xml:space="preserve"> Injection of substance into lower spine canal using imaging guidance</t>
  </si>
  <si>
    <t xml:space="preserve"> Insertion of tube and injection of substance into middle or upper spine canal</t>
  </si>
  <si>
    <t xml:space="preserve"> Insertion of tube and injection of substance into middle or upper spine canal using imaging guidance</t>
  </si>
  <si>
    <t xml:space="preserve"> Insertion of tube and injection of substance into lower spine canal</t>
  </si>
  <si>
    <t xml:space="preserve"> Insertion of tube and injection of substance into lower spine canal using imaging guidance</t>
  </si>
  <si>
    <t xml:space="preserve"> Removal of spinal fluid with lower back spinal tap for diagnostic test using imaging guidance</t>
  </si>
  <si>
    <t xml:space="preserve"> Removal of cerebrospinal fluid with lower back spinal tap using imaging guidance</t>
  </si>
  <si>
    <t xml:space="preserve"> Insertion, revision, or repositioning of spinal canal tube for medication administration</t>
  </si>
  <si>
    <t xml:space="preserve"> Insertion, revision, or repositioning of spinal canal tube for medication administration with removal of spine bone</t>
  </si>
  <si>
    <t xml:space="preserve"> Removal of implanted tube in spinal canal</t>
  </si>
  <si>
    <t xml:space="preserve"> Insertion of spinal canal drug infusion device beneath skin</t>
  </si>
  <si>
    <t xml:space="preserve"> Insertion of spinal canal drug infusion pump</t>
  </si>
  <si>
    <t xml:space="preserve"> Insertion of programmable spinal canal drug infusion pump</t>
  </si>
  <si>
    <t xml:space="preserve"> Removal of spinal canal drug infusion pump or device</t>
  </si>
  <si>
    <t xml:space="preserve"> Electronic analysis of spinal canal drug infusion pump</t>
  </si>
  <si>
    <t xml:space="preserve"> Electronic analysis and reprogramming of spinal canal drug infusion pump</t>
  </si>
  <si>
    <t xml:space="preserve"> Electronic analysis reprogramming and refill of spinal canal drug infusion pump</t>
  </si>
  <si>
    <t xml:space="preserve"> Electronic analysis reprogramming and refill of spinal canal drug infusion pump by physician</t>
  </si>
  <si>
    <t xml:space="preserve"> Release of lower spinal cord and/or nerve root using endoscope</t>
  </si>
  <si>
    <t xml:space="preserve"> Partial removal of spine bone with exploration and/or release of upper spinal cord or nerves, 1-2 segments</t>
  </si>
  <si>
    <t xml:space="preserve"> Partial removal of spine bone with exploration and/or release of middle spinal cord or nerves, 1-2 segments</t>
  </si>
  <si>
    <t xml:space="preserve"> Partial removal of spine bone with exploration and/or release of lower spinal cord or nerves, 1-2 segments</t>
  </si>
  <si>
    <t xml:space="preserve"> Partial removal of spine bone with exploration and/or release of sacral spinal cord or nerves, 1-2 segments</t>
  </si>
  <si>
    <t xml:space="preserve"> Partial removal of spine bone with release of lower spinal cord or nerves</t>
  </si>
  <si>
    <t xml:space="preserve"> Partial removal of spine bone with exploration and/or release of upper spinal cord or nerves, more than 2 segments</t>
  </si>
  <si>
    <t xml:space="preserve"> Partial removal of spine bone with exploration and/or release of middle spinal cord or nerves, more than 2 segments</t>
  </si>
  <si>
    <t xml:space="preserve"> Partial removal of spine bone with exploration and/or release of lower spinal cord or nerves, more than 2 segments</t>
  </si>
  <si>
    <t xml:space="preserve"> Partial removal of spine bone with release of upper spinal cord or nerves and/or removal of disc, 1 interspace</t>
  </si>
  <si>
    <t xml:space="preserve"> Partial removal of spine bone with release of lower spinal cord or nerves and/or removal of disc</t>
  </si>
  <si>
    <t xml:space="preserve"> Partial removal of spine bone with release of upper or lower spinal cord or nerves and/or removal of disc, each additional interspace</t>
  </si>
  <si>
    <t xml:space="preserve"> Partial removal of spine bone with re-exploration, release of upper spinal cord or nerves and/or removal of disc, 1 interspace</t>
  </si>
  <si>
    <t xml:space="preserve"> Partial removal of spine bone with re-exploration, release of lower spinal cord or nerves and/or removal of disc, 1 interspace</t>
  </si>
  <si>
    <t xml:space="preserve"> Partial removal of spine bone with re-exploration, release of upper spinal cord or nerves and/or removal of disc, each additional interspace</t>
  </si>
  <si>
    <t xml:space="preserve"> Partial removal of spine bone with re-exploration, release of upper or lower spinal cord or nerves and/or removal of disc, each additional interspace</t>
  </si>
  <si>
    <t xml:space="preserve"> Partial removal of spine bone with release of upper spinal cord and/or nerves, 1 segment</t>
  </si>
  <si>
    <t xml:space="preserve"> Partial removal of spine bone with release of middle spinal cord and/or nerves, 1 segment</t>
  </si>
  <si>
    <t xml:space="preserve"> Partial removal of spine bone with release of lower spinal cord and/or nerves, 1 segment</t>
  </si>
  <si>
    <t xml:space="preserve"> Release of middle spinal cord and/or nerves, single segment</t>
  </si>
  <si>
    <t xml:space="preserve"> Release of lower spinal cord and/or nerves, single segment</t>
  </si>
  <si>
    <t xml:space="preserve"> Release of middle spinal cord or nerves through rib and spine joint, single segment</t>
  </si>
  <si>
    <t xml:space="preserve"> Removal of upper spine disc and release of spinal cord and/or nerves, single interspace</t>
  </si>
  <si>
    <t xml:space="preserve"> Removal of upper spine disc and release of spinal cord and/or nerves, each additional interspace</t>
  </si>
  <si>
    <t xml:space="preserve"> Computer-assisted creation of growth of spinal cord</t>
  </si>
  <si>
    <t xml:space="preserve"> Computer-assisted stimulation of spinal cord</t>
  </si>
  <si>
    <t xml:space="preserve"> Computer-assisted radiosurgery of growth of spine, first growth</t>
  </si>
  <si>
    <t xml:space="preserve"> Computer-assisted radiosurgery of growth of spine, each additional growth</t>
  </si>
  <si>
    <t xml:space="preserve"> Insertion of spinal neurostimulator electrode array through skin</t>
  </si>
  <si>
    <t xml:space="preserve"> Removal of spine bone for insertion of neurostimulator electrode plate in spine</t>
  </si>
  <si>
    <t xml:space="preserve"> Insertion of spinal neurostimulator electrode array using fluoroscopic guidance</t>
  </si>
  <si>
    <t xml:space="preserve"> Removal of spinal neurostimulator electrode plate using fluoroscopic guidance</t>
  </si>
  <si>
    <t xml:space="preserve"> Revision of spinal neurostimulator electrode array using fluoroscopic guidance</t>
  </si>
  <si>
    <t xml:space="preserve"> Revision of spinal neurostimulator electrode plate using fluoroscopic guidance</t>
  </si>
  <si>
    <t xml:space="preserve"> Insertion or replacement of spinal neurostimulator generator or receiver</t>
  </si>
  <si>
    <t xml:space="preserve"> Removal or revision of spinal neurostimulator generator or receiver</t>
  </si>
  <si>
    <t xml:space="preserve"> Creation of cerebrospinal fluid shunt</t>
  </si>
  <si>
    <t xml:space="preserve"> Replacement, irrigation, or revision of lower spinal canal shunt</t>
  </si>
  <si>
    <t xml:space="preserve"> Removal of lower spinal canal shunt</t>
  </si>
  <si>
    <t xml:space="preserve"> Injection of anesthetic agent and/or steroid into face nerve</t>
  </si>
  <si>
    <t xml:space="preserve"> Injection of anesthetic agent and/or steroid into upper neck and back of head nerve</t>
  </si>
  <si>
    <t xml:space="preserve"> Injection of anesthetic agent and/or steroid into vagus nerve</t>
  </si>
  <si>
    <t xml:space="preserve"> Injection of anesthetic agent and/or steroid into arm nerve bundle (brachial plexus)</t>
  </si>
  <si>
    <t xml:space="preserve"> Continuous infusion of anesthetic agent and/or steroid into arm nerve bundle through catheter</t>
  </si>
  <si>
    <t xml:space="preserve"> Injection of anesthetic agent and/or steroid into upper arm and shoulder nerve (axillary nerve)</t>
  </si>
  <si>
    <t xml:space="preserve"> Injection of anesthetic agent and/or steroid into suprascapular shoulder nerve</t>
  </si>
  <si>
    <t xml:space="preserve"> Injection of anesthetic agent and/or steroid into rib nerve</t>
  </si>
  <si>
    <t xml:space="preserve"> Injection of anesthetic agent and/or steroid into multiple rib nerves for regional nerve block</t>
  </si>
  <si>
    <t xml:space="preserve"> Injection of anesthetic agent and/or steroid into lower abdomen and groin nerve</t>
  </si>
  <si>
    <t xml:space="preserve"> Injection of anesthetic agent and/or steroid into external genitals and anus nerve</t>
  </si>
  <si>
    <t xml:space="preserve"> Injection of anesthetic agent and/or steroid into uterus nerve</t>
  </si>
  <si>
    <t xml:space="preserve"> Injection of anesthetic agent and/or steroid into lower back and leg nerve (sciatic nerve)</t>
  </si>
  <si>
    <t xml:space="preserve"> Continuous infusion of anesthetic agent and/or steroid into lower back and leg nerve (sciatic nerve) through catheter</t>
  </si>
  <si>
    <t xml:space="preserve"> Injection of anesthetic agent and/or steroid into thigh nerve (femoral nerve)</t>
  </si>
  <si>
    <t xml:space="preserve"> Continuous infusion of anesthetic agent and/or steroid into thigh nerve (femoral nerve) through catheter</t>
  </si>
  <si>
    <t xml:space="preserve"> Injection by continuous infusion of anesthetic agent into lower back nerve bundle</t>
  </si>
  <si>
    <t xml:space="preserve"> Injection of anesthetic agent and/or steroid into other nerve or branch</t>
  </si>
  <si>
    <t xml:space="preserve"> Injection of anesthetic agent and/or steroid into spine and pelvis nerve using imaging guidance</t>
  </si>
  <si>
    <t xml:space="preserve"> Injection of anesthetic agent and/or steroid into knee nerve branch using imaging guidance</t>
  </si>
  <si>
    <t xml:space="preserve"> Injection of anesthetic and/or steroid drug into foot nerve</t>
  </si>
  <si>
    <t xml:space="preserve"> Injection of anesthetic agent into thoracic vertebra using imaging guidance, single site</t>
  </si>
  <si>
    <t xml:space="preserve"> Injection of anesthetic agent into thoracic vertebra using imaging guidance, additional sites</t>
  </si>
  <si>
    <t xml:space="preserve"> Injection of anesthetic agent through tube into thoracic vertebra using imaging guidance</t>
  </si>
  <si>
    <t xml:space="preserve"> Injection of anesthetic and/or steroid drug into upper or middle spine nerve root using imaging guidance, single level</t>
  </si>
  <si>
    <t xml:space="preserve"> Injection of anesthetic and/or steroid drug into upper or middle spine nerve root using imaging guidance, each additional level</t>
  </si>
  <si>
    <t xml:space="preserve"> Injection of anesthetic and/or steroid drug into sacral spine nerve root using imaging guidance, single level</t>
  </si>
  <si>
    <t xml:space="preserve"> Injection of anesthetic and/or steroid drug into sacral spine nerve root using imaging guidance, each additional level</t>
  </si>
  <si>
    <t xml:space="preserve"> Injection of local anesthetic for abdominal wall pain control on side using imaging guidance</t>
  </si>
  <si>
    <t xml:space="preserve"> Continuous infusion of local anesthetic for abdominal wall pain control on side using imaging guidance</t>
  </si>
  <si>
    <t xml:space="preserve"> Injection of local anesthetic for abdominal wall pain control on both sides using imaging guidance</t>
  </si>
  <si>
    <t xml:space="preserve"> Continuous infusion of local anesthetic for abdominal wall pain control on both sides using imaging guidance</t>
  </si>
  <si>
    <t xml:space="preserve"> Injection of upper or middle spine facet joint using imaging guidance, single level</t>
  </si>
  <si>
    <t xml:space="preserve"> Injection of upper or middle spine facet joint using imaging guidance, second level</t>
  </si>
  <si>
    <t xml:space="preserve"> Injection of upper or middle spine facet joint using imaging guidance, third and any additional level</t>
  </si>
  <si>
    <t xml:space="preserve"> Injection of lower or sacral spine facet joint using imaging guidance, single level</t>
  </si>
  <si>
    <t xml:space="preserve"> Injection of lower or sacral spine facet joint using imaging guidance, second level</t>
  </si>
  <si>
    <t xml:space="preserve"> Injection of lower or sacral spine facet joint using imaging guidance, third and any additional level</t>
  </si>
  <si>
    <t xml:space="preserve"> Injection of anesthetic agent, trigeminal nerve bundle</t>
  </si>
  <si>
    <t xml:space="preserve"> Injection of anesthetic agent into sympathetic nerve bundle</t>
  </si>
  <si>
    <t xml:space="preserve"> Injection of anesthetic agent into sacral nerve bundle</t>
  </si>
  <si>
    <t xml:space="preserve"> Injection of anesthetic agent into middle or lower spine sympathetic nerve</t>
  </si>
  <si>
    <t xml:space="preserve"> Injection of anesthetic agent into abdominal sympathetic nerve bundle</t>
  </si>
  <si>
    <t xml:space="preserve"> Insertion of cranial nerve neurostimulator electrode</t>
  </si>
  <si>
    <t xml:space="preserve"> Insertion of peripheral nerve neurostimulator electrode through skin</t>
  </si>
  <si>
    <t xml:space="preserve"> Insertion of sacral nerve neurostimulator electrode array</t>
  </si>
  <si>
    <t xml:space="preserve"> Insertion of lower leg neurostimulator electrode</t>
  </si>
  <si>
    <t xml:space="preserve"> Insertion of cranial nerve neurostimulator electrode and generator</t>
  </si>
  <si>
    <t xml:space="preserve"> Revision of cranial nerve neurostimulator electrodes</t>
  </si>
  <si>
    <t xml:space="preserve"> Removal of cranial nerve neurostimulator electrodes</t>
  </si>
  <si>
    <t xml:space="preserve"> Insertion of peripheral nerve neurostimulator electrode</t>
  </si>
  <si>
    <t xml:space="preserve"> Insertion of muscle neurostimulator electrodes</t>
  </si>
  <si>
    <t xml:space="preserve"> Insertion of sacral nerve neurostimulator electrode</t>
  </si>
  <si>
    <t xml:space="preserve"> Insertion of hypoglossal nerve neurostimulator electrode and generator and breathing sensor electrode</t>
  </si>
  <si>
    <t xml:space="preserve"> Revision or replacement of hypoglossal nerve neurostimulator electrode and breathing sensor electrode with connection to existing generator</t>
  </si>
  <si>
    <t xml:space="preserve"> Removal of hypoglossal nerve neurostimulator electrode and generator and breathing sensor electrode</t>
  </si>
  <si>
    <t xml:space="preserve"> Revision of peripheral neurostimulator electrodes</t>
  </si>
  <si>
    <t xml:space="preserve"> Insertion or replacement of peripheral, sacral, or gastric neurostimulator generator or receiver</t>
  </si>
  <si>
    <t xml:space="preserve"> Removal or revision of a peripheral, sacral, or gastric neurostimulator pulse generator or receiver</t>
  </si>
  <si>
    <t xml:space="preserve"> Insertion or replacement of a peripheral integrated neurostimulator initial electrode array</t>
  </si>
  <si>
    <t xml:space="preserve"> Insertion or replacement of a peripheral integrated neurostimulator each additional electrode array</t>
  </si>
  <si>
    <t xml:space="preserve"> Revision or removal of a electrode array with an integrated neurostimulator</t>
  </si>
  <si>
    <t xml:space="preserve"> Destruction of first division of face nerve branch</t>
  </si>
  <si>
    <t xml:space="preserve"> Destruction of second and third division of face nerve branch</t>
  </si>
  <si>
    <t xml:space="preserve"> Destruction of face nerve branch under X-ray monitoring</t>
  </si>
  <si>
    <t xml:space="preserve"> Injection of chemical for paralysis of salivary glands on both sides of mouth</t>
  </si>
  <si>
    <t xml:space="preserve"> Injection of chemical for paralysis of nerve muscles on side of face</t>
  </si>
  <si>
    <t xml:space="preserve"> Injection of chemical for paralysis of facial and neck nerve muscles on both sides of face</t>
  </si>
  <si>
    <t xml:space="preserve"> Injection of chemical for paralysis of nerve muscles on side of neck excluding voice box</t>
  </si>
  <si>
    <t xml:space="preserve"> Injection of chemical for paralysis of nerve muscles on side of voice box</t>
  </si>
  <si>
    <t xml:space="preserve"> Injection of agent to destroy rib nerve</t>
  </si>
  <si>
    <t xml:space="preserve"> Destruction of nerve branches of knee using imaging guidance</t>
  </si>
  <si>
    <t xml:space="preserve"> Destruction of nerves supplying joint between spine and pelvis using imaging guidance</t>
  </si>
  <si>
    <t xml:space="preserve"> Heat destruction of intraosseous basivertebral nerve in bones of spine in lower back, first two bones</t>
  </si>
  <si>
    <t xml:space="preserve"> Destruction of external genital nerve</t>
  </si>
  <si>
    <t xml:space="preserve"> Destruction of foot nerve</t>
  </si>
  <si>
    <t xml:space="preserve"> Destruction of upper or middle spinal facet joint nerves using imaging guidance, single facet joint</t>
  </si>
  <si>
    <t xml:space="preserve"> Destruction of upper or middle spinal facet joint nerves using imaging guidance, each additional facet joint</t>
  </si>
  <si>
    <t xml:space="preserve"> Destruction of lower or sacral spinal facet joint nerves using imaging guidance, single facet joint</t>
  </si>
  <si>
    <t xml:space="preserve"> Destruction of lower or sacral spinal facet joint nerves using imaging guidance, each additional facet joint</t>
  </si>
  <si>
    <t xml:space="preserve"> Destruction of peripheral nerve or branch</t>
  </si>
  <si>
    <t xml:space="preserve"> Injection of chemical for paralysis of nerve muscles on arm or leg, 1-4 muscles, first extremity</t>
  </si>
  <si>
    <t xml:space="preserve"> Injection of chemical for paralysis of nerve muscles on arm or leg, 1-4 muscles, each additional extremity</t>
  </si>
  <si>
    <t xml:space="preserve"> Injection of chemical for paralysis of nerve muscles on arm or leg, 5 or more muscles, first extremity</t>
  </si>
  <si>
    <t xml:space="preserve"> Injection of chemical for paralysis of nerve muscles on arm or leg, 5 or more muscles, each additional extremity</t>
  </si>
  <si>
    <t xml:space="preserve"> Injection of chemical for paralysis of nerve muscles on trunk, 1-5 muscles</t>
  </si>
  <si>
    <t xml:space="preserve"> Injection of chemical for paralysis of nerve muscles on trunk, 6 or more muscles</t>
  </si>
  <si>
    <t xml:space="preserve"> Injection of chemical for paralysis of underarm sweat glands</t>
  </si>
  <si>
    <t xml:space="preserve"> Injection of chemical for paralysis of sweat glands</t>
  </si>
  <si>
    <t xml:space="preserve"> Injection of agent to destroy abdominal nerve bundle</t>
  </si>
  <si>
    <t xml:space="preserve"> Injection of agent to destroy presacral nerve bundle</t>
  </si>
  <si>
    <t xml:space="preserve"> Release of finger nerve</t>
  </si>
  <si>
    <t xml:space="preserve"> Release of hand or foot nerve</t>
  </si>
  <si>
    <t xml:space="preserve"> Release of arm or leg nerve</t>
  </si>
  <si>
    <t xml:space="preserve"> Release of sciatic nerve</t>
  </si>
  <si>
    <t xml:space="preserve"> Release of major arm or leg nerve</t>
  </si>
  <si>
    <t xml:space="preserve"> Release of upper leg nerve</t>
  </si>
  <si>
    <t xml:space="preserve"> Release and/or relocation of cranial nerve</t>
  </si>
  <si>
    <t xml:space="preserve"> Release and/or relocation of elbow nerve</t>
  </si>
  <si>
    <t xml:space="preserve"> Release and/or relocation of wrist nerve</t>
  </si>
  <si>
    <t xml:space="preserve"> Release and/or relocation of hand nerve</t>
  </si>
  <si>
    <t xml:space="preserve"> Release of unspecified nerve</t>
  </si>
  <si>
    <t xml:space="preserve"> Release of sole of foot nerve</t>
  </si>
  <si>
    <t xml:space="preserve"> Release of nerve using operating microscope</t>
  </si>
  <si>
    <t xml:space="preserve"> Incision or removal of forehead, scalp and upper eyelid nerve</t>
  </si>
  <si>
    <t xml:space="preserve"> Incision or removal of lower eyelid, upper lip, and mouth nerve</t>
  </si>
  <si>
    <t xml:space="preserve"> Incision or removal of chin, lower lip, and jaw nerve</t>
  </si>
  <si>
    <t xml:space="preserve"> Incision or removal of teeth and jaw bone nerve</t>
  </si>
  <si>
    <t xml:space="preserve"> Incision and removal of tongue nerve</t>
  </si>
  <si>
    <t xml:space="preserve"> Incision or removal of face nerve</t>
  </si>
  <si>
    <t xml:space="preserve"> Incision or removal of scalp and over ear nerve</t>
  </si>
  <si>
    <t xml:space="preserve"> Incision or removal of abdomen, gallbladder, and liver nerve</t>
  </si>
  <si>
    <t xml:space="preserve"> Incision or removal of outside pelvic and thigh nerve</t>
  </si>
  <si>
    <t xml:space="preserve"> Incision or removal of inside pelvic and thigh nerve</t>
  </si>
  <si>
    <t xml:space="preserve"> Incision or removal of cranial nerve</t>
  </si>
  <si>
    <t xml:space="preserve"> Incision or removal of spinal nerve</t>
  </si>
  <si>
    <t xml:space="preserve"> Removal of growth of skin nerve</t>
  </si>
  <si>
    <t xml:space="preserve"> Removal of growth of finger or toe nerve, same digit</t>
  </si>
  <si>
    <t xml:space="preserve"> Removal of growth of finger or toe nerve, each additional digit</t>
  </si>
  <si>
    <t xml:space="preserve"> Removal of growth of nerve of hand or foot nerve, first nerve</t>
  </si>
  <si>
    <t xml:space="preserve"> Removal of growth of nerve of hand or foot nerve, each additional nerve</t>
  </si>
  <si>
    <t xml:space="preserve"> Removal of growth of peripheral nerve</t>
  </si>
  <si>
    <t xml:space="preserve"> Removal or growth of sciatic nerve</t>
  </si>
  <si>
    <t xml:space="preserve"> Implantation of nerve end into bone or muscle</t>
  </si>
  <si>
    <t xml:space="preserve"> Removal of growth of skin nerve or nerve lining</t>
  </si>
  <si>
    <t xml:space="preserve"> Removal of growth of major peripheral nerve or nerve lining</t>
  </si>
  <si>
    <t xml:space="preserve"> Removal of growth of major peripheral nerve or nerve lining, extensive including growth</t>
  </si>
  <si>
    <t xml:space="preserve"> Biopsy of nerve</t>
  </si>
  <si>
    <t xml:space="preserve"> Removal of upper spine sympathetic nerves</t>
  </si>
  <si>
    <t xml:space="preserve"> Removal of upper and middle spine sympathetic nerves</t>
  </si>
  <si>
    <t xml:space="preserve"> Removal of finger or toe sympathetic nerve</t>
  </si>
  <si>
    <t xml:space="preserve"> Removal of lower arm radial artery sympathetic nerve</t>
  </si>
  <si>
    <t xml:space="preserve"> Removal of lower arm ulnar artery sympathetic nerve</t>
  </si>
  <si>
    <t xml:space="preserve"> Removal of hand sympathetic nerve</t>
  </si>
  <si>
    <t xml:space="preserve"> Suture of hand or foot digital nerve, first digital nerve</t>
  </si>
  <si>
    <t xml:space="preserve"> Suture of hand or foot digital nerve, each additional digital nerve</t>
  </si>
  <si>
    <t xml:space="preserve"> Suture of hand or foot common sensory nerve</t>
  </si>
  <si>
    <t xml:space="preserve"> Suture of hand median motor nerve</t>
  </si>
  <si>
    <t xml:space="preserve"> Suture of forearm and hand nerve</t>
  </si>
  <si>
    <t xml:space="preserve"> Suture of hand or foot nerve, each additional nerve</t>
  </si>
  <si>
    <t xml:space="preserve"> Suture of foreleg nerve to sole of foot</t>
  </si>
  <si>
    <t xml:space="preserve"> Suture and relocation of arm or leg peripheral nerve</t>
  </si>
  <si>
    <t xml:space="preserve"> Suture of arm or leg peripheral nerve</t>
  </si>
  <si>
    <t xml:space="preserve"> Suture of sciatic nerve</t>
  </si>
  <si>
    <t xml:space="preserve"> Suture of peripheral nerve</t>
  </si>
  <si>
    <t xml:space="preserve"> Suture of arm nerve bundle</t>
  </si>
  <si>
    <t xml:space="preserve"> Suture of lower spine nerve bundle</t>
  </si>
  <si>
    <t xml:space="preserve"> Suture of face nerve outside skull</t>
  </si>
  <si>
    <t xml:space="preserve"> Suture of face nerve at temple</t>
  </si>
  <si>
    <t xml:space="preserve"> Delayed suture nerve repair</t>
  </si>
  <si>
    <t xml:space="preserve"> Suture and relocation of nerve to restore function</t>
  </si>
  <si>
    <t xml:space="preserve"> Suture of nerve with shortening of arm or leg bone</t>
  </si>
  <si>
    <t xml:space="preserve"> Graft of head or neck nerve, 4.0 cm or less</t>
  </si>
  <si>
    <t xml:space="preserve"> Graft of head or neck nerve, more than 4.0 cm</t>
  </si>
  <si>
    <t xml:space="preserve"> Graft of hand or foot nerve , 4.0 cm or less</t>
  </si>
  <si>
    <t xml:space="preserve"> Graft of hand or foot nerve, more than 4.0 cm</t>
  </si>
  <si>
    <t xml:space="preserve"> Graft of arm or leg nerve, 4.0 cm or less</t>
  </si>
  <si>
    <t xml:space="preserve"> Graft of arm or leg nerve, more than 4.0 cm</t>
  </si>
  <si>
    <t xml:space="preserve"> Graft of multiple hand or foot nerves, 4.0 cm or less</t>
  </si>
  <si>
    <t xml:space="preserve"> Graft of multiple hand or foot nerves, more than 4.0 cm</t>
  </si>
  <si>
    <t xml:space="preserve"> Graft of multiple arm or leg nerves, 4.0 cm or less</t>
  </si>
  <si>
    <t xml:space="preserve"> Graft of multiple arm or leg nerves, more than 4.0 cm</t>
  </si>
  <si>
    <t xml:space="preserve"> Graft of single strand of nerve, each additional nerve</t>
  </si>
  <si>
    <t xml:space="preserve"> Graft of multiple nerve sections</t>
  </si>
  <si>
    <t xml:space="preserve"> Transfer of nerve to injured nerve, stage 1 of 2</t>
  </si>
  <si>
    <t xml:space="preserve"> Transfer of nerve to injured nerve, stage 2 of 2</t>
  </si>
  <si>
    <t xml:space="preserve"> Repair of nerve with graft</t>
  </si>
  <si>
    <t xml:space="preserve"> Repair of nerve using nerve graft, first strand</t>
  </si>
  <si>
    <t xml:space="preserve"> Repair of nerve using nerve graft, each additional strand</t>
  </si>
  <si>
    <t xml:space="preserve"> Other procedure on nervous system</t>
  </si>
  <si>
    <t xml:space="preserve"> Removal of eye contents</t>
  </si>
  <si>
    <t xml:space="preserve"> Removal of eye contents with insertion of implant</t>
  </si>
  <si>
    <t xml:space="preserve"> Removal of eyeball</t>
  </si>
  <si>
    <t xml:space="preserve"> Removal of eyeball with insertion of implant</t>
  </si>
  <si>
    <t xml:space="preserve"> Removal of eyeball with insertion of implant attached to muscles</t>
  </si>
  <si>
    <t xml:space="preserve"> Removal of eye contents and eye socket bone</t>
  </si>
  <si>
    <t xml:space="preserve"> Removal of eye contents and therapeutic removal of eye socket bone</t>
  </si>
  <si>
    <t xml:space="preserve"> Removal of eye contents with muscle or flap graft</t>
  </si>
  <si>
    <t xml:space="preserve"> Placement or replacement of peg in eye implant</t>
  </si>
  <si>
    <t xml:space="preserve"> Insertion of eye implant in scleral shell after evisceration</t>
  </si>
  <si>
    <t xml:space="preserve"> Insertion of eye implant after removal of eye</t>
  </si>
  <si>
    <t xml:space="preserve"> Insertion of eye implant attached to muscles after removal of eye</t>
  </si>
  <si>
    <t xml:space="preserve"> Reinsertion of eye implant</t>
  </si>
  <si>
    <t xml:space="preserve"> Reinsertion of eye implant using foreign material and/or attachment to muscles for reinforcement</t>
  </si>
  <si>
    <t xml:space="preserve"> Removal of eye implant</t>
  </si>
  <si>
    <t xml:space="preserve"> Removal of foreign body from external eye (conjunctiva)</t>
  </si>
  <si>
    <t xml:space="preserve"> Removal of foreign body from external eye (conjunctiva or sclera)</t>
  </si>
  <si>
    <t xml:space="preserve"> Removal of foreign body in cornea</t>
  </si>
  <si>
    <t xml:space="preserve"> Removal of foreign body in cornea using slit lamp</t>
  </si>
  <si>
    <t xml:space="preserve"> Removal of foreign body in eye or lens</t>
  </si>
  <si>
    <t xml:space="preserve"> Removal of foreign body in eye with a magnet</t>
  </si>
  <si>
    <t xml:space="preserve"> Removal of foreign body in eye</t>
  </si>
  <si>
    <t xml:space="preserve"> Repair of lacerated conjunctiva</t>
  </si>
  <si>
    <t xml:space="preserve"> Repair of lacerated conjunctiva using flap or graft</t>
  </si>
  <si>
    <t xml:space="preserve"> Repair of lacerated cornea</t>
  </si>
  <si>
    <t xml:space="preserve"> Repair of perforating laceration of cornea and/or sclera</t>
  </si>
  <si>
    <t xml:space="preserve"> Repair of perforating laceration of cornea and/or sclera with reposition or removal of uveal tissue</t>
  </si>
  <si>
    <t xml:space="preserve"> Repair of lacerated cornea and/or sclera using tissue glue</t>
  </si>
  <si>
    <t xml:space="preserve"> Repair of wound of eye muscle or tendon</t>
  </si>
  <si>
    <t xml:space="preserve"> Removal of growth of cornea</t>
  </si>
  <si>
    <t xml:space="preserve"> Biopsy of cornea</t>
  </si>
  <si>
    <t xml:space="preserve"> Removal or relocation of corneal conjunctiva</t>
  </si>
  <si>
    <t xml:space="preserve"> Removal or relocation of corneal conjunctiva with graft</t>
  </si>
  <si>
    <t xml:space="preserve"> Scraping of cornea for diagnosis</t>
  </si>
  <si>
    <t xml:space="preserve"> Removal of outer layer of cornea</t>
  </si>
  <si>
    <t xml:space="preserve"> Removal of outer layer of cornea with application of chelating agent</t>
  </si>
  <si>
    <t xml:space="preserve"> Destruction of growth of cornea</t>
  </si>
  <si>
    <t xml:space="preserve"> Multiple punctures of cornea</t>
  </si>
  <si>
    <t xml:space="preserve"> Transplantation of tissue from 1 cornea to other cornea</t>
  </si>
  <si>
    <t xml:space="preserve"> Penetrating transplantation of tissue from 1 cornea to other cornea (except in aphakia or pseudophakia)</t>
  </si>
  <si>
    <t xml:space="preserve"> Penetrating transplantation of tissue from 1 cornea to other cornea (in aphakia)</t>
  </si>
  <si>
    <t xml:space="preserve"> Penetrating transplantation of tissue from 1 cornea to other cornea (in pseudophakia)</t>
  </si>
  <si>
    <t xml:space="preserve"> Transplantation of outer layer of corneal tissue</t>
  </si>
  <si>
    <t xml:space="preserve"> Preparation of corneal tissue for transplant</t>
  </si>
  <si>
    <t xml:space="preserve"> Removal and reshaping of corneal tissue</t>
  </si>
  <si>
    <t xml:space="preserve"> Transplantation of donor cornea</t>
  </si>
  <si>
    <t xml:space="preserve"> Transplantation of donor corneal tissue</t>
  </si>
  <si>
    <t xml:space="preserve"> Insertion of cornea prosthesis</t>
  </si>
  <si>
    <t xml:space="preserve"> Incision of cornea to correct astigmatism</t>
  </si>
  <si>
    <t xml:space="preserve"> Removal of corneal tissue to correct astigmatism</t>
  </si>
  <si>
    <t xml:space="preserve"> Placement of amniotic membrane on eye surface for wound healing</t>
  </si>
  <si>
    <t xml:space="preserve"> Placement of amniotic membrane on eye surface with sutures for wound healing</t>
  </si>
  <si>
    <t xml:space="preserve"> Transplantation of fetal sac tissue to cornea</t>
  </si>
  <si>
    <t xml:space="preserve"> Transplantation of stem cells to cornea</t>
  </si>
  <si>
    <t xml:space="preserve"> Transplantation of stem cells from 1 cornea to other cornea</t>
  </si>
  <si>
    <t xml:space="preserve"> Implantation of corneal ring segments</t>
  </si>
  <si>
    <t xml:space="preserve"> Removal of eye fluid</t>
  </si>
  <si>
    <t xml:space="preserve"> Complex removal of eye fluid</t>
  </si>
  <si>
    <t xml:space="preserve"> Removal of blood from eye</t>
  </si>
  <si>
    <t xml:space="preserve"> Incision to improve eye fluid flow</t>
  </si>
  <si>
    <t xml:space="preserve"> Insertion of eye fluid drainage tube</t>
  </si>
  <si>
    <t xml:space="preserve"> Laser repair to improve eye fluid flow</t>
  </si>
  <si>
    <t xml:space="preserve"> Laser removal of scar tissue of eye</t>
  </si>
  <si>
    <t xml:space="preserve"> Removal of scar tissue in eye (goniosynechiae)</t>
  </si>
  <si>
    <t xml:space="preserve"> Removal of scar tissue in eye (anterior synechiae)</t>
  </si>
  <si>
    <t xml:space="preserve"> Removal of scar tissue in eye (posterior synechiae)</t>
  </si>
  <si>
    <t xml:space="preserve"> Removal of corneal scar tissue</t>
  </si>
  <si>
    <t xml:space="preserve"> Removal of outer lining of cornea</t>
  </si>
  <si>
    <t xml:space="preserve"> Removal of implanted lens of eye</t>
  </si>
  <si>
    <t xml:space="preserve"> Removal of blood clot of eye</t>
  </si>
  <si>
    <t>INJECTION OF AIR OR LIQUID INTO EYE</t>
  </si>
  <si>
    <t xml:space="preserve"> Injection of medication into eye</t>
  </si>
  <si>
    <t xml:space="preserve"> Removal of growth of sclera</t>
  </si>
  <si>
    <t xml:space="preserve"> Partial removal of iris and creation of drainage hole for treatment of glaucoma</t>
  </si>
  <si>
    <t xml:space="preserve"> Partial removal of iris using heat for treatment of glaucoma</t>
  </si>
  <si>
    <t xml:space="preserve"> Removal of sclera and iris and creation of eye fluid drainage tract for treatment of glaucoma</t>
  </si>
  <si>
    <t xml:space="preserve"> Creation of eye fluid drainage tract for treatment of glaucoma</t>
  </si>
  <si>
    <t xml:space="preserve"> Creation of eye fluid drainage tract for treatment of glaucoma with previous scarring</t>
  </si>
  <si>
    <t xml:space="preserve"> Dilation of fluid outflow drainage within eye</t>
  </si>
  <si>
    <t xml:space="preserve"> Dilation of fluid outflow drainage within eye with insertion of device to maintain open channel</t>
  </si>
  <si>
    <t xml:space="preserve"> Creation of shunt to improve eye fluid flow</t>
  </si>
  <si>
    <t xml:space="preserve"> Creation of shunt to improve eye fluid flow using tissue graft</t>
  </si>
  <si>
    <t xml:space="preserve"> Insertion of eye fluid drainage device</t>
  </si>
  <si>
    <t xml:space="preserve"> Revision of eye fluid drainage shunt</t>
  </si>
  <si>
    <t xml:space="preserve"> Revision of eye fluid drainage shunt with graft</t>
  </si>
  <si>
    <t xml:space="preserve"> Repair of protrusion of inner tissue through eyeball with graft</t>
  </si>
  <si>
    <t xml:space="preserve"> Revision or repair of operative wound of eye</t>
  </si>
  <si>
    <t xml:space="preserve"> Incision of iris to improve eye fluid flow</t>
  </si>
  <si>
    <t xml:space="preserve"> Incision and drainage of eye fluid accumulation of iris</t>
  </si>
  <si>
    <t xml:space="preserve"> Removal of iris and growth</t>
  </si>
  <si>
    <t xml:space="preserve"> Removal of iris and eyelid border to improve eye fluid flow with partial removal of ciliary muscle</t>
  </si>
  <si>
    <t xml:space="preserve"> Removal of margin of iris to improve eye fluid flow</t>
  </si>
  <si>
    <t xml:space="preserve"> Removal of section of iris to improve eye fluid flow</t>
  </si>
  <si>
    <t xml:space="preserve"> Partial removal of iris and eyelid border to improve eye fluid flow</t>
  </si>
  <si>
    <t xml:space="preserve"> Repair of iris and lens</t>
  </si>
  <si>
    <t xml:space="preserve"> Suture of iris and lens</t>
  </si>
  <si>
    <t xml:space="preserve"> Destruction of lens tissue</t>
  </si>
  <si>
    <t xml:space="preserve"> Destruction of lens tissue using laser</t>
  </si>
  <si>
    <t xml:space="preserve"> Destruction of tissue encircling lens using an endoscope</t>
  </si>
  <si>
    <t xml:space="preserve"> Destruction of tissue encircling lens</t>
  </si>
  <si>
    <t xml:space="preserve"> Destruction of tissue of eyelid border</t>
  </si>
  <si>
    <t xml:space="preserve"> Creation of eye fluid drainage tracts in iris using a laser, per session</t>
  </si>
  <si>
    <t xml:space="preserve"> Creation of opening of iris for eye fluid drainage using a laser</t>
  </si>
  <si>
    <t xml:space="preserve"> Destruction of growth of iris using a laser</t>
  </si>
  <si>
    <t xml:space="preserve"> Removal of recurring cataract in lens capsule by stab incision</t>
  </si>
  <si>
    <t xml:space="preserve"> Removal of recurring cataract in lens capsule using a laser</t>
  </si>
  <si>
    <t xml:space="preserve"> Repositioning of lens prosthesis</t>
  </si>
  <si>
    <t xml:space="preserve"> Removal of recurring cataract in lens capsule with sectioning of cornea and scleral areas</t>
  </si>
  <si>
    <t xml:space="preserve"> Aspiration of lens material by aspiration</t>
  </si>
  <si>
    <t xml:space="preserve"> Aspiration of lens material by fragmenting and aspiration</t>
  </si>
  <si>
    <t xml:space="preserve"> Removal of lens material</t>
  </si>
  <si>
    <t xml:space="preserve"> Removal of lens material and capsule</t>
  </si>
  <si>
    <t xml:space="preserve"> Removal of lens material and capsule for dislocated lens</t>
  </si>
  <si>
    <t xml:space="preserve"> Removal of lens material and portion of lens capsule</t>
  </si>
  <si>
    <t xml:space="preserve"> Complex removal of cataract with insertion of prosthetic lens</t>
  </si>
  <si>
    <t xml:space="preserve"> Removal of cataract and capsule with insertion of prosthetic lens</t>
  </si>
  <si>
    <t xml:space="preserve"> Removal of cataract with insertion of prosthetic lens</t>
  </si>
  <si>
    <t xml:space="preserve"> Insertion of prosthetic lens</t>
  </si>
  <si>
    <t xml:space="preserve"> Exchange of prosthetic lens</t>
  </si>
  <si>
    <t xml:space="preserve"> Complex removal of cataract with insertion of prosthetic lens and laser treatment to decrease fluid production in eye</t>
  </si>
  <si>
    <t xml:space="preserve"> Removal of cataract with insertion of prosthetic lens and laser treatment to decrease fluid production in eye</t>
  </si>
  <si>
    <t xml:space="preserve"> Complex extracapsular removal of cataract with insertion of artificial lens and insertion of drainage device in front chamber of eye</t>
  </si>
  <si>
    <t xml:space="preserve"> Exam of eye using an endoscope</t>
  </si>
  <si>
    <t xml:space="preserve"> Extracapsular removal of cataract with insertion of artificial lens and insertion of drainage device in front chamber of eye</t>
  </si>
  <si>
    <t xml:space="preserve"> Other procedure on front of eye</t>
  </si>
  <si>
    <t xml:space="preserve"> Partial removal of eye fluid between lens and retina</t>
  </si>
  <si>
    <t xml:space="preserve"> Partial removal of eye fluid between lens and retina with mechanical removal of eye fluid</t>
  </si>
  <si>
    <t xml:space="preserve"> Aspiration or release of eye fluid between lens and retina</t>
  </si>
  <si>
    <t xml:space="preserve"> Injection of synthetic eye fluid</t>
  </si>
  <si>
    <t xml:space="preserve"> Implantation of eye drug delivery system</t>
  </si>
  <si>
    <t xml:space="preserve"> Injection of drug into eye</t>
  </si>
  <si>
    <t xml:space="preserve"> Cutting of strands of eye fluid between lens and retina</t>
  </si>
  <si>
    <t xml:space="preserve"> Release of scar tissue between lens and retina using a laser</t>
  </si>
  <si>
    <t xml:space="preserve"> Removal of eye fluid (vitreous) between lens and retina</t>
  </si>
  <si>
    <t xml:space="preserve"> Destruction of eye fluid (vitreous) between lens and retina using a laser</t>
  </si>
  <si>
    <t xml:space="preserve"> Destruction of eye fluid (vitreous) between lens and retina and all of retina using a laser</t>
  </si>
  <si>
    <t xml:space="preserve"> Removal of membrane of retina</t>
  </si>
  <si>
    <t xml:space="preserve"> Removal of membrane of retina with removal of internal limiting membrane of retina</t>
  </si>
  <si>
    <t xml:space="preserve"> Removal of membrane of retina with removal of subretinal membrane</t>
  </si>
  <si>
    <t xml:space="preserve"> Repair of detached retina by cold treatment</t>
  </si>
  <si>
    <t xml:space="preserve"> Repair of detached retina using a laser</t>
  </si>
  <si>
    <t xml:space="preserve"> Repair of detached retina and drainage of eye fluid between lens and retina</t>
  </si>
  <si>
    <t xml:space="preserve"> Repair of detached retina with drainage and removal of eye fluid between lens and retina</t>
  </si>
  <si>
    <t xml:space="preserve"> Repair of detached retina by injection of air or gas</t>
  </si>
  <si>
    <t xml:space="preserve"> Complex repair of detached retina and drainage of eye fluid between lens and retina</t>
  </si>
  <si>
    <t xml:space="preserve"> Release of material used for retina repair</t>
  </si>
  <si>
    <t xml:space="preserve"> Removal of implant material from outside of eye</t>
  </si>
  <si>
    <t xml:space="preserve"> Removal of implant material from inside of eye</t>
  </si>
  <si>
    <t xml:space="preserve"> Heat or freezing treatment to prevent detachment of retina</t>
  </si>
  <si>
    <t xml:space="preserve"> Photocoagulation treatment to prevent detachment of retina</t>
  </si>
  <si>
    <t xml:space="preserve"> Destruction of growth of retina by heat or freezing</t>
  </si>
  <si>
    <t xml:space="preserve"> Destruction of growth of retina using a laser</t>
  </si>
  <si>
    <t xml:space="preserve"> Destruction of growth of retina by implantation of radiation source</t>
  </si>
  <si>
    <t xml:space="preserve"> Destruction of vascular growth between retina and sclera by photocoagulation</t>
  </si>
  <si>
    <t xml:space="preserve"> Destruction of vascular growth between retina and sclera by photodynamic therapy</t>
  </si>
  <si>
    <t xml:space="preserve"> Destruction of vascular growth between retina and sclera by photodynamic therapy for second eye at 1 session</t>
  </si>
  <si>
    <t xml:space="preserve"> Destruction of leaking blood vessels of retina</t>
  </si>
  <si>
    <t xml:space="preserve"> Destruction of leaking blood vessels of retina using laser</t>
  </si>
  <si>
    <t xml:space="preserve"> Destruction of leaking blood vessels of retina, preterm infant</t>
  </si>
  <si>
    <t xml:space="preserve"> Repair of defect of sclera</t>
  </si>
  <si>
    <t xml:space="preserve"> Repair of defect of sclera with graft</t>
  </si>
  <si>
    <t xml:space="preserve"> Realignment of horizontal eye muscle</t>
  </si>
  <si>
    <t xml:space="preserve"> Realignment of eye by repair of 2 horizontal muscles</t>
  </si>
  <si>
    <t xml:space="preserve"> Realignment of vertical eye muscle</t>
  </si>
  <si>
    <t xml:space="preserve"> Realignment of multiple vertical eye muscles</t>
  </si>
  <si>
    <t xml:space="preserve"> Realignment of eye muscle at upper inner edge of eye</t>
  </si>
  <si>
    <t xml:space="preserve"> Relocation of eye muscle to restore function</t>
  </si>
  <si>
    <t xml:space="preserve"> Realignment of eye muscle following injury or eye surgery</t>
  </si>
  <si>
    <t xml:space="preserve"> Realignment of eye muscle complicated by scarring or restrictive muscle movement</t>
  </si>
  <si>
    <t xml:space="preserve"> Realignment of eye muscle by suture</t>
  </si>
  <si>
    <t xml:space="preserve"> Placement of adjustable sutures during eye muscle surgery</t>
  </si>
  <si>
    <t xml:space="preserve"> Realignment and repair of detached eye muscle</t>
  </si>
  <si>
    <t xml:space="preserve"> Release of extensive scar tissue of eye</t>
  </si>
  <si>
    <t xml:space="preserve"> Destruction of eye muscle by injection of chemical</t>
  </si>
  <si>
    <t xml:space="preserve"> Biopsy of eye muscle</t>
  </si>
  <si>
    <t xml:space="preserve"> Exploration of cavity behind eye</t>
  </si>
  <si>
    <t xml:space="preserve"> Incision and drainage of cavity behind eye</t>
  </si>
  <si>
    <t xml:space="preserve"> Removal of growth of cavity behind eye</t>
  </si>
  <si>
    <t xml:space="preserve"> Removal of foreign body in cavity behind eye</t>
  </si>
  <si>
    <t xml:space="preserve"> Removal of bone cavity behind eye for decompression</t>
  </si>
  <si>
    <t xml:space="preserve"> Fine needle aspiration of orbital contents</t>
  </si>
  <si>
    <t xml:space="preserve"> Removal of bone and growth of cavity behind eye</t>
  </si>
  <si>
    <t xml:space="preserve"> Removal of bone and foreign body in cavity behind eye</t>
  </si>
  <si>
    <t xml:space="preserve"> Removal of bone with drainage from cavity behind eye</t>
  </si>
  <si>
    <t xml:space="preserve"> Removal of bone from cavity behind eye with bone flap</t>
  </si>
  <si>
    <t xml:space="preserve"> Exploration of cavity behind eye with bone flap</t>
  </si>
  <si>
    <t xml:space="preserve"> Injection of drug into cavity behind eye</t>
  </si>
  <si>
    <t xml:space="preserve"> Injection of alcohol into cavity behind eye</t>
  </si>
  <si>
    <t xml:space="preserve"> Injection of drug or substance into membrane covering eyeball</t>
  </si>
  <si>
    <t xml:space="preserve"> Injection of drug into the space between the cornea and retina in the eye</t>
  </si>
  <si>
    <t xml:space="preserve"> Insertion of implant outside eye muscles</t>
  </si>
  <si>
    <t xml:space="preserve"> Removal or revision of implant outside eye muscles</t>
  </si>
  <si>
    <t xml:space="preserve"> Release of optic nerve</t>
  </si>
  <si>
    <t xml:space="preserve"> Incision and drainage of abscess of eyelid</t>
  </si>
  <si>
    <t xml:space="preserve"> Removal of sutures between upper and lower eyelids</t>
  </si>
  <si>
    <t xml:space="preserve"> Incision of corner of eye at eyelid</t>
  </si>
  <si>
    <t xml:space="preserve"> Removal of chronic growth of eyelid</t>
  </si>
  <si>
    <t xml:space="preserve"> Removal of multiple chronic growths of same eyelid</t>
  </si>
  <si>
    <t xml:space="preserve"> Removal of multiple chronic growths of different eyelids</t>
  </si>
  <si>
    <t xml:space="preserve"> Removal of chronic eyelid growth under general anesthesia and/or requiring hospitalization</t>
  </si>
  <si>
    <t xml:space="preserve"> Biopsy of eyelid</t>
  </si>
  <si>
    <t xml:space="preserve"> Removal of eyelashes using forceps</t>
  </si>
  <si>
    <t xml:space="preserve"> Removal of eyelashes</t>
  </si>
  <si>
    <t xml:space="preserve"> Removal of eyelashes by incision</t>
  </si>
  <si>
    <t xml:space="preserve"> Removal of eyelashes with graft</t>
  </si>
  <si>
    <t xml:space="preserve"> Removal of growth of eyelid</t>
  </si>
  <si>
    <t xml:space="preserve"> Destruction of growth of eyelid margin, 1.0 cm or less</t>
  </si>
  <si>
    <t xml:space="preserve"> Temporary closure of eyelids by suture</t>
  </si>
  <si>
    <t xml:space="preserve"> Creation of permanent eyelid margin scarring</t>
  </si>
  <si>
    <t xml:space="preserve"> Creation of permanent eyelid margin scarring with relocation of eyelid tissue</t>
  </si>
  <si>
    <t xml:space="preserve"> Repair of brow paralysis</t>
  </si>
  <si>
    <t xml:space="preserve"> Repair of upper eyelid muscle to correct drooping or paralysis using external material</t>
  </si>
  <si>
    <t xml:space="preserve"> Repair of upper eyelid muscle to correct drooping or paralysis using internal tissues</t>
  </si>
  <si>
    <t xml:space="preserve"> Shortening or advancement of upper eyelid muscle to correct drooping or paralysis</t>
  </si>
  <si>
    <t xml:space="preserve"> Repair of tendon of upper eyelid</t>
  </si>
  <si>
    <t xml:space="preserve"> Suspension of upper eyelid muscle to correct drooping or paralysis</t>
  </si>
  <si>
    <t xml:space="preserve"> Removal of tissue, muscle, and membrane to correct eyelid drooping or paralysis</t>
  </si>
  <si>
    <t xml:space="preserve"> Revision of surgery to correct drooping or paralyzed upper eyelid</t>
  </si>
  <si>
    <t xml:space="preserve"> Correction of widely-opened upper eyelid</t>
  </si>
  <si>
    <t xml:space="preserve"> Restoration of eyelid blinking function with implant</t>
  </si>
  <si>
    <t xml:space="preserve"> Suture repair of turning-outward upper or lower eyelid defect</t>
  </si>
  <si>
    <t xml:space="preserve"> Repair of turning-outward defect of upper or lower eyelid using heat</t>
  </si>
  <si>
    <t xml:space="preserve"> Repair of turning-outward eyelid defect</t>
  </si>
  <si>
    <t xml:space="preserve"> Extensive repair of turning-outward eyelid defect</t>
  </si>
  <si>
    <t xml:space="preserve"> Suture repair of turning-inward eyelid defect</t>
  </si>
  <si>
    <t xml:space="preserve"> Repair of turning-inward eyelid defect using heat</t>
  </si>
  <si>
    <t xml:space="preserve"> Repair of turning-inward eyelid defect</t>
  </si>
  <si>
    <t xml:space="preserve"> Extensive repair of turning-inward eyelid defect</t>
  </si>
  <si>
    <t xml:space="preserve"> Suture of recent wound of eyelid</t>
  </si>
  <si>
    <t xml:space="preserve"> Repair of wound of eyelid margin</t>
  </si>
  <si>
    <t xml:space="preserve"> Removal of embedded foreign body in eyelid</t>
  </si>
  <si>
    <t xml:space="preserve"> Reconstruction of eyelid margin</t>
  </si>
  <si>
    <t xml:space="preserve"> Removal of up to 1/4 of eyelid margin and repair of eyelid</t>
  </si>
  <si>
    <t xml:space="preserve"> Removal of over 1/4 of eyelid margin and repair of eyelid</t>
  </si>
  <si>
    <t xml:space="preserve"> Reconstruction of up to 2/3 of eyelid with tissue from opposite eyelid</t>
  </si>
  <si>
    <t xml:space="preserve"> Reconstruction of lower eyelid by transfer of eyelid tissue from opposite eyelid</t>
  </si>
  <si>
    <t xml:space="preserve"> Reconstruction of upper eyelid with tissue from opposite eyelid</t>
  </si>
  <si>
    <t xml:space="preserve"> Reconstruction of eyelid by transfer of eyelid tissue from opposite eyelid</t>
  </si>
  <si>
    <t xml:space="preserve"> Incision and drainage of cyst of eye</t>
  </si>
  <si>
    <t xml:space="preserve"> Removal of scars of eyelid lining due to infection</t>
  </si>
  <si>
    <t xml:space="preserve"> Biopsy of eyelid lining</t>
  </si>
  <si>
    <t xml:space="preserve"> Removal of growth of eyelid lining, 1.0 cm or less</t>
  </si>
  <si>
    <t xml:space="preserve"> Removal of growth of eyelid lining, more than 1.0 cm</t>
  </si>
  <si>
    <t xml:space="preserve"> Removal of growth of eyelid lining and sclera</t>
  </si>
  <si>
    <t xml:space="preserve"> Destruction of growth of eyelid lining</t>
  </si>
  <si>
    <t xml:space="preserve"> Injection into conjunctiva</t>
  </si>
  <si>
    <t xml:space="preserve"> Repair of eyelid lining with graft from external eye</t>
  </si>
  <si>
    <t xml:space="preserve"> Repair of conjunctiva with graft from cheek tissue</t>
  </si>
  <si>
    <t xml:space="preserve"> Reconstruction of conjunctiva with graft from outer eye or rearrangement</t>
  </si>
  <si>
    <t xml:space="preserve"> Reconstruction of conjunctiva with graft from cheek</t>
  </si>
  <si>
    <t xml:space="preserve"> Release of scar tissue from conjunctiva</t>
  </si>
  <si>
    <t xml:space="preserve"> Release of scar tissue from eyelids with graft</t>
  </si>
  <si>
    <t xml:space="preserve"> Release of scar tissue from eyelids</t>
  </si>
  <si>
    <t xml:space="preserve"> Partial relocation of conjunctival flap</t>
  </si>
  <si>
    <t xml:space="preserve"> Relocation of conjunctival flap</t>
  </si>
  <si>
    <t xml:space="preserve"> Harvest of donor conjunctiva</t>
  </si>
  <si>
    <t xml:space="preserve"> Other procedure on conjunctiva</t>
  </si>
  <si>
    <t xml:space="preserve"> Incision and drainage of tear producing gland</t>
  </si>
  <si>
    <t xml:space="preserve"> Incision and drainage of tear duct sac</t>
  </si>
  <si>
    <t xml:space="preserve"> Snip incision of tear duct at inner corner of eye</t>
  </si>
  <si>
    <t xml:space="preserve"> Removal of tear producing gland</t>
  </si>
  <si>
    <t xml:space="preserve"> Partial removal of tear producing gland</t>
  </si>
  <si>
    <t xml:space="preserve"> Biopsy of tear producing gland</t>
  </si>
  <si>
    <t xml:space="preserve"> Removal of tear sac</t>
  </si>
  <si>
    <t xml:space="preserve"> Biopsy of tear sac</t>
  </si>
  <si>
    <t xml:space="preserve"> Removal of foreign body or stone in tear passages</t>
  </si>
  <si>
    <t xml:space="preserve"> Removal of growth of tear producing gland</t>
  </si>
  <si>
    <t xml:space="preserve"> Removal of growth of tear producing gland with osteotomy</t>
  </si>
  <si>
    <t xml:space="preserve"> Plastic repair of tear duct</t>
  </si>
  <si>
    <t xml:space="preserve"> Release of tissue at tear duct opening</t>
  </si>
  <si>
    <t xml:space="preserve"> Creation of drainage tract from tear sac to nasal cavity</t>
  </si>
  <si>
    <t xml:space="preserve"> Creation of tear drainage tract to nasal cavity</t>
  </si>
  <si>
    <t xml:space="preserve"> Creation of tear drainage tract to nasal cavity with insertion of tube or stent</t>
  </si>
  <si>
    <t xml:space="preserve"> Repair tear duct opening by heat, tying, or laser surgery</t>
  </si>
  <si>
    <t xml:space="preserve"> Closure of tear duct opening using plug</t>
  </si>
  <si>
    <t xml:space="preserve"> Closure of abnormal tear drainage tract</t>
  </si>
  <si>
    <t xml:space="preserve"> Dilation of tear drainage opening</t>
  </si>
  <si>
    <t xml:space="preserve"> Insertion of probe into nasal tear duct</t>
  </si>
  <si>
    <t xml:space="preserve"> Insertion of probe into nasal tear duct under anesthesia</t>
  </si>
  <si>
    <t xml:space="preserve"> Probing of nasal tear duct with insertion of tube or stent</t>
  </si>
  <si>
    <t xml:space="preserve"> Probing of nasal tear duct with balloon tube dilation</t>
  </si>
  <si>
    <t xml:space="preserve"> Probing of nasal tear duct</t>
  </si>
  <si>
    <t xml:space="preserve"> Insertion of drug delivery implant into tear duct of eye</t>
  </si>
  <si>
    <t xml:space="preserve"> Injection of contrast for imaging of tear sac</t>
  </si>
  <si>
    <t xml:space="preserve"> Other procedure on tear producing drainage system</t>
  </si>
  <si>
    <t xml:space="preserve"> Simple drainage of abscess or blood accumulation of external ear</t>
  </si>
  <si>
    <t xml:space="preserve"> Complicated drainage of external ear abscess or blood accumulation</t>
  </si>
  <si>
    <t xml:space="preserve"> Drainage of abscess of ear canal</t>
  </si>
  <si>
    <t xml:space="preserve"> Biopsy of ear</t>
  </si>
  <si>
    <t xml:space="preserve"> Biopsy of ear canal</t>
  </si>
  <si>
    <t xml:space="preserve"> Partial removal of external ear with simple repair</t>
  </si>
  <si>
    <t xml:space="preserve"> Removal of entire ear</t>
  </si>
  <si>
    <t xml:space="preserve"> Removal of bony growths of ear canal</t>
  </si>
  <si>
    <t xml:space="preserve"> Removal of growth in soft tissue of ear canal</t>
  </si>
  <si>
    <t xml:space="preserve"> Removal of growth of ear canal</t>
  </si>
  <si>
    <t xml:space="preserve"> Removal of foreign body in ear canal</t>
  </si>
  <si>
    <t xml:space="preserve"> Removal of foreign body in ear canal under anesthesia</t>
  </si>
  <si>
    <t xml:space="preserve"> Removal of impacted ear wax by washing</t>
  </si>
  <si>
    <t xml:space="preserve"> Removal of impacted ear wax</t>
  </si>
  <si>
    <t xml:space="preserve"> Simple removal of skin debris and drainage of mastoid cavity</t>
  </si>
  <si>
    <t xml:space="preserve"> Complex removal of skin debris and drainage of mastoid cavity</t>
  </si>
  <si>
    <t xml:space="preserve"> Repair of protruding ear</t>
  </si>
  <si>
    <t xml:space="preserve"> Reconstruction of ear canal</t>
  </si>
  <si>
    <t xml:space="preserve"> Creation of ear canal</t>
  </si>
  <si>
    <t xml:space="preserve"> Other procedure on external ear</t>
  </si>
  <si>
    <t xml:space="preserve"> Incision, aspiration, and/or inflation of eardrum</t>
  </si>
  <si>
    <t xml:space="preserve"> Incision, aspiration, and inflation of eardrum under anesthesia</t>
  </si>
  <si>
    <t xml:space="preserve"> Removal of implanted eardrum tube under anesthesia</t>
  </si>
  <si>
    <t xml:space="preserve"> Incision of eardrum with insertion of eardrum tube under local or topical anesthesia</t>
  </si>
  <si>
    <t xml:space="preserve"> Incision of eardrum with placement of eardrum tube under general anesthesia</t>
  </si>
  <si>
    <t xml:space="preserve"> Exploration of middle ear</t>
  </si>
  <si>
    <t xml:space="preserve"> Incision of ear canal with release of scar tissue</t>
  </si>
  <si>
    <t xml:space="preserve"> Incision of mastoid bone</t>
  </si>
  <si>
    <t xml:space="preserve"> Removal of middle ear (mastoid) bone</t>
  </si>
  <si>
    <t xml:space="preserve"> Removal of middle ear bone and removal of growth of middle ear</t>
  </si>
  <si>
    <t xml:space="preserve"> Extensive removal of mastoid bone</t>
  </si>
  <si>
    <t xml:space="preserve"> Extensive removal of bones around inner ear and mastoid bone</t>
  </si>
  <si>
    <t xml:space="preserve"> Removal of polyp of outer ear</t>
  </si>
  <si>
    <t xml:space="preserve"> Removal of growth of outer ear through ear canal</t>
  </si>
  <si>
    <t xml:space="preserve"> Removal of growth of outer ear through mastoid bone</t>
  </si>
  <si>
    <t xml:space="preserve"> Revision of operation of middle ear bones and removal of remaining bones</t>
  </si>
  <si>
    <t xml:space="preserve"> Revision of previous mastoid bone surgery</t>
  </si>
  <si>
    <t xml:space="preserve"> Extensive revision of previous mastoid bone surgery</t>
  </si>
  <si>
    <t xml:space="preserve"> Revision of operation of middle ear and eardrum</t>
  </si>
  <si>
    <t xml:space="preserve"> Repair of eardrum</t>
  </si>
  <si>
    <t xml:space="preserve"> Repair of defect or tear of eardrum</t>
  </si>
  <si>
    <t xml:space="preserve"> Repair of eardrum and ear canal with opening to ear bones</t>
  </si>
  <si>
    <t xml:space="preserve"> Repair of eardrum, ear canal, and bones</t>
  </si>
  <si>
    <t xml:space="preserve"> Repair of eardrum, ear canal, and bones with insertion of prosthesis</t>
  </si>
  <si>
    <t xml:space="preserve"> Repair of eardrum and ear canal with incision of middle ear bone</t>
  </si>
  <si>
    <t xml:space="preserve"> Repair of eardrum, ear canal, and bones with incision of middle ear bone</t>
  </si>
  <si>
    <t xml:space="preserve"> Repair of eardrum, ear canal, and bones with placement of implant and opening of middle ear</t>
  </si>
  <si>
    <t xml:space="preserve"> Complex repair of eardrum and ear canal with removal of mastoid bone</t>
  </si>
  <si>
    <t xml:space="preserve"> Repair of eardrum, ear canal, and bones with removal of middle ear bone</t>
  </si>
  <si>
    <t xml:space="preserve"> Repair of eardrum and ear canal with removal of middle ear bone</t>
  </si>
  <si>
    <t xml:space="preserve"> Repair of eardrum, ear canal, and bones with removal of mastoid bone, with intact canal wall</t>
  </si>
  <si>
    <t xml:space="preserve"> Extensive repair of eardrum and ear canal with removal of middle ear bone</t>
  </si>
  <si>
    <t xml:space="preserve"> Extensive repair and reconstruction of eardrum and ear canal with removal of middle ear bone</t>
  </si>
  <si>
    <t xml:space="preserve"> Release of ear bone</t>
  </si>
  <si>
    <t xml:space="preserve"> Incision or removal of middle ear bone</t>
  </si>
  <si>
    <t xml:space="preserve"> Incision or removal of ear bone with drilling</t>
  </si>
  <si>
    <t xml:space="preserve"> Revision of operation of ear bone</t>
  </si>
  <si>
    <t xml:space="preserve"> Repair of opening of middle to inner ear</t>
  </si>
  <si>
    <t xml:space="preserve"> Repair of opening to cochlea</t>
  </si>
  <si>
    <t xml:space="preserve"> Creation of flap to close mastoid cavity</t>
  </si>
  <si>
    <t xml:space="preserve"> Removal of eardrum nerve</t>
  </si>
  <si>
    <t xml:space="preserve"> Closure of drainage tract of middle ear</t>
  </si>
  <si>
    <t xml:space="preserve"> Dilation of canal between middle ear and throat (eustachian tube) on one side of body, using endoscope inserted through nose</t>
  </si>
  <si>
    <t xml:space="preserve"> Dilation of canal between middle ear and throat (eustachian tube) on both sides of body, using endoscope inserted through nose</t>
  </si>
  <si>
    <t xml:space="preserve"> Insertion or replacement of ear bone hearing device</t>
  </si>
  <si>
    <t xml:space="preserve"> Removal or repair of hearing device in skull bone surrounding ear</t>
  </si>
  <si>
    <t xml:space="preserve"> Implantation of cochlear stimulating system into skull with attachment through skin to external speech processor</t>
  </si>
  <si>
    <t xml:space="preserve"> Implantation of cochlear stimulating system into mastoid bone of skull with magnetic attachment to external speech processor</t>
  </si>
  <si>
    <t xml:space="preserve"> Replacement of cochlear stimulating system in skull with attachment through skin to external speech processor</t>
  </si>
  <si>
    <t xml:space="preserve"> Replacement of cochlear stimulating system into mastoid bone of skull with magnetic attachment to external speech processor</t>
  </si>
  <si>
    <t xml:space="preserve"> Release of face nerve through side</t>
  </si>
  <si>
    <t xml:space="preserve"> Release of face nerve through bone surrounding ear</t>
  </si>
  <si>
    <t xml:space="preserve"> Removal of entire cochlear stimulating system from skull with attachment through skin to external speech processor</t>
  </si>
  <si>
    <t xml:space="preserve"> Removal of entire cochlear stimulating system from mastoid bone of skull with magnetic attachment to external speech processor</t>
  </si>
  <si>
    <t xml:space="preserve"> Removal of entire cochlear stimulating system from outside mastoid bone of skull with magnetic attachment to external speech processor</t>
  </si>
  <si>
    <t xml:space="preserve"> Implantation of cochlear stimulating system outside mastoid bone of skull with magnetic attachment to external speech processor</t>
  </si>
  <si>
    <t xml:space="preserve"> Replacement of cochlear stimulating system outside mastoid bone of skull with magnetic attachment to external speech processor</t>
  </si>
  <si>
    <t xml:space="preserve"> Repair of facial nerve external to geniculate ganglion</t>
  </si>
  <si>
    <t xml:space="preserve"> Repair of facial nerve internal to geniculate ganglion</t>
  </si>
  <si>
    <t xml:space="preserve"> Other procedure on middle ear</t>
  </si>
  <si>
    <t xml:space="preserve"> Incision of fluid canal of inner ear with infusion of drugs</t>
  </si>
  <si>
    <t xml:space="preserve"> Operation of inner ear</t>
  </si>
  <si>
    <t xml:space="preserve"> Operation of inner ear with insertion of shunt</t>
  </si>
  <si>
    <t xml:space="preserve"> Removal of inner ear canal</t>
  </si>
  <si>
    <t xml:space="preserve"> Removal of inner ear canal and mastoid bone</t>
  </si>
  <si>
    <t xml:space="preserve"> Severing of ear canal nerve through middle ear and skull bones</t>
  </si>
  <si>
    <t xml:space="preserve"> Insertion of cochlear device</t>
  </si>
  <si>
    <t xml:space="preserve"> Release of face nerve</t>
  </si>
  <si>
    <t xml:space="preserve"> Release of ear canal</t>
  </si>
  <si>
    <t xml:space="preserve"> Removal of growth from skull bone surrounding ear</t>
  </si>
  <si>
    <t xml:space="preserve"> Use of operating microscope</t>
  </si>
  <si>
    <t xml:space="preserve"> Review by radiologist of lower back portion of brain image</t>
  </si>
  <si>
    <t xml:space="preserve"> Review by radiologist of brain and spinal cord image</t>
  </si>
  <si>
    <t xml:space="preserve"> X-ray of eye for detection of foreign body</t>
  </si>
  <si>
    <t xml:space="preserve"> X-ray of part of lower jaw, 1-4 views</t>
  </si>
  <si>
    <t xml:space="preserve"> X-ray of lower jaw, minimum of 4 views</t>
  </si>
  <si>
    <t xml:space="preserve"> X-ray of bone behind the ear, 1-2 views per side</t>
  </si>
  <si>
    <t xml:space="preserve"> X-ray of bone behind the ear, minimum of 3 views per side</t>
  </si>
  <si>
    <t xml:space="preserve"> X-ray of inside of ear canal</t>
  </si>
  <si>
    <t xml:space="preserve"> X-ray of face bones, 1-2 views</t>
  </si>
  <si>
    <t xml:space="preserve"> X-ray of face bones, minimum of 3 views</t>
  </si>
  <si>
    <t xml:space="preserve"> X-ray of nose bones, minimum of 3 views</t>
  </si>
  <si>
    <t xml:space="preserve"> Review by radiologist of tear drainage structure of eye image</t>
  </si>
  <si>
    <t xml:space="preserve"> X-ray of eye canal</t>
  </si>
  <si>
    <t xml:space="preserve"> X-ray of eye socket, minimum of 4 views</t>
  </si>
  <si>
    <t xml:space="preserve"> X-ray of paranasal sinus, 1-2 views</t>
  </si>
  <si>
    <t xml:space="preserve"> X-ray of paranasal sinus, minimum of 3 views</t>
  </si>
  <si>
    <t xml:space="preserve"> X-ray of bone at base of skull</t>
  </si>
  <si>
    <t xml:space="preserve"> X-ray of skull, 1-3 views</t>
  </si>
  <si>
    <t xml:space="preserve"> X-ray of skull, minimum of 4 views</t>
  </si>
  <si>
    <t xml:space="preserve"> X-ray of teeth, 1 view</t>
  </si>
  <si>
    <t xml:space="preserve"> X-ray of teeth, less than full mouth</t>
  </si>
  <si>
    <t xml:space="preserve"> X-ray of teeth, full mouth</t>
  </si>
  <si>
    <t xml:space="preserve"> X-ray of jaw joint on 1 side of mouth</t>
  </si>
  <si>
    <t xml:space="preserve"> X-ray of jaw joints on both sides of mouth</t>
  </si>
  <si>
    <t xml:space="preserve"> Review by radiologist of hinged joint of upper and lower jaw bones image</t>
  </si>
  <si>
    <t xml:space="preserve"> MRI scan of jaw joint</t>
  </si>
  <si>
    <t xml:space="preserve"> Imaging of jaws and skull</t>
  </si>
  <si>
    <t xml:space="preserve"> X-ray of lower jaws, upper jaws and teeth</t>
  </si>
  <si>
    <t xml:space="preserve"> X-ray of soft tissue of neck</t>
  </si>
  <si>
    <t xml:space="preserve"> X-ray of voice box or throat</t>
  </si>
  <si>
    <t xml:space="preserve"> Imaging of voice box with speech evaluation</t>
  </si>
  <si>
    <t xml:space="preserve"> X-ray of saliva gland</t>
  </si>
  <si>
    <t xml:space="preserve"> Review by radiologist of salivary structure image</t>
  </si>
  <si>
    <t xml:space="preserve"> CT scan head or brain without contrast</t>
  </si>
  <si>
    <t xml:space="preserve"> CT scan head or brain with contrast</t>
  </si>
  <si>
    <t xml:space="preserve"> CT scan of head or brain before and after contrast</t>
  </si>
  <si>
    <t xml:space="preserve"> CT scan of cranial cavity without contrast</t>
  </si>
  <si>
    <t xml:space="preserve"> CT scan of cranial cavity with contrast</t>
  </si>
  <si>
    <t xml:space="preserve"> CT scan of cranial cavity before and after contrast</t>
  </si>
  <si>
    <t xml:space="preserve"> CT scan of face without contrast</t>
  </si>
  <si>
    <t xml:space="preserve"> CT scan of face with contrast</t>
  </si>
  <si>
    <t xml:space="preserve"> CT scan of face before and after contrast</t>
  </si>
  <si>
    <t xml:space="preserve"> CT scan of soft tissue of neck without contrast</t>
  </si>
  <si>
    <t xml:space="preserve"> CT scan of soft tissue of neck with contrast</t>
  </si>
  <si>
    <t xml:space="preserve"> CT scan of soft tissue of neck before and after contrast</t>
  </si>
  <si>
    <t xml:space="preserve"> CT scan of blood vessels of head with contrast</t>
  </si>
  <si>
    <t xml:space="preserve"> CT scan of blood vessels of neck with contrast</t>
  </si>
  <si>
    <t xml:space="preserve"> MRI scan of bone of eye socket, face, and/or neck without contrast</t>
  </si>
  <si>
    <t xml:space="preserve"> MRI scan of bone of eye socket, face, and/or neck with contrast</t>
  </si>
  <si>
    <t xml:space="preserve"> MRI scan of bone of eye socket, face, and/or neck before and after contrast</t>
  </si>
  <si>
    <t xml:space="preserve"> MRI scan of blood vessels of head without contrast</t>
  </si>
  <si>
    <t xml:space="preserve"> MRI scan of blood vessels of head with contrast</t>
  </si>
  <si>
    <t xml:space="preserve"> MRI scan of blood vessels of head before and after contrast</t>
  </si>
  <si>
    <t xml:space="preserve"> MRI scan of blood vessels of neck without contrast</t>
  </si>
  <si>
    <t xml:space="preserve"> MRI scan of blood vessels of neck with contrast</t>
  </si>
  <si>
    <t xml:space="preserve"> MRI scan of blood vessels of neck before and after contrast</t>
  </si>
  <si>
    <t xml:space="preserve"> MRI scan of brain without contrast</t>
  </si>
  <si>
    <t xml:space="preserve"> MRI scan of brain with contrast</t>
  </si>
  <si>
    <t xml:space="preserve"> MRI scan of brain before and after contrast</t>
  </si>
  <si>
    <t xml:space="preserve"> Functional MRI scan of brain</t>
  </si>
  <si>
    <t xml:space="preserve"> Functional MRI scan of brain with neurofunctional testing</t>
  </si>
  <si>
    <t xml:space="preserve"> MRI scan of brain without contrast during brain procedure</t>
  </si>
  <si>
    <t xml:space="preserve"> MRI scan of brain with contrast during brain procedure</t>
  </si>
  <si>
    <t xml:space="preserve"> MRI scan of brain before and after contrast during brain procedure</t>
  </si>
  <si>
    <t xml:space="preserve"> X-ray of chest, 1 view</t>
  </si>
  <si>
    <t xml:space="preserve"> X-ray of chest, 2 views</t>
  </si>
  <si>
    <t xml:space="preserve"> X-ray of chest, 3 views</t>
  </si>
  <si>
    <t xml:space="preserve"> X-ray of chest, minimum of 4 views</t>
  </si>
  <si>
    <t xml:space="preserve"> X-ray of ribs on side of body, 2 views</t>
  </si>
  <si>
    <t xml:space="preserve"> X-ray of ribs on side of body, minimum of 3 views</t>
  </si>
  <si>
    <t xml:space="preserve"> X-ray of ribs on both sides of body, 3 views</t>
  </si>
  <si>
    <t xml:space="preserve"> X-ray of ribs on both sides of body, minimum of 4 views</t>
  </si>
  <si>
    <t xml:space="preserve"> X-ray of chest bone, minimum of 2 views</t>
  </si>
  <si>
    <t xml:space="preserve"> X-ray of joint between breast and collar bones, minimum of 2 views</t>
  </si>
  <si>
    <t xml:space="preserve"> CT scan of chest without contrast</t>
  </si>
  <si>
    <t xml:space="preserve"> CT scan of chest with contrast</t>
  </si>
  <si>
    <t xml:space="preserve"> CT scan of chest before and after contrast</t>
  </si>
  <si>
    <t xml:space="preserve"> Low dose CT scan of chest for lung cancer screening</t>
  </si>
  <si>
    <t xml:space="preserve"> CT scan of blood vessels of chest with contrast</t>
  </si>
  <si>
    <t xml:space="preserve"> MRI scan of chest without contrast</t>
  </si>
  <si>
    <t xml:space="preserve"> MRI scan of chest with contrast</t>
  </si>
  <si>
    <t xml:space="preserve"> MRI scan of chest before and after contrast</t>
  </si>
  <si>
    <t xml:space="preserve"> MRI scan of blood vessels of chest</t>
  </si>
  <si>
    <t xml:space="preserve"> X-ray of spine, 1 view</t>
  </si>
  <si>
    <t xml:space="preserve"> X-ray of upper spine, 2-3 views</t>
  </si>
  <si>
    <t xml:space="preserve"> X-ray of upper spine, 4-5 views</t>
  </si>
  <si>
    <t xml:space="preserve"> X-ray of upper spine, 6 or more views</t>
  </si>
  <si>
    <t xml:space="preserve"> X-ray of middle spine, 2 views</t>
  </si>
  <si>
    <t xml:space="preserve"> X-ray of middle spine, 3 views</t>
  </si>
  <si>
    <t xml:space="preserve"> X-ray of middle spine, minimum of 4 views</t>
  </si>
  <si>
    <t xml:space="preserve"> X-ray of middle and lower spine, 2 views</t>
  </si>
  <si>
    <t xml:space="preserve"> X-ray of entire middle and lower spine, 1 view</t>
  </si>
  <si>
    <t xml:space="preserve"> X-ray of entire middle and lower spine, 2-3 views</t>
  </si>
  <si>
    <t xml:space="preserve"> X-ray of entire middle and lower spine, 4-5 views</t>
  </si>
  <si>
    <t xml:space="preserve"> X-ray of entire middle and lower spine, minimum of 6 views</t>
  </si>
  <si>
    <t xml:space="preserve"> X-ray of lower and sacral spine, 2-3 views</t>
  </si>
  <si>
    <t xml:space="preserve"> X-ray of lower and sacral spine, minimum of 4 views</t>
  </si>
  <si>
    <t xml:space="preserve"> X-ray lower and sacral spine, minimum of 6 views</t>
  </si>
  <si>
    <t xml:space="preserve"> X-ray lower and sacral spine, 2-3 views bending views</t>
  </si>
  <si>
    <t xml:space="preserve"> CT scan of upper spine without contrast</t>
  </si>
  <si>
    <t xml:space="preserve"> CT scan of upper spine with contrast</t>
  </si>
  <si>
    <t xml:space="preserve"> CT scan of upper spine before and after contrast</t>
  </si>
  <si>
    <t xml:space="preserve"> CT scan of middle spine without contrast</t>
  </si>
  <si>
    <t xml:space="preserve"> CT scan of middle spine with contrast</t>
  </si>
  <si>
    <t xml:space="preserve"> CT scan of middle spine before and after contrast</t>
  </si>
  <si>
    <t xml:space="preserve"> CT scan of lower spine without contrast</t>
  </si>
  <si>
    <t xml:space="preserve"> CT scan of lower spine with contrast</t>
  </si>
  <si>
    <t xml:space="preserve"> CT scan of lower spine before and after contrast</t>
  </si>
  <si>
    <t xml:space="preserve"> MRI scan of upper spinal canal without contrast</t>
  </si>
  <si>
    <t xml:space="preserve"> MRI scan of upper spinal canal with contrast</t>
  </si>
  <si>
    <t xml:space="preserve"> MRI scan of middle spinal canal without contrast</t>
  </si>
  <si>
    <t xml:space="preserve"> MRI scan of middle spinal canal with contrast</t>
  </si>
  <si>
    <t xml:space="preserve"> MRI scan of lower spinal canal without contrast</t>
  </si>
  <si>
    <t xml:space="preserve"> MRI scan of lower spinal canal with contrast</t>
  </si>
  <si>
    <t xml:space="preserve"> MRI scan of upper spinal canal before and after contrast</t>
  </si>
  <si>
    <t xml:space="preserve"> MRI scan of middle spinal canal before and after contrast</t>
  </si>
  <si>
    <t xml:space="preserve"> MRI scan of lower spinal canal before and after contrast</t>
  </si>
  <si>
    <t xml:space="preserve"> MRI scan of blood vessels of spinal canal</t>
  </si>
  <si>
    <t xml:space="preserve"> X-ray of pelvis, 1-2 views</t>
  </si>
  <si>
    <t xml:space="preserve"> X-ray of pelvis, minimum of 3 views</t>
  </si>
  <si>
    <t xml:space="preserve"> CT scan of blood vessels of pelvis with contrast</t>
  </si>
  <si>
    <t xml:space="preserve"> CT scan of pelvis without contrast</t>
  </si>
  <si>
    <t xml:space="preserve"> CT scan of pelvis with contrast</t>
  </si>
  <si>
    <t xml:space="preserve"> CT scan of pelvis before and after contrast</t>
  </si>
  <si>
    <t xml:space="preserve"> MRI scan of pelvis without contrast</t>
  </si>
  <si>
    <t xml:space="preserve"> MRI scan of pelvis with contrast</t>
  </si>
  <si>
    <t xml:space="preserve"> MRI scan of pelvis before and after contrast</t>
  </si>
  <si>
    <t xml:space="preserve"> MRI scan of blood vessels of pelvis</t>
  </si>
  <si>
    <t xml:space="preserve"> X-ray of joint between lower spine and hip bone, 1-2 views</t>
  </si>
  <si>
    <t xml:space="preserve"> X-ray of joint between lower spine and hip bone, 3 or more views</t>
  </si>
  <si>
    <t xml:space="preserve"> X-ray of sacrum and tailbone, minimum of 2 views</t>
  </si>
  <si>
    <t xml:space="preserve"> Review by radiologist of upper spinal canal image</t>
  </si>
  <si>
    <t xml:space="preserve"> Review by radiologist of middle spinal canal image</t>
  </si>
  <si>
    <t xml:space="preserve"> Review by radiologist of lower spinal canal image</t>
  </si>
  <si>
    <t xml:space="preserve"> Review by radiologist of multiple spinal canals image</t>
  </si>
  <si>
    <t xml:space="preserve"> Review by radiologist of disc of upper or middle spine image</t>
  </si>
  <si>
    <t xml:space="preserve"> Review by radiologist of disc of lower spine image</t>
  </si>
  <si>
    <t xml:space="preserve"> X-ray of collar bone</t>
  </si>
  <si>
    <t xml:space="preserve"> X-ray of shoulder blade</t>
  </si>
  <si>
    <t xml:space="preserve"> X-ray of shoulder, 1 view</t>
  </si>
  <si>
    <t xml:space="preserve"> X-ray of shoulder, minimum of 2 views</t>
  </si>
  <si>
    <t xml:space="preserve"> Review by radiologist of shoulder joint image</t>
  </si>
  <si>
    <t xml:space="preserve"> X-ray of both collar bones joints</t>
  </si>
  <si>
    <t xml:space="preserve"> X-ray of upper arm, minimum of 2 views</t>
  </si>
  <si>
    <t xml:space="preserve"> X-ray of elbow, 2 views</t>
  </si>
  <si>
    <t xml:space="preserve"> X-ray of elbow, minimum of 3 views</t>
  </si>
  <si>
    <t xml:space="preserve"> Review by radiologist of elbow image</t>
  </si>
  <si>
    <t xml:space="preserve"> X-ray of forearm, 2 views</t>
  </si>
  <si>
    <t xml:space="preserve"> X-ray of infant arm, minimum of 2 views</t>
  </si>
  <si>
    <t xml:space="preserve"> X-ray of wrist, 2 views</t>
  </si>
  <si>
    <t xml:space="preserve"> X-ray of wrist, minimum of 3 views</t>
  </si>
  <si>
    <t xml:space="preserve"> Review by radiologist of wrist joint image</t>
  </si>
  <si>
    <t xml:space="preserve"> X-ray of hand, 2 views</t>
  </si>
  <si>
    <t xml:space="preserve"> X-ray of hand, minimum of 3 views</t>
  </si>
  <si>
    <t xml:space="preserve"> X-ray of finger, minimum of 2 views</t>
  </si>
  <si>
    <t xml:space="preserve"> CT scan of arm without contrast</t>
  </si>
  <si>
    <t xml:space="preserve"> CT scan of arm with contrast</t>
  </si>
  <si>
    <t xml:space="preserve"> CT scan of arm before and after contrast</t>
  </si>
  <si>
    <t xml:space="preserve"> CT scan of blood vessels of arm with contrast</t>
  </si>
  <si>
    <t xml:space="preserve"> MRI scan of arm without contrast</t>
  </si>
  <si>
    <t xml:space="preserve"> MRI scan of arm with contrast</t>
  </si>
  <si>
    <t xml:space="preserve"> MRI scan of arm before and after contrast</t>
  </si>
  <si>
    <t xml:space="preserve"> MRI scan of arm joint without contrast</t>
  </si>
  <si>
    <t xml:space="preserve"> MRI scan of arm joint with contrast</t>
  </si>
  <si>
    <t xml:space="preserve"> MRI scan of arm joint before and after contrast</t>
  </si>
  <si>
    <t xml:space="preserve"> MRI scan of blood vessels of arm</t>
  </si>
  <si>
    <t xml:space="preserve"> X-ray of hip, 1 view</t>
  </si>
  <si>
    <t xml:space="preserve"> X-ray of hip, 2-3 views</t>
  </si>
  <si>
    <t xml:space="preserve"> X-ray of hip, minimum of 4 views</t>
  </si>
  <si>
    <t xml:space="preserve"> X-ray of both hips, 2 views</t>
  </si>
  <si>
    <t xml:space="preserve"> X-ray of both hips, 3-4 views</t>
  </si>
  <si>
    <t xml:space="preserve"> X-ray of both hips, minimum of 5 views</t>
  </si>
  <si>
    <t xml:space="preserve"> Review by radiologist of hip joint image</t>
  </si>
  <si>
    <t xml:space="preserve"> X-ray of thigh bone, 1 view</t>
  </si>
  <si>
    <t xml:space="preserve"> X-ray of thigh bone, minimum 2 views</t>
  </si>
  <si>
    <t xml:space="preserve"> X-ray of knee, 1-2 views</t>
  </si>
  <si>
    <t xml:space="preserve"> X-ray of knee, 3 views</t>
  </si>
  <si>
    <t xml:space="preserve"> X-ray of knee, 4 or more views</t>
  </si>
  <si>
    <t xml:space="preserve"> X-ray of both knees while standing</t>
  </si>
  <si>
    <t xml:space="preserve"> Review by radiologist of knee joint image</t>
  </si>
  <si>
    <t xml:space="preserve"> X-ray of lower leg, 2 views</t>
  </si>
  <si>
    <t xml:space="preserve"> X-ray of infant leg, minimum of 2 views</t>
  </si>
  <si>
    <t xml:space="preserve"> X-ray of ankle, 2 views</t>
  </si>
  <si>
    <t xml:space="preserve"> X-ray of ankle, minimum of 3 views</t>
  </si>
  <si>
    <t xml:space="preserve"> Review by radiologist of ankle joint image</t>
  </si>
  <si>
    <t xml:space="preserve"> X-ray of foot, 2 views</t>
  </si>
  <si>
    <t xml:space="preserve"> X-ray of foot, minimum of 3 views</t>
  </si>
  <si>
    <t xml:space="preserve"> X-ray of heel, minimum of 2 views</t>
  </si>
  <si>
    <t xml:space="preserve"> X-ray of toe, minimum of 2 views</t>
  </si>
  <si>
    <t xml:space="preserve"> CT scan of leg without contrast</t>
  </si>
  <si>
    <t xml:space="preserve"> CT scan of leg with contrast material</t>
  </si>
  <si>
    <t xml:space="preserve"> CT scan of leg before and after contrast</t>
  </si>
  <si>
    <t xml:space="preserve"> CT scan of blood vessels of lower leg with contrast</t>
  </si>
  <si>
    <t xml:space="preserve"> MRI scan of leg without contrast</t>
  </si>
  <si>
    <t xml:space="preserve"> MRI scan of leg with contrast</t>
  </si>
  <si>
    <t xml:space="preserve"> MRI scan of leg before and after contrast</t>
  </si>
  <si>
    <t xml:space="preserve"> MRI scan of leg joint without contrast</t>
  </si>
  <si>
    <t xml:space="preserve"> MRI scan of leg joint with contrast</t>
  </si>
  <si>
    <t xml:space="preserve"> MRI scan of leg joint before and after contrast</t>
  </si>
  <si>
    <t xml:space="preserve"> MRI scan of blood vessels of leg</t>
  </si>
  <si>
    <t xml:space="preserve"> X-ray of abdomen, 1 view</t>
  </si>
  <si>
    <t xml:space="preserve"> X-ray of abdomen, 2 views</t>
  </si>
  <si>
    <t xml:space="preserve"> X-ray of abdomen, minimum of 3 views</t>
  </si>
  <si>
    <t xml:space="preserve"> X-ray series of abdomen with single X-ray of chest</t>
  </si>
  <si>
    <t xml:space="preserve"> CT scan of abdomen without contrast</t>
  </si>
  <si>
    <t xml:space="preserve"> CT scan of abdomen with contrast</t>
  </si>
  <si>
    <t xml:space="preserve"> CT scan of abdomen before and after contrast</t>
  </si>
  <si>
    <t xml:space="preserve"> CT scan of blood vessels of abdomen and pelvis with contrast</t>
  </si>
  <si>
    <t xml:space="preserve"> CT scan of blood vessels of abdomen with contrast</t>
  </si>
  <si>
    <t xml:space="preserve"> CT scan of abdomen and pelvis without contrast</t>
  </si>
  <si>
    <t xml:space="preserve"> CT scan of abdomen and pelvis with contrast</t>
  </si>
  <si>
    <t xml:space="preserve"> CT scan of abdomen and pelvis before and after contrast</t>
  </si>
  <si>
    <t xml:space="preserve"> MRI scan of abdomen without contrast</t>
  </si>
  <si>
    <t xml:space="preserve"> MRI scan of abdomen with contrast</t>
  </si>
  <si>
    <t xml:space="preserve"> MRI scan of abdomen before and after contrast</t>
  </si>
  <si>
    <t xml:space="preserve"> MRI scan of blood vessels of abdomen</t>
  </si>
  <si>
    <t xml:space="preserve"> Review by radiologist of abdominal cavity lining image</t>
  </si>
  <si>
    <t xml:space="preserve"> X-ray of voice box and/or esophagus with contrast</t>
  </si>
  <si>
    <t xml:space="preserve"> Single contrast X-ray of esophagus</t>
  </si>
  <si>
    <t xml:space="preserve"> Double contrast X-ray of esophagus</t>
  </si>
  <si>
    <t xml:space="preserve"> Imaging for evaluation of swallowing function</t>
  </si>
  <si>
    <t xml:space="preserve"> Review by radiologist of imaging for removal of esophageal foreign body in esophagus</t>
  </si>
  <si>
    <t xml:space="preserve"> Single contrast X-ray of upper digestive tract</t>
  </si>
  <si>
    <t xml:space="preserve"> Double contrast X-ray of upper digestive tract</t>
  </si>
  <si>
    <t xml:space="preserve"> Follow-through X-ray of small intestines</t>
  </si>
  <si>
    <t xml:space="preserve"> Single contrast X-ray of small intestine</t>
  </si>
  <si>
    <t xml:space="preserve"> Double contrast X-ray of small intestine</t>
  </si>
  <si>
    <t xml:space="preserve"> Diagnostic CT scan of large intestine without contrast</t>
  </si>
  <si>
    <t xml:space="preserve"> Diagnostic CT scan of large intestine with contrast</t>
  </si>
  <si>
    <t xml:space="preserve"> Single contrast X-ray of large intestine</t>
  </si>
  <si>
    <t xml:space="preserve"> Double contrast X-ray of large intestine</t>
  </si>
  <si>
    <t xml:space="preserve"> Enema using air or contrast</t>
  </si>
  <si>
    <t xml:space="preserve"> Imaging of gallbladder with contrast</t>
  </si>
  <si>
    <t xml:space="preserve"> Review by radiologist of bile and/or pancreatic duct image during surgery</t>
  </si>
  <si>
    <t xml:space="preserve"> Review by radiologist of additional bile and/or pancreatic duct image during surgery</t>
  </si>
  <si>
    <t xml:space="preserve"> Review by radiologist of image from tube placement into bile duct using an endoscope</t>
  </si>
  <si>
    <t xml:space="preserve"> Review by radiologist of image from tube placement into pancreatic duct using an endoscope</t>
  </si>
  <si>
    <t xml:space="preserve"> Review by radiologist of image from tube placement into bile and pancreatic duct using an endoscope</t>
  </si>
  <si>
    <t xml:space="preserve"> Review by radiologist of placement of long small bowel tube</t>
  </si>
  <si>
    <t xml:space="preserve"> Review by radiologist of placement of small bowel tube</t>
  </si>
  <si>
    <t xml:space="preserve"> Review by radiologist of image to guide opening of digestive tract</t>
  </si>
  <si>
    <t xml:space="preserve"> Review by radiologist of image to guide opening of bile duct</t>
  </si>
  <si>
    <t xml:space="preserve"> Imaging of urinary tract with injection of contrast into a vein</t>
  </si>
  <si>
    <t xml:space="preserve"> Imaging of urinary tract using infusion technique</t>
  </si>
  <si>
    <t xml:space="preserve"> Imaging of urinary tract using infusion technique with kidney section filming</t>
  </si>
  <si>
    <t xml:space="preserve"> Imaging of urinary tract following injection of a contrast agent</t>
  </si>
  <si>
    <t xml:space="preserve"> Review by radiologist of upper urinary tract image</t>
  </si>
  <si>
    <t xml:space="preserve"> Review by radiologist of urinary bladder image</t>
  </si>
  <si>
    <t xml:space="preserve"> Review by radiologist of male internal genitals image</t>
  </si>
  <si>
    <t xml:space="preserve"> Review by radiologist of penis image</t>
  </si>
  <si>
    <t xml:space="preserve"> Review by radiologist of urinary bladder and urethra images with contrast</t>
  </si>
  <si>
    <t xml:space="preserve"> Review by radiologist of urinary bladder and urethra images with contrast and after passing urine</t>
  </si>
  <si>
    <t xml:space="preserve"> Review by radiologist of kidney cyst image</t>
  </si>
  <si>
    <t xml:space="preserve"> Review by radiologist of ureter or urethra image</t>
  </si>
  <si>
    <t xml:space="preserve"> MRI scan of fetus for single or first pregnancy</t>
  </si>
  <si>
    <t xml:space="preserve"> MRI scan of fetus for each additional pregnancy</t>
  </si>
  <si>
    <t xml:space="preserve"> Review by radiologist of uterine tube and ovary image</t>
  </si>
  <si>
    <t xml:space="preserve"> Review by radiologist of image from placement of uterine tube</t>
  </si>
  <si>
    <t xml:space="preserve"> Imaging of anogenital region</t>
  </si>
  <si>
    <t xml:space="preserve"> MRI scan of heart without contrast</t>
  </si>
  <si>
    <t xml:space="preserve"> MRI scan of heart without contrast with stress imaging</t>
  </si>
  <si>
    <t xml:space="preserve"> MRI scan of heart before and after contrast</t>
  </si>
  <si>
    <t xml:space="preserve"> MRI scan of heart before and after contrast with stress imaging</t>
  </si>
  <si>
    <t xml:space="preserve"> MRI scan of blood flow of heart</t>
  </si>
  <si>
    <t xml:space="preserve"> CT scan of heart with evaluation of blood vessel calcium</t>
  </si>
  <si>
    <t xml:space="preserve"> CT scan of heart structure with contrast</t>
  </si>
  <si>
    <t xml:space="preserve"> CT scan of congenital heart disease with contrast</t>
  </si>
  <si>
    <t xml:space="preserve"> CT scan of blood vessels and grafts of heart with contrast</t>
  </si>
  <si>
    <t xml:space="preserve"> Review by radiologist of chest aorta image</t>
  </si>
  <si>
    <t xml:space="preserve"> Review by radiologist of chest aorta serial images</t>
  </si>
  <si>
    <t xml:space="preserve"> Review by radiologist of abdominal aorta image</t>
  </si>
  <si>
    <t xml:space="preserve"> Review by radiologist of abdominal aorta and both leg arteries image</t>
  </si>
  <si>
    <t xml:space="preserve"> CT scan of abdominal aorta and both leg arteries with contrast</t>
  </si>
  <si>
    <t xml:space="preserve"> Review by radiologist of spinal artery image</t>
  </si>
  <si>
    <t xml:space="preserve"> Review by radiologist of arm or leg artery image</t>
  </si>
  <si>
    <t xml:space="preserve"> Review by radiologist of both arms or legs arteries image</t>
  </si>
  <si>
    <t xml:space="preserve"> Review by radiologist of abdominal artery image</t>
  </si>
  <si>
    <t xml:space="preserve"> Review by radiologist of adrenal gland artery image</t>
  </si>
  <si>
    <t xml:space="preserve"> Review by radiologist of both adrenal glands arteries image</t>
  </si>
  <si>
    <t xml:space="preserve"> Review by radiologist of pelvis artery image</t>
  </si>
  <si>
    <t xml:space="preserve"> Review by radiologist of lung artery image</t>
  </si>
  <si>
    <t xml:space="preserve"> Review by radiologist of arteries of both lungs image</t>
  </si>
  <si>
    <t xml:space="preserve"> Review by radiologist of lung artery image with contrast</t>
  </si>
  <si>
    <t xml:space="preserve"> Review by radiologist of breast artery of breast image</t>
  </si>
  <si>
    <t xml:space="preserve"> Review by radiologist of additional artery image</t>
  </si>
  <si>
    <t xml:space="preserve"> Review by radiologist of lymphatic system of arm or leg image</t>
  </si>
  <si>
    <t xml:space="preserve"> Review by radiologist of lymphatic system of both arms or legs image</t>
  </si>
  <si>
    <t xml:space="preserve"> Review by radiologist of lymphatic system of side of pelvis and abdomen image</t>
  </si>
  <si>
    <t xml:space="preserve"> Review by radiologist of lymphatic system of both side of pelvis and abdomen image</t>
  </si>
  <si>
    <t xml:space="preserve"> Review by radiologist of previous placed shunt image</t>
  </si>
  <si>
    <t xml:space="preserve"> Review by radiologist of spleen and liver vein image</t>
  </si>
  <si>
    <t xml:space="preserve"> Review by radiologist of 1 arm or leg vein of 1 arm or leg image</t>
  </si>
  <si>
    <t xml:space="preserve"> Review by radiologist of both arms and legs veins of both arms or legs image</t>
  </si>
  <si>
    <t xml:space="preserve"> Review by radiologist of major lower body vein image</t>
  </si>
  <si>
    <t xml:space="preserve"> Review by radiologist of major upper body vein image</t>
  </si>
  <si>
    <t xml:space="preserve"> Review by radiologist of kidney image</t>
  </si>
  <si>
    <t xml:space="preserve"> Review by radiologist of both kidneys veins image</t>
  </si>
  <si>
    <t xml:space="preserve"> Review by radiologist of adrenal gland vein image</t>
  </si>
  <si>
    <t xml:space="preserve"> Review by radiologist of both adrenal gland veins image</t>
  </si>
  <si>
    <t xml:space="preserve"> Review by radiologist of head or neck vein system image</t>
  </si>
  <si>
    <t xml:space="preserve"> Review by radiologist of head vein system image</t>
  </si>
  <si>
    <t xml:space="preserve"> Review by radiologist of spinal canal vein image</t>
  </si>
  <si>
    <t xml:space="preserve"> Review by radiologist of eye socket vein of eye socket image</t>
  </si>
  <si>
    <t xml:space="preserve"> Review by radiologist of the vein that transports blood to the liver image with assessment of blood flow</t>
  </si>
  <si>
    <t xml:space="preserve"> Review by radiologist of the vein that transports blood to the liver image</t>
  </si>
  <si>
    <t xml:space="preserve"> Review by radiologist of liver vein image with assessment of blood flow</t>
  </si>
  <si>
    <t xml:space="preserve"> Review by radiologist of liver vein image</t>
  </si>
  <si>
    <t xml:space="preserve"> Review by radiologist of imaging guidance for removal of blood sample</t>
  </si>
  <si>
    <t xml:space="preserve"> Review by radiologist of image for insertion of material to block blood flow</t>
  </si>
  <si>
    <t xml:space="preserve"> Imaging of blood vessel</t>
  </si>
  <si>
    <t xml:space="preserve"> Review by radiologist of image for removal of obstructive material</t>
  </si>
  <si>
    <t xml:space="preserve"> Review by radiologist of image for removal of tissue or obstructive material from central venous tube</t>
  </si>
  <si>
    <t xml:space="preserve"> Review by radiologist of image for biopsy of blood vessel with tube</t>
  </si>
  <si>
    <t xml:space="preserve"> Review by radiologist of image for replacement of stomach or large bowel tube</t>
  </si>
  <si>
    <t xml:space="preserve"> Review by radiologist of image for drainage of fluid</t>
  </si>
  <si>
    <t xml:space="preserve"> Imaging guidance for procedure, 60 minutes or less</t>
  </si>
  <si>
    <t xml:space="preserve"> X-ray from nose to rectum</t>
  </si>
  <si>
    <t xml:space="preserve"> Review by radiologist of abscess or sinus cavity study</t>
  </si>
  <si>
    <t xml:space="preserve"> X-ray of surgical specimen</t>
  </si>
  <si>
    <t xml:space="preserve"> X-ray of body plane</t>
  </si>
  <si>
    <t xml:space="preserve"> Imaging of organ</t>
  </si>
  <si>
    <t xml:space="preserve"> Imaging of organ, complimenting routine exam</t>
  </si>
  <si>
    <t xml:space="preserve"> Written consultation report on X-ray</t>
  </si>
  <si>
    <t xml:space="preserve"> Medical physics dose evaluation for radiation exposure, including report</t>
  </si>
  <si>
    <t xml:space="preserve"> 3D radiographic procedure</t>
  </si>
  <si>
    <t xml:space="preserve"> 3D radiographic procedure with computerized image postprocessing</t>
  </si>
  <si>
    <t xml:space="preserve"> Limited or follow-up CT scan</t>
  </si>
  <si>
    <t xml:space="preserve"> MRI study for measuring biochemical changes in the brain</t>
  </si>
  <si>
    <t xml:space="preserve"> Magnetic resonance (eg, vibration) elastography</t>
  </si>
  <si>
    <t xml:space="preserve"> Other fluoroscopic procedure</t>
  </si>
  <si>
    <t xml:space="preserve"> Other CT scan</t>
  </si>
  <si>
    <t xml:space="preserve"> Other MRI scan</t>
  </si>
  <si>
    <t xml:space="preserve"> Other diagnostic Imaging procedure</t>
  </si>
  <si>
    <t xml:space="preserve"> Ultrasound scan of brain</t>
  </si>
  <si>
    <t xml:space="preserve"> 1D and 2D ultrasound scan of eye tissue and structures</t>
  </si>
  <si>
    <t xml:space="preserve"> 1D ultrasound scan of eye tissue and structures</t>
  </si>
  <si>
    <t xml:space="preserve"> 2D ultrasound scan of eye tissue and structures</t>
  </si>
  <si>
    <t xml:space="preserve"> Ultrasound scan of eye using water bath method</t>
  </si>
  <si>
    <t xml:space="preserve"> Ultrasound scan of cornea to determine thickness</t>
  </si>
  <si>
    <t xml:space="preserve"> Ultrasound scan to determine eye length</t>
  </si>
  <si>
    <t xml:space="preserve"> Ultrasound scan to determine eye length and lens power</t>
  </si>
  <si>
    <t xml:space="preserve"> Ultrasound scan of eye for foreign body localization</t>
  </si>
  <si>
    <t xml:space="preserve"> Ultrasound scan of head and neck soft tissue</t>
  </si>
  <si>
    <t xml:space="preserve"> Ultrasound scan of chest</t>
  </si>
  <si>
    <t xml:space="preserve"> Complete ultrasound scan of 1 breast</t>
  </si>
  <si>
    <t xml:space="preserve"> Limited ultrasound scan of 1 breast</t>
  </si>
  <si>
    <t xml:space="preserve"> Complete ultrasound scan of abdomen</t>
  </si>
  <si>
    <t xml:space="preserve"> Limited ultrasound scan of abdomen</t>
  </si>
  <si>
    <t xml:space="preserve"> Ultrasound scan of abdominal aorta</t>
  </si>
  <si>
    <t xml:space="preserve"> Complete ultrasound scan behind abdominal cavity</t>
  </si>
  <si>
    <t xml:space="preserve"> Limited ultrasound scan behind abdominal cavity</t>
  </si>
  <si>
    <t xml:space="preserve"> Ultrasound scan of transplanted kidney</t>
  </si>
  <si>
    <t xml:space="preserve"> Ultrasound scan of spinal canal</t>
  </si>
  <si>
    <t xml:space="preserve"> Ultrasound scan of pregnant uterus (less than 14 weeks), single or first fetus</t>
  </si>
  <si>
    <t xml:space="preserve"> Ultrasound scan of pregnant uterus (less than 14 weeks), each additional fetus</t>
  </si>
  <si>
    <t xml:space="preserve"> Ultrasound scan of pregnant uterus (14 weeks or more), single or first fetus</t>
  </si>
  <si>
    <t xml:space="preserve"> Ultrasound scan of pregnant uterus (14 weeks or more), each additional fetus</t>
  </si>
  <si>
    <t xml:space="preserve"> Ultrasound scan of pregnant uterus with detailed fetal anatomic examination, single or first fetus</t>
  </si>
  <si>
    <t xml:space="preserve"> Ultrasound scan of pregnant uterus with detailed fetal anatomic examination, each additional fetus</t>
  </si>
  <si>
    <t xml:space="preserve"> Ultrasound scan of pregnant uterus (less than 14 weeks), with measurement of the clear space beneath skin at the back of fetal neck, single or first fetus</t>
  </si>
  <si>
    <t xml:space="preserve"> Ultrasound scan of pregnant uterus (less than 14 weeks), with measurement of the clear space beneath skin at the back of fetal neck, each additional fetus</t>
  </si>
  <si>
    <t xml:space="preserve"> Limited ultrasound of pregnant uterus</t>
  </si>
  <si>
    <t xml:space="preserve"> Follow-up ultrasound scan of pregnant uterus</t>
  </si>
  <si>
    <t xml:space="preserve"> Vaginal ultrasound of pregnant uterus</t>
  </si>
  <si>
    <t xml:space="preserve"> Ultrasound and monitoring of heart of fetus</t>
  </si>
  <si>
    <t xml:space="preserve"> Ultrasound scan of fetus</t>
  </si>
  <si>
    <t xml:space="preserve"> Ultrasound scan of fetal umbilical artery blood flow rate</t>
  </si>
  <si>
    <t xml:space="preserve"> Ultrasound scan of fetal brain artery blood flow rate</t>
  </si>
  <si>
    <t xml:space="preserve"> Ultrasound scan of fetal heart</t>
  </si>
  <si>
    <t xml:space="preserve"> Follow-up ultrasound scan of fetal heart</t>
  </si>
  <si>
    <t xml:space="preserve"> Ultrasound scan of fetal heart blood flow</t>
  </si>
  <si>
    <t xml:space="preserve"> Follow-up ultrasound scan of fetal heart blood flow</t>
  </si>
  <si>
    <t xml:space="preserve"> Ultrasound scan of uterus, ovaries, tubes, cervix and pelvic area through vagina</t>
  </si>
  <si>
    <t xml:space="preserve"> Ultrasound scan of uterus and uterine cavity</t>
  </si>
  <si>
    <t xml:space="preserve"> Complete ultrasound scan of pelvis</t>
  </si>
  <si>
    <t xml:space="preserve"> Limited ultrasound scan of pelvis</t>
  </si>
  <si>
    <t xml:space="preserve"> Ultrasound scan of scrotum</t>
  </si>
  <si>
    <t xml:space="preserve"> Ultrasound scan of pelvic region through rectum</t>
  </si>
  <si>
    <t xml:space="preserve"> Ultrasound scan of prostate through rectum</t>
  </si>
  <si>
    <t xml:space="preserve"> Complete ultrasound scan of joint</t>
  </si>
  <si>
    <t xml:space="preserve"> Limited ultrasound scan of joint or other extremity structure except blood vessels</t>
  </si>
  <si>
    <t xml:space="preserve"> Ultrasound scan of infant hip during movement</t>
  </si>
  <si>
    <t xml:space="preserve"> Ultrasound scan of infant hip</t>
  </si>
  <si>
    <t xml:space="preserve"> Ultrasonic guidance for biopsy of heart muscle</t>
  </si>
  <si>
    <t xml:space="preserve"> Ultrasound guided compression repair of blood vessel</t>
  </si>
  <si>
    <t xml:space="preserve"> Ultrasonic guidance for blood vessel access</t>
  </si>
  <si>
    <t xml:space="preserve"> Ultrasound guidance for tissue removal</t>
  </si>
  <si>
    <t xml:space="preserve"> Ultrasonic guidance for fetal transfusion or umbilical blood sampling</t>
  </si>
  <si>
    <t xml:space="preserve"> Ultrasonic guidance for needle placement</t>
  </si>
  <si>
    <t xml:space="preserve"> Ultrasonic guidance for testing placental tissue</t>
  </si>
  <si>
    <t xml:space="preserve"> Ultrasonic guidance for removal of amniotic fluid</t>
  </si>
  <si>
    <t xml:space="preserve"> Ultrasonic guidance for retrieval of egg</t>
  </si>
  <si>
    <t xml:space="preserve"> Ultrasonic guidance for administration of radiation therapy</t>
  </si>
  <si>
    <t xml:space="preserve"> Review by radiologist of ultrasound of digestive tract using an endoscope</t>
  </si>
  <si>
    <t xml:space="preserve"> Ultrasound scan of bone for measuring loss</t>
  </si>
  <si>
    <t xml:space="preserve"> Ultrasound scan of growth using contrast, first growth</t>
  </si>
  <si>
    <t xml:space="preserve"> Ultrasound scan of growth using contrast, each additional growth</t>
  </si>
  <si>
    <t xml:space="preserve"> Ultrasound scan of organ tissue for measuring elasticity</t>
  </si>
  <si>
    <t xml:space="preserve"> Ultrasound scan of growth for measuring elasticity, first growth</t>
  </si>
  <si>
    <t xml:space="preserve"> Ultrasound scan of growth for measuring elasticity, each additional growth</t>
  </si>
  <si>
    <t xml:space="preserve"> Ultrasonic guidance during surgery</t>
  </si>
  <si>
    <t xml:space="preserve"> Other ultrasound procedure</t>
  </si>
  <si>
    <t xml:space="preserve"> Fluoroscopic guidance for insertion or removal of central vein access device</t>
  </si>
  <si>
    <t xml:space="preserve"> Fluoroscopic guidance for needle placement</t>
  </si>
  <si>
    <t xml:space="preserve"> Fluoroscopic guidance for spine or back muscle injection</t>
  </si>
  <si>
    <t xml:space="preserve"> CT guidance for needle or tube localization</t>
  </si>
  <si>
    <t xml:space="preserve"> Review by radiologist of CT guidance for needle placement</t>
  </si>
  <si>
    <t xml:space="preserve"> CT guidance for tissue removal</t>
  </si>
  <si>
    <t xml:space="preserve"> CT guidance for insertion of radiation therapy fields</t>
  </si>
  <si>
    <t xml:space="preserve"> Review by radiologist of MRI guidance for needle placement</t>
  </si>
  <si>
    <t xml:space="preserve"> MRI guidance for tissue removal</t>
  </si>
  <si>
    <t xml:space="preserve"> MRI scan of 1 breast without contrast</t>
  </si>
  <si>
    <t xml:space="preserve"> MRI scan of both breasts without contrast</t>
  </si>
  <si>
    <t xml:space="preserve"> MRI scan of 1 breast</t>
  </si>
  <si>
    <t xml:space="preserve"> MRI scan of both breasts</t>
  </si>
  <si>
    <t xml:space="preserve"> Review by radiologist of breast duct image, 1 duct</t>
  </si>
  <si>
    <t xml:space="preserve"> Review by radiologist of breast duct image, multiple ducts</t>
  </si>
  <si>
    <t xml:space="preserve"> Diagnostic mammography of 1 breast</t>
  </si>
  <si>
    <t xml:space="preserve"> Diagnostic mammography of both breasts</t>
  </si>
  <si>
    <t xml:space="preserve"> Screening mammography</t>
  </si>
  <si>
    <t xml:space="preserve"> Application of stress by physician for joint imaging</t>
  </si>
  <si>
    <t xml:space="preserve"> X-ray for estimating bone age</t>
  </si>
  <si>
    <t xml:space="preserve"> X-ray for bone length assessment</t>
  </si>
  <si>
    <t xml:space="preserve"> Limited X-ray of body bones</t>
  </si>
  <si>
    <t xml:space="preserve"> Complete X-ray of body bones</t>
  </si>
  <si>
    <t xml:space="preserve"> X-ray of infant body bones</t>
  </si>
  <si>
    <t xml:space="preserve"> X-ray of joints, multiple</t>
  </si>
  <si>
    <t xml:space="preserve"> CT scan for measuring calcium and other minerals in bone</t>
  </si>
  <si>
    <t xml:space="preserve"> DXA bone density measurement of hip, pelvis, spine</t>
  </si>
  <si>
    <t xml:space="preserve"> DXA bone density measurement of forearm, finger, hand, or foot</t>
  </si>
  <si>
    <t xml:space="preserve"> MRI scan of bone marrow</t>
  </si>
  <si>
    <t xml:space="preserve"> DXA bone density measurement of hip, pelvis, spine including spine fracture assessment</t>
  </si>
  <si>
    <t xml:space="preserve"> Fracture assessment of spine bones using DXA</t>
  </si>
  <si>
    <t xml:space="preserve"> Simple radiation therapy planning</t>
  </si>
  <si>
    <t xml:space="preserve"> Intermediate radiation therapy planning</t>
  </si>
  <si>
    <t xml:space="preserve"> Complex radiation therapy planning</t>
  </si>
  <si>
    <t xml:space="preserve"> Obtaining data needed to develop the optimal radiation treatment, 1 treatment area</t>
  </si>
  <si>
    <t xml:space="preserve"> Obtaining data needed to develop the optimal radiation treatment, 2 treatment areas</t>
  </si>
  <si>
    <t xml:space="preserve"> Obtaining data needed to develop the optimal radiation treatment, 3 or more treatment areas or any number of treatment areas where special treatment is involved</t>
  </si>
  <si>
    <t xml:space="preserve"> Obtaining respiratory data needed to develop the optimal radiation treatment</t>
  </si>
  <si>
    <t xml:space="preserve"> 3D radiation therapy planning</t>
  </si>
  <si>
    <t xml:space="preserve"> Other management of radiation therapy or therapeutic radiology</t>
  </si>
  <si>
    <t xml:space="preserve"> Calculation of radiation therapy dose</t>
  </si>
  <si>
    <t xml:space="preserve"> High precision radiation therapy planning</t>
  </si>
  <si>
    <t xml:space="preserve"> Simple radiation therapy planning for delivery of external radiation</t>
  </si>
  <si>
    <t xml:space="preserve"> Complex radiation therapy planning for delivery of external radiation</t>
  </si>
  <si>
    <t xml:space="preserve"> Simple radiation therapy planning for delivery of internal radiation</t>
  </si>
  <si>
    <t xml:space="preserve"> Intermediate radiation therapy planning for delivery of internal radiation</t>
  </si>
  <si>
    <t xml:space="preserve"> Complex radiation therapy planning for delivery of internal radiation</t>
  </si>
  <si>
    <t xml:space="preserve"> Special radiation therapy planning for delivery of external radiation</t>
  </si>
  <si>
    <t xml:space="preserve"> Special radiation therapy planning</t>
  </si>
  <si>
    <t xml:space="preserve"> Design and construction of simple radiation treatment device</t>
  </si>
  <si>
    <t xml:space="preserve"> Design and construction of intermediate radiation treatment device</t>
  </si>
  <si>
    <t xml:space="preserve"> Design and construction of complex radiation treatment device</t>
  </si>
  <si>
    <t xml:space="preserve"> Continuing radiation therapy consultation per week</t>
  </si>
  <si>
    <t xml:space="preserve"> Design and construction of radiation treatment device for high precision radiation therapy</t>
  </si>
  <si>
    <t xml:space="preserve"> Special medical radiation therapy consultation</t>
  </si>
  <si>
    <t xml:space="preserve"> Delivery of simple high precision radiation treatment</t>
  </si>
  <si>
    <t xml:space="preserve"> Delivery of complex high precision radiation treatment</t>
  </si>
  <si>
    <t xml:space="preserve"> Imaging guidance for localization of radiation treatment</t>
  </si>
  <si>
    <t xml:space="preserve"> Other management of radiation therapy and medical radiation physics</t>
  </si>
  <si>
    <t xml:space="preserve"> Superficial and/or low voltage radiation treatment delivery</t>
  </si>
  <si>
    <t xml:space="preserve"> Delivery of simple radiation treatment</t>
  </si>
  <si>
    <t xml:space="preserve"> Delivery of intermediate radiation treatment</t>
  </si>
  <si>
    <t xml:space="preserve"> Delivery of complex radiation treatment</t>
  </si>
  <si>
    <t xml:space="preserve"> X-ray during radiation therapy</t>
  </si>
  <si>
    <t xml:space="preserve"> Delivery of specialized external radiation treatment</t>
  </si>
  <si>
    <t xml:space="preserve"> Delivery of single session of intraoperative radiation treatment with X-ray</t>
  </si>
  <si>
    <t xml:space="preserve"> Delivery of single session of intraoperative radiation treatment with electron beam</t>
  </si>
  <si>
    <t xml:space="preserve"> Radiation treatment management, 5 treatment sessions</t>
  </si>
  <si>
    <t xml:space="preserve"> Radiation treatment management, 1-2 treatment sessions</t>
  </si>
  <si>
    <t xml:space="preserve"> Management of complete single session course of cranial lesion surgery using radiation</t>
  </si>
  <si>
    <t xml:space="preserve"> Management of cranial lesion surgery using radiation over multiple sessions</t>
  </si>
  <si>
    <t xml:space="preserve"> Special radiation treatment</t>
  </si>
  <si>
    <t xml:space="preserve"> Other management of radiation therapy</t>
  </si>
  <si>
    <t xml:space="preserve"> Simple proton beam radiation treatment</t>
  </si>
  <si>
    <t xml:space="preserve"> Simple proton beam radiation treatment with compensation</t>
  </si>
  <si>
    <t xml:space="preserve"> Intermediate proton beam radiation treatment</t>
  </si>
  <si>
    <t xml:space="preserve"> Complex proton beam radiation treatment</t>
  </si>
  <si>
    <t xml:space="preserve"> Use of externally generated heat to increase temperature of cancer cell, heating to depths 4.0 cm or less</t>
  </si>
  <si>
    <t xml:space="preserve"> Use of externally generated heat to increase temperature of cancer cell, heating to depths more than 4.0 cm</t>
  </si>
  <si>
    <t xml:space="preserve"> Use of interstitial probe generated heat to increase temperature of cancer cell, 1-5 probes</t>
  </si>
  <si>
    <t xml:space="preserve"> Use of interstitial probe generated heat to increase temperature of cancer cell, more than 5 probes</t>
  </si>
  <si>
    <t xml:space="preserve"> Use of body cavity probe generated heat to increase temperature of cancer cell</t>
  </si>
  <si>
    <t xml:space="preserve"> Infusion or instillation of radioelement solution</t>
  </si>
  <si>
    <t xml:space="preserve"> Simple body cavity radiation source application</t>
  </si>
  <si>
    <t xml:space="preserve"> Intermediate body cavity radiation source application</t>
  </si>
  <si>
    <t xml:space="preserve"> Complex body cavity radiation source application</t>
  </si>
  <si>
    <t xml:space="preserve"> High dose skin surface radiation therapy, 1 channel or lesion diameter 2.0 cm or less</t>
  </si>
  <si>
    <t xml:space="preserve"> High dose skin surface radiation therapy, 2 channels and lesion diameter more than 2.0 cm, or multiple lesions</t>
  </si>
  <si>
    <t xml:space="preserve"> High dose radiation therapy, 1 channel</t>
  </si>
  <si>
    <t xml:space="preserve"> High dose radiation therapy, 2-12 channels</t>
  </si>
  <si>
    <t xml:space="preserve"> High dose radiation therapy, more than 12 channels</t>
  </si>
  <si>
    <t xml:space="preserve"> Complex application of radiation source</t>
  </si>
  <si>
    <t xml:space="preserve"> Surface application of low dose rate source</t>
  </si>
  <si>
    <t xml:space="preserve"> Supervision, handling, and loading of radiation source</t>
  </si>
  <si>
    <t xml:space="preserve"> Other administration of radiation therapy</t>
  </si>
  <si>
    <t xml:space="preserve"> Nuclear medicine study of thyroid function</t>
  </si>
  <si>
    <t xml:space="preserve"> Nuclear medicine study of thyroid</t>
  </si>
  <si>
    <t xml:space="preserve"> Nuclear medicine study of thyroid and thyroid function</t>
  </si>
  <si>
    <t xml:space="preserve"> Nuclear medicine study of limited area for thyroid cancer</t>
  </si>
  <si>
    <t xml:space="preserve"> Nuclear medicine studies for thyroid cancer, additional studies</t>
  </si>
  <si>
    <t xml:space="preserve"> Nuclear medicine study of whole body for thyroid cancer</t>
  </si>
  <si>
    <t xml:space="preserve"> Nuclear medicine study of thyroid function for thyroid cancer</t>
  </si>
  <si>
    <t xml:space="preserve"> Nuclear medicine study of parathyroid</t>
  </si>
  <si>
    <t xml:space="preserve"> Nuclear medicine study of parathyroid with SPECT</t>
  </si>
  <si>
    <t xml:space="preserve"> Nuclear medicine study of parathyroid with SPECT and CT scan</t>
  </si>
  <si>
    <t xml:space="preserve"> Nuclear medicine study of adrenal glands</t>
  </si>
  <si>
    <t xml:space="preserve"> Nuclear medicine study of endocrine organs</t>
  </si>
  <si>
    <t xml:space="preserve"> Nuclear medicine study of bone marrow limited area</t>
  </si>
  <si>
    <t xml:space="preserve"> Nuclear medicine study of bone marrow multiple areas</t>
  </si>
  <si>
    <t xml:space="preserve"> Nuclear medicine study of bone marrow whole body</t>
  </si>
  <si>
    <t xml:space="preserve"> Nuclear medicine study of plasma volume, 1 sampling</t>
  </si>
  <si>
    <t xml:space="preserve"> Nuclear medicine study of plasma volume, multiple samplings</t>
  </si>
  <si>
    <t xml:space="preserve"> Nuclear medicine study of red blood cell volume, single sample</t>
  </si>
  <si>
    <t xml:space="preserve"> Nuclear medicine study of red blood cell volume, multiple samples</t>
  </si>
  <si>
    <t xml:space="preserve"> Nuclear medicine study of whole blood volume</t>
  </si>
  <si>
    <t xml:space="preserve"> Nuclear medicine study of red blood cell survival</t>
  </si>
  <si>
    <t xml:space="preserve"> Nuclear medicine study of radioisotope labeled red blood cells</t>
  </si>
  <si>
    <t xml:space="preserve"> Nuclear medicine study of spleen</t>
  </si>
  <si>
    <t xml:space="preserve"> Nuclear medicine study of platelet survival</t>
  </si>
  <si>
    <t xml:space="preserve"> Nuclear medicine study of lymphatic system</t>
  </si>
  <si>
    <t xml:space="preserve"> Nuclear medicine study of blood and lymphatic systems</t>
  </si>
  <si>
    <t xml:space="preserve"> Nuclear medicine study of liver</t>
  </si>
  <si>
    <t xml:space="preserve"> Nuclear medicine study of liver and blood flow</t>
  </si>
  <si>
    <t xml:space="preserve"> Nuclear medicine study of liver and spleen</t>
  </si>
  <si>
    <t xml:space="preserve"> Nuclear medicine study of liver, spleen, and blood flow</t>
  </si>
  <si>
    <t xml:space="preserve"> Nuclear medicine study of liver and bile duct system</t>
  </si>
  <si>
    <t xml:space="preserve"> Nuclear medicine study of liver and bile duct system with use of drugs</t>
  </si>
  <si>
    <t xml:space="preserve"> Nuclear medicine study of salivary gland</t>
  </si>
  <si>
    <t xml:space="preserve"> Nuclear medicine study of salivary gland with serial images</t>
  </si>
  <si>
    <t xml:space="preserve"> Nuclear medicine study of salivary gland function</t>
  </si>
  <si>
    <t xml:space="preserve"> Nuclear medicine study of esophagus to assess movement</t>
  </si>
  <si>
    <t xml:space="preserve"> Nuclear medicine study of stomach lining</t>
  </si>
  <si>
    <t xml:space="preserve"> Nuclear medicine study of stomach and esophagus to assess reflux</t>
  </si>
  <si>
    <t xml:space="preserve"> Nuclear medicine study of stomach to assess emptying</t>
  </si>
  <si>
    <t xml:space="preserve"> Nuclear medicine study of stomach to assess emptying and small bowel movement</t>
  </si>
  <si>
    <t xml:space="preserve"> Nuclear medicine study of stomach to assess emptying and small and large bowel movement</t>
  </si>
  <si>
    <t xml:space="preserve"> Nuclear medicine study to acquire exhaled breath samples</t>
  </si>
  <si>
    <t xml:space="preserve"> Nuclear medicine study to assess exhaled breath samples</t>
  </si>
  <si>
    <t xml:space="preserve"> Nuclear medicine study to assess blood loss</t>
  </si>
  <si>
    <t xml:space="preserve"> Nuclear medicine study to assess protein loss into the digestive tract</t>
  </si>
  <si>
    <t xml:space="preserve"> Nuclear medicine study of intestine</t>
  </si>
  <si>
    <t xml:space="preserve"> Nuclear medicine study to assess the degree of openness of shunt from jugular vein to abdominal cavity</t>
  </si>
  <si>
    <t xml:space="preserve"> Nuclear medicine study of digestive tracts</t>
  </si>
  <si>
    <t xml:space="preserve"> Nuclear medicine study of bone and/or joint limited area</t>
  </si>
  <si>
    <t xml:space="preserve"> Nuclear medicine study of bone and/or joint multiple areas</t>
  </si>
  <si>
    <t xml:space="preserve"> Nuclear medicine study of bone and/or joint whole body</t>
  </si>
  <si>
    <t xml:space="preserve"> Nuclear medicine study of bone taken at different times</t>
  </si>
  <si>
    <t xml:space="preserve"> Nuclear medicine study to measure bone loss using 1 photon beam</t>
  </si>
  <si>
    <t xml:space="preserve"> Nuclear medicine study to measure bone loss using 2 photon beams</t>
  </si>
  <si>
    <t xml:space="preserve"> Other nuclear medicine study of musculoskeletal system</t>
  </si>
  <si>
    <t xml:space="preserve"> Nuclear medicine study of cardiovascular function</t>
  </si>
  <si>
    <t xml:space="preserve"> Nuclear medicine study for detecting heart shunt</t>
  </si>
  <si>
    <t xml:space="preserve"> Nuclear medicine study of heart muscle with metabolic evaluation and concurrent CT scan</t>
  </si>
  <si>
    <t xml:space="preserve"> Nuclear medicine study of blood flow in heart muscle at rest and with stress with concurrent CT scan</t>
  </si>
  <si>
    <t xml:space="preserve"> Nuclear medicine studies of blood flow in heart muscle at rest and with stress with concurrent CT scan</t>
  </si>
  <si>
    <t xml:space="preserve"> Nuclear medicine study of heart muscle with metabolic and blood flow evaluation requiring 2 injections</t>
  </si>
  <si>
    <t xml:space="preserve"> Nuclear medicine study of heart muscle with metabolic and blood flow evaluation requiring 2 injections and concurrent CT scan</t>
  </si>
  <si>
    <t xml:space="preserve"> Nuclear medicine study of heart muscle blood flow by PET</t>
  </si>
  <si>
    <t xml:space="preserve"> Nuclear medicine study of non-cardiac blood flow</t>
  </si>
  <si>
    <t xml:space="preserve"> Nuclear medicine study of heart muscle at rest and with stress and SPECT</t>
  </si>
  <si>
    <t xml:space="preserve"> Nuclear medicine studies of heart muscle at rest and with stress and SPECT</t>
  </si>
  <si>
    <t xml:space="preserve"> Nuclear medicine study of heart muscle at rest and with stress with single 2D image</t>
  </si>
  <si>
    <t xml:space="preserve"> Nuclear medicine studies of heart muscle at rest and with stress with single 2D image</t>
  </si>
  <si>
    <t xml:space="preserve"> Nuclear medicine study to assess blood clot in vein using radiolabeled peptide</t>
  </si>
  <si>
    <t xml:space="preserve"> Nuclear medicine study to assess blood clot in vein of side</t>
  </si>
  <si>
    <t xml:space="preserve"> Nuclear medicine study to assess blood clot in vein of both sides</t>
  </si>
  <si>
    <t xml:space="preserve"> Nuclear medicine study of heart muscle with metabolic evaluation</t>
  </si>
  <si>
    <t xml:space="preserve"> Nuclear medicine study of heart muscle following heart attack</t>
  </si>
  <si>
    <t xml:space="preserve"> Nuclear medicine study of heart muscle following heart attack with measurement of internal blood volume ejected with every beat</t>
  </si>
  <si>
    <t xml:space="preserve"> Nuclear medicine study of heart muscle following heart attack with SPECT</t>
  </si>
  <si>
    <t xml:space="preserve"> Nuclear medicine study of heart pumping function by labeling red blood cells with measurement of internal blood volume ejected with every beat over multiple cycles</t>
  </si>
  <si>
    <t xml:space="preserve"> Nuclear medicine studies of heart pumping function by labeling red blood cells with measurement of internal blood volume ejected with every beat over multiple cycles</t>
  </si>
  <si>
    <t xml:space="preserve"> Nuclear medicine study of heart pumping function with measurement of internal blood volume ejected with every beat over a single cycle</t>
  </si>
  <si>
    <t xml:space="preserve"> Nuclear medicine studies of heart pumping function by first pass technique with measurement of internal blood volume ejected with every beat over a single cycle</t>
  </si>
  <si>
    <t xml:space="preserve"> Nuclear medicine study of blood flow in heart muscle at rest and with stress</t>
  </si>
  <si>
    <t xml:space="preserve"> Nuclear medicine studies of blood flow in heart muscle at rest and with stress</t>
  </si>
  <si>
    <t xml:space="preserve"> Nuclear medicine study of heart pumping function by labeling red blood cells with measurement of internal blood volume ejected with every beat over multiple cycles with SPECT</t>
  </si>
  <si>
    <t xml:space="preserve"> Nuclear medicine study of heart pumping function over single cycle</t>
  </si>
  <si>
    <t xml:space="preserve"> Other nuclear medicine study of cardiovascular system</t>
  </si>
  <si>
    <t xml:space="preserve"> Nuclear medicine study of lung ventilation</t>
  </si>
  <si>
    <t xml:space="preserve"> Nuclear medicine study of lung circulation</t>
  </si>
  <si>
    <t xml:space="preserve"> Nuclear medicine study of lung ventilation and circulation</t>
  </si>
  <si>
    <t xml:space="preserve"> Nuclear medicine study of lung ventilation and blood flow to lung</t>
  </si>
  <si>
    <t xml:space="preserve"> Nuclear medicine study of lung ventilation and circulation and blood flow to lung</t>
  </si>
  <si>
    <t xml:space="preserve"> Other nuclear medicine study of respiratory system</t>
  </si>
  <si>
    <t xml:space="preserve"> Nuclear medicine study of brain, less than 4 static views</t>
  </si>
  <si>
    <t xml:space="preserve"> Nuclear medicine study of brain and blood flow</t>
  </si>
  <si>
    <t xml:space="preserve"> Nuclear medicine study of brain, 4 static views or more</t>
  </si>
  <si>
    <t xml:space="preserve"> Nuclear medicine study of brain and blood flow, 4 static views or more</t>
  </si>
  <si>
    <t xml:space="preserve"> Nuclear medicine study of brain with metabolic evaluation</t>
  </si>
  <si>
    <t xml:space="preserve"> Nuclear medicine study of brain with blood flow evaluation</t>
  </si>
  <si>
    <t xml:space="preserve"> Nuclear medicine study of brain with blood flow</t>
  </si>
  <si>
    <t xml:space="preserve"> Nuclear medicine study of cerebrospinal fluid flow after injection of contrast into lower spine</t>
  </si>
  <si>
    <t xml:space="preserve"> Nuclear medicine study of cerebrospinal fluid flow after injection of contrast into ventricles</t>
  </si>
  <si>
    <t xml:space="preserve"> Nuclear medicine study of cerebrospinal fluid flow to evaluate shunt</t>
  </si>
  <si>
    <t xml:space="preserve"> Nuclear medicine study of cerebrospinal fluid flow to locate leakage</t>
  </si>
  <si>
    <t xml:space="preserve"> Nuclear medicine study of tear drainage structure</t>
  </si>
  <si>
    <t xml:space="preserve"> Other nuclear medicine study of nervous system</t>
  </si>
  <si>
    <t xml:space="preserve"> Nuclear medicine study of kidney</t>
  </si>
  <si>
    <t xml:space="preserve"> Nuclear medicine study of kidney and blood flow</t>
  </si>
  <si>
    <t xml:space="preserve"> Nuclear medicine study of kidney, blood flow, and function</t>
  </si>
  <si>
    <t xml:space="preserve"> Nuclear medicine study of kidney, blood, flow, and function with drug administration</t>
  </si>
  <si>
    <t xml:space="preserve"> Nuclear medicine studies of kidney, blood flow, and function</t>
  </si>
  <si>
    <t xml:space="preserve"> Nuclear medicine study of kidney function</t>
  </si>
  <si>
    <t xml:space="preserve"> Nuclear medicine study of remaining urine in bladder</t>
  </si>
  <si>
    <t xml:space="preserve"> Nuclear medicine study to assess urine flow</t>
  </si>
  <si>
    <t xml:space="preserve"> Nuclear medicine study of testicle and blood flow</t>
  </si>
  <si>
    <t xml:space="preserve"> Other nuclear medicine study of urogenital system</t>
  </si>
  <si>
    <t xml:space="preserve"> Nuclear medicine study, 1 area</t>
  </si>
  <si>
    <t xml:space="preserve"> Nuclear medicine study, multiple areas</t>
  </si>
  <si>
    <t xml:space="preserve"> Nuclear medicine study, whole body</t>
  </si>
  <si>
    <t xml:space="preserve"> Nuclear medicine study, SPECT imaging, 1 area or single acquisition, single day imaging</t>
  </si>
  <si>
    <t xml:space="preserve"> Nuclear medicine study, whole body requiring multiple imaging days</t>
  </si>
  <si>
    <t xml:space="preserve"> Injection of radioactive contrast into a vein for non-imaging gamma probe</t>
  </si>
  <si>
    <t xml:space="preserve"> Nuclear medicine study limited area</t>
  </si>
  <si>
    <t xml:space="preserve"> Nuclear medicine study from skull base to mid-thigh</t>
  </si>
  <si>
    <t xml:space="preserve"> Nuclear medicine study whole body</t>
  </si>
  <si>
    <t xml:space="preserve"> Nuclear medicine study limited area with CT scan</t>
  </si>
  <si>
    <t xml:space="preserve"> Nuclear medicine study from skull base to mid-thigh with CT scan</t>
  </si>
  <si>
    <t xml:space="preserve"> Nuclear medicine study whole body with CT scan</t>
  </si>
  <si>
    <t xml:space="preserve"> Nuclear medicine study, SPECT imaging with concurrent CT scan, 1 area or single acquisition, single day imaging</t>
  </si>
  <si>
    <t xml:space="preserve"> Nuclear medicine study, SPECT imaging, at least 2 areas or separate acquisitions, single day imaging, or single area or acquisition over multiple days</t>
  </si>
  <si>
    <t xml:space="preserve"> Nuclear medicine study, SPECT imaging with concurrent CT scan, at least 2 areas or separate acquisitions, single day imaging, or single area or acquisition over multiple days</t>
  </si>
  <si>
    <t xml:space="preserve"> Quantification of radioactive materials</t>
  </si>
  <si>
    <t xml:space="preserve"> Other nuclear medicine study</t>
  </si>
  <si>
    <t xml:space="preserve"> Radioactive drug therapy by mouth</t>
  </si>
  <si>
    <t xml:space="preserve"> Radioactive drug therapy through a vein</t>
  </si>
  <si>
    <t xml:space="preserve"> Radioactive drug therapy into a body cavity</t>
  </si>
  <si>
    <t xml:space="preserve"> Radioactive drug therapy into a tissue</t>
  </si>
  <si>
    <t xml:space="preserve"> Radioactive drug therapy of radiolabeled monoclonal antibody through a vein</t>
  </si>
  <si>
    <t xml:space="preserve"> Radioactive drug therapy into a joint</t>
  </si>
  <si>
    <t xml:space="preserve"> Radioactive drug therapy through a tube inserted in an artery</t>
  </si>
  <si>
    <t xml:space="preserve"> Radioactive drug therapy</t>
  </si>
  <si>
    <t xml:space="preserve"> Human immune globulin for infusions</t>
  </si>
  <si>
    <t xml:space="preserve"> Hepatitis B immune globulin for injection into muscle</t>
  </si>
  <si>
    <t xml:space="preserve"> Rabies immune globulin for injection</t>
  </si>
  <si>
    <t xml:space="preserve"> Rabies immune globulin for injection beneath the skin and/or into muscle, heat-treated</t>
  </si>
  <si>
    <t xml:space="preserve"> Rabies immune globulin for injection beneath the skin and/or into muscle</t>
  </si>
  <si>
    <t xml:space="preserve"> Respiratory syncytial virus antibody for injection into tissue or muscle</t>
  </si>
  <si>
    <t xml:space="preserve"> Rho(D) immune globulin (full dose) for injection into muscle</t>
  </si>
  <si>
    <t xml:space="preserve"> Rho(D) immune globulin (mini dose) for injection into muscle</t>
  </si>
  <si>
    <t xml:space="preserve"> Rho(D) immune globulin for infusion into vein</t>
  </si>
  <si>
    <t xml:space="preserve"> Vaccinia immune globulin for injection into muscle</t>
  </si>
  <si>
    <t xml:space="preserve"> Varicella (chicken pox) zoster immune globulin for injection into muscle</t>
  </si>
  <si>
    <t xml:space="preserve"> Adenovirus type 4 vaccine</t>
  </si>
  <si>
    <t xml:space="preserve"> Immunization administration by intramuscular injection of severe acute respiratory syndrome coronavirus 2 (sarscov-2) (coronavirus disease [covid-19]) vaccine, single dose</t>
  </si>
  <si>
    <t xml:space="preserve"> Anthrax vaccine</t>
  </si>
  <si>
    <t xml:space="preserve"> Smallpox and monkeypox vaccine, attenuated vaccinia virus, live, non-replicating, preservative free, 0.5 mL dosage, suspension, for subcutaneous use</t>
  </si>
  <si>
    <t xml:space="preserve"> Vaccinia (smallpox) virus vaccine, live, lyophilized, 0.3 mL dosage, for percutaneous use</t>
  </si>
  <si>
    <t xml:space="preserve"> Influenza vaccine, quadrivalent</t>
  </si>
  <si>
    <t xml:space="preserve"> Hepatitis A vaccine adult dosage</t>
  </si>
  <si>
    <t xml:space="preserve"> Hepatitis A vaccine pediatric or adolescent dosage</t>
  </si>
  <si>
    <t xml:space="preserve"> Hepatitis A vaccine pediatric or adolescent dosage (3 dose schedule)</t>
  </si>
  <si>
    <t xml:space="preserve"> Hepatitis A and hepatitis B vaccine</t>
  </si>
  <si>
    <t xml:space="preserve"> Haemophilus influenzae type b vaccine, PRP-OMP conjugate</t>
  </si>
  <si>
    <t xml:space="preserve"> Haemophilus influenzae type b vaccine, PRP-T conjugate</t>
  </si>
  <si>
    <t xml:space="preserve"> Influenza vaccine, inactivated</t>
  </si>
  <si>
    <t xml:space="preserve"> Influenza vaccine, trivalent, split virus, preservative-free</t>
  </si>
  <si>
    <t xml:space="preserve"> Influenza vaccine, trivalent, split virus, preservative-free, 0.25 mL dosage</t>
  </si>
  <si>
    <t xml:space="preserve"> Influenza vaccine, trivalent, split virus, preservative-free, 0.5 mL dosage</t>
  </si>
  <si>
    <t xml:space="preserve"> Influenza vaccine, trivalent, 0.25 mL dosage</t>
  </si>
  <si>
    <t xml:space="preserve"> Influenza vaccine, trivalent, 0.5 mL dosage</t>
  </si>
  <si>
    <t xml:space="preserve"> Influenza vaccine, trivalent for nasal administration</t>
  </si>
  <si>
    <t xml:space="preserve"> Influenza vaccine, trivalent derived from cell cultures</t>
  </si>
  <si>
    <t xml:space="preserve"> Influenza vaccine split virus, preservative free</t>
  </si>
  <si>
    <t xml:space="preserve"> Pneumococcal vaccine, 13-valent</t>
  </si>
  <si>
    <t xml:space="preserve"> Influenza vaccine, quadrivalent for nasal administration</t>
  </si>
  <si>
    <t xml:space="preserve"> Influenza vaccine, trivalent derived from recombinant DNA</t>
  </si>
  <si>
    <t xml:space="preserve"> Influenza vaccine, quadrivalent derived from cell cultures, preservative and antibiotic free</t>
  </si>
  <si>
    <t xml:space="preserve"> Rabies vaccine for injection into muscle</t>
  </si>
  <si>
    <t xml:space="preserve"> Rabies vaccine for injection into skin</t>
  </si>
  <si>
    <t xml:space="preserve"> Rotavirus vaccine, pentavalent</t>
  </si>
  <si>
    <t xml:space="preserve"> Influenza vaccine, quadrivalent derived from recombinant DNA</t>
  </si>
  <si>
    <t xml:space="preserve"> Influenza vaccine, quadrivalent, preservative free, 0.25 mL dosage</t>
  </si>
  <si>
    <t xml:space="preserve"> Influenza vaccine, quadrivalent, preservative free, 0.5 mL dosage</t>
  </si>
  <si>
    <t xml:space="preserve"> Influenza vaccine, quadrivalent, 0.25 mL dosage</t>
  </si>
  <si>
    <t xml:space="preserve"> Influenza vaccine, quadrivalent, 0.5 mL dosage</t>
  </si>
  <si>
    <t xml:space="preserve"> Influenza vaccine, quadrivalent inactivated, 0.25 ml dosage</t>
  </si>
  <si>
    <t xml:space="preserve"> Typhoid vaccine</t>
  </si>
  <si>
    <t xml:space="preserve"> Typhoid vaccine for injection into muscle</t>
  </si>
  <si>
    <t xml:space="preserve"> Influenza vaccine, quadrivalent inactivated, 0.5 ml dosage</t>
  </si>
  <si>
    <t xml:space="preserve"> Diphtheria, tetanus, acellular pertussis, and polio vaccine</t>
  </si>
  <si>
    <t xml:space="preserve"> Diphtheria, tetanus, acellular pertussis, polio, and Haemophilus influenzae type b vaccine</t>
  </si>
  <si>
    <t xml:space="preserve"> Diphtheria, tetanus, and acellular pertussis vaccine (7 years or older)</t>
  </si>
  <si>
    <t xml:space="preserve"> Yellow fever vaccine</t>
  </si>
  <si>
    <t xml:space="preserve"> Pneumococcal vaccine, 23-valent</t>
  </si>
  <si>
    <t xml:space="preserve"> Hepatitis B vaccine (HepB), CpG-adjuvanted, adult dosage, 2 dose or 4 dose schedule, for intramuscular use</t>
  </si>
  <si>
    <t xml:space="preserve"> Hepatitis B vaccine, dialysis or immunosuppressed patient dosage</t>
  </si>
  <si>
    <t xml:space="preserve"> Hepatitis B vaccine, adolescent dosage</t>
  </si>
  <si>
    <t xml:space="preserve"> Hepatitis B vaccine, pediatric or adolescent dosage (3 dose schedule)</t>
  </si>
  <si>
    <t xml:space="preserve"> Hepatitis B vaccine, adult dosage (3 dose schedule)</t>
  </si>
  <si>
    <t xml:space="preserve"> Hepatitis B vaccine, dialysis or immunosuppressed patient dosage (4 dose schedule)</t>
  </si>
  <si>
    <t xml:space="preserve"> Other vaccine or toxoid injection or infusion procedure</t>
  </si>
  <si>
    <t xml:space="preserve"> Influenza vaccine, quadrivalent derived from cell cultures</t>
  </si>
  <si>
    <t xml:space="preserve"> Vaccine for Hepatitis B (3 dose schedule) for injection into muscle, 10 mcg dosage</t>
  </si>
  <si>
    <t xml:space="preserve"> Therapy using electrical currents</t>
  </si>
  <si>
    <t xml:space="preserve"> Psychophysiological therapy incorporating biofeedback training with psychotherapy, 30 minutes</t>
  </si>
  <si>
    <t xml:space="preserve"> Psychophysiological therapy incorporating biofeedback training with psychotherapy, 45 minutes</t>
  </si>
  <si>
    <t xml:space="preserve"> Other inpatient or outpatient dialysis procedure</t>
  </si>
  <si>
    <t xml:space="preserve"> Study of esophagus to assess movement</t>
  </si>
  <si>
    <t xml:space="preserve"> Study of stomach to assess movement</t>
  </si>
  <si>
    <t xml:space="preserve"> Study of upper small bowel to assess movement</t>
  </si>
  <si>
    <t xml:space="preserve"> Test for esophageal reflux disease</t>
  </si>
  <si>
    <t xml:space="preserve"> Monitoring and recording of esophageal function through a capsule attached to the esophagus wall</t>
  </si>
  <si>
    <t xml:space="preserve"> Measurement of hydrogen in breath to test for stomach and bowel symptoms</t>
  </si>
  <si>
    <t xml:space="preserve"> Study of rectum sensitivity and function</t>
  </si>
  <si>
    <t xml:space="preserve"> Other diagnostic procedure for gastrointestine</t>
  </si>
  <si>
    <t xml:space="preserve"> Severe acute respiratory syndrome coronavirus 2 (COVID-19) vaccine, recombinant spike protein nanoparticle, saponin-based adjuvant, preservative free, 5 mcg/0.5mL dosage, for intramuscular use</t>
  </si>
  <si>
    <t xml:space="preserve"> Severe acute respiratory syndrome coronavirus 2 (sarscov-2) (coronavirus disease [covid-19]) vaccine, mrnalnp, spike protein, 3 mcg/0.3 ml dosage, tris-sucrose formulation, for intramuscular use</t>
  </si>
  <si>
    <t xml:space="preserve"> Severe acute respiratory syndrome coronavirus 2 (sarscov-2) (coronavirus disease [covid-19]) vaccine, mrnalnp, spike protein, 10 mcg/0.3 ml dosage, tris-sucrose formulation, for intramuscular use</t>
  </si>
  <si>
    <t xml:space="preserve"> Severe acute respiratory syndrome coronavirus 2 (sarscov-2) (coronavirus disease [covid-19]) vaccine, mrnalnp, spike protein, 30 mcg/0.3 ml dosage, tris-sucrose formulation, for intramuscular use</t>
  </si>
  <si>
    <t xml:space="preserve"> Severe acute respiratory syndrome coronavirus 2 (sarscov-2) (coronavirus disease [covid-19]) vaccine, mrnalnp, 25 mcg/0.25 ml dosage, for intramuscular use</t>
  </si>
  <si>
    <t xml:space="preserve"> Severe acute respiratory syndrome coronavirus 2 (sarscov-2) (coronavirus disease [covid-19]) vaccine, mrnalnp, 50 mcg/0.5 ml dosage, for intramuscular use</t>
  </si>
  <si>
    <t xml:space="preserve"> Complete exam of visual system under general anesthesia</t>
  </si>
  <si>
    <t xml:space="preserve"> Limited exam of visual system under general anesthesia</t>
  </si>
  <si>
    <t xml:space="preserve"> Exam of retinal blood vessels using a special camera after injection of a dye</t>
  </si>
  <si>
    <t xml:space="preserve"> Exam of blood vessels between the white part of eye and retina using a special camera after injection of a dye</t>
  </si>
  <si>
    <t xml:space="preserve"> Exam of retinal blood vessels and blood vessels between the white part of eye and retina using a special camera after injection of a dye</t>
  </si>
  <si>
    <t xml:space="preserve"> Exam of head, neck, including ears, nose and throat under general anesthesia</t>
  </si>
  <si>
    <t xml:space="preserve"> Exam of ear using a microscope</t>
  </si>
  <si>
    <t xml:space="preserve"> Exam of the nose and throat using an endoscope</t>
  </si>
  <si>
    <t xml:space="preserve"> Evaluation and testing for balance with recording</t>
  </si>
  <si>
    <t xml:space="preserve"> Test for balance and posture</t>
  </si>
  <si>
    <t xml:space="preserve"> Test for eardrum and muscle function</t>
  </si>
  <si>
    <t xml:space="preserve"> Comprehensive hearing test</t>
  </si>
  <si>
    <t xml:space="preserve"> Screening evaluation of brain response to sound with automated analysis</t>
  </si>
  <si>
    <t xml:space="preserve"> Evaluation of brain response to sound for determination of hearing status with interpretation and report</t>
  </si>
  <si>
    <t xml:space="preserve"> Evaluation of brain response to sound for determination of hearing threshold with interpretation and report</t>
  </si>
  <si>
    <t xml:space="preserve"> Evaluation of brain response to sound for diagnosis of nervous system disorders with interpretation and report</t>
  </si>
  <si>
    <t xml:space="preserve"> Balloon dilation of single coronary artery or branch</t>
  </si>
  <si>
    <t xml:space="preserve"> Balloon dilation of coronary artery or branch, each additional artery or branch</t>
  </si>
  <si>
    <t xml:space="preserve"> Insertion of stents with balloon dilation of coronary artery or branch, single artery or branch</t>
  </si>
  <si>
    <t xml:space="preserve"> Insertion of stents with balloon dilation of coronary artery or branch, each additional artery or branch</t>
  </si>
  <si>
    <t xml:space="preserve"> Internal shock to heart to regulate heart beat</t>
  </si>
  <si>
    <t xml:space="preserve"> Ultrasound evaluation of heart blood vessel or graft with review by radiologist, initial vessel</t>
  </si>
  <si>
    <t xml:space="preserve"> Ultrasound evaluation of heart blood vessel or graft with review by radiologist, each additional vessel</t>
  </si>
  <si>
    <t xml:space="preserve"> Exercise or drug-induced heart stress test with electrocardiogram (ECG) with supervision and review by physician</t>
  </si>
  <si>
    <t xml:space="preserve"> Heart rhythm recording, analysis, report, review, and interpretation of continuous external EKG over more than 48 hours up to 7 days</t>
  </si>
  <si>
    <t xml:space="preserve"> Heart rhythm recording continuous external EKG over more than 48 hours up to 7 days</t>
  </si>
  <si>
    <t xml:space="preserve"> Heart rhythm analysis and report of continuous external EKG over more than 48 hours up to 7 days</t>
  </si>
  <si>
    <t xml:space="preserve"> Heart rhythm review, and interpretation of continuous external EKG over more than 48 hours up to 7 days</t>
  </si>
  <si>
    <t xml:space="preserve"> Heart rhythm recording, analysis, interpretation and report of continuous external EKG over more than 1 week up to 1 weeks</t>
  </si>
  <si>
    <t xml:space="preserve"> Heart rhythm recording of continuous external EKG over 8-15 days</t>
  </si>
  <si>
    <t xml:space="preserve"> Heart rhythm analysis and report of continuous external EKG over 8-15 days</t>
  </si>
  <si>
    <t xml:space="preserve"> Heart rhythm review and interpretation of continuous external EKG over 8-15 days</t>
  </si>
  <si>
    <t xml:space="preserve"> Remote monitoring of pulmonary artery pressure sensor, up to 30 days</t>
  </si>
  <si>
    <t xml:space="preserve"> Ultrasound of heart for congenital defect</t>
  </si>
  <si>
    <t xml:space="preserve"> Ultrasound of heart for congenital defect, follow-up</t>
  </si>
  <si>
    <t xml:space="preserve"> Ultrasound of heart with probe in esophagus for congenital defect, with report</t>
  </si>
  <si>
    <t xml:space="preserve"> Insertion of probe in esophagus for congenital heart ultrasound</t>
  </si>
  <si>
    <t xml:space="preserve"> Interpretation and report of congenital heart ultrasound</t>
  </si>
  <si>
    <t xml:space="preserve"> Ultrasound of heart with probe in esophagus to assess heart pump function</t>
  </si>
  <si>
    <t xml:space="preserve"> Insertion of tube in right heart chambers for measurement</t>
  </si>
  <si>
    <t xml:space="preserve"> Insertion of tube in left heart chambers for diagnosis with review by radiologist</t>
  </si>
  <si>
    <t xml:space="preserve"> Insertion of tube in right and left heart chambers for diagnosis with review by radiologist</t>
  </si>
  <si>
    <t xml:space="preserve"> Insertion of tube in coronary artery for diagnosis with review by radiologist</t>
  </si>
  <si>
    <t xml:space="preserve"> Insertion of tube in bypass graft for diagnosis with review by radiologist</t>
  </si>
  <si>
    <t xml:space="preserve"> Insertion of tube in right heart chambers and coronary artery for diagnosis with review by radiologist</t>
  </si>
  <si>
    <t xml:space="preserve"> Insertion of tube in right heart chambers, coronary artery, and bypass graft for diagnosis with review by radiologist</t>
  </si>
  <si>
    <t xml:space="preserve"> Insertion of tube in left lower heart chamber and coronary artery for diagnosis with review by radiologist</t>
  </si>
  <si>
    <t xml:space="preserve"> Insertion of tube in left lower heart chamber, coronary artery and bypass graft for diagnosis with review by radiologist</t>
  </si>
  <si>
    <t xml:space="preserve"> Insertion of tube in right and left heart chambers and coronary artery for diagnosis with review by radiologist</t>
  </si>
  <si>
    <t xml:space="preserve"> Insertion of tube in right and left heart chambers, coronary artery, and bypass graft for diagnosis with review by radiologist</t>
  </si>
  <si>
    <t xml:space="preserve"> Insertion of tube in left heart chamber through heart septum</t>
  </si>
  <si>
    <t xml:space="preserve"> Drug infusion during cardiac catheterization</t>
  </si>
  <si>
    <t xml:space="preserve"> Injection for imaging of right heart chambers with review by radiologist</t>
  </si>
  <si>
    <t xml:space="preserve"> Injection for imaging of aorta above heart valve with review by radiologist</t>
  </si>
  <si>
    <t xml:space="preserve"> Injection for nonselective imaging of pulmonary artery during heart catheterization</t>
  </si>
  <si>
    <t xml:space="preserve"> Ultrasound evaluation of heart blood vessel during diagnosis or treatment, initial vessel</t>
  </si>
  <si>
    <t xml:space="preserve"> Ultrasound evaluation of heart blood vessel during diagnosis or treatment, each additional vessel</t>
  </si>
  <si>
    <t xml:space="preserve"> Repair of leak adjacent to mitral valve, first closure device</t>
  </si>
  <si>
    <t xml:space="preserve"> Repair of leak adjacent to aortic valve, first closure device</t>
  </si>
  <si>
    <t xml:space="preserve"> Repair of lead adjacent to heart valve, each additional closure device</t>
  </si>
  <si>
    <t xml:space="preserve"> Ultrasound evaluation of heart blood vessel with review by radiologist</t>
  </si>
  <si>
    <t xml:space="preserve"> Patient/caregiver training for monitoring of anticoagulant therapy</t>
  </si>
  <si>
    <t xml:space="preserve"> Anticoagulant management of patient taking warfarin</t>
  </si>
  <si>
    <t xml:space="preserve"> Complete ultrasound of artery and vein blood flow pre-op assessment on both sides of body for hemodialysis access</t>
  </si>
  <si>
    <t xml:space="preserve"> Complete ultrasound of artery and vein blood flow pre-op assessment on side of body for hemodialysis access</t>
  </si>
  <si>
    <t xml:space="preserve"> Test for exercise-induced spasm of lung airways</t>
  </si>
  <si>
    <t xml:space="preserve"> Test for exercise-induced lung stress</t>
  </si>
  <si>
    <t xml:space="preserve"> Exercise test for spasm of lung airways</t>
  </si>
  <si>
    <t xml:space="preserve"> Test for exercise-induced heart and lung stress</t>
  </si>
  <si>
    <t xml:space="preserve"> Continuous monitoring of blood sugar level in tissue fluid using sensor under skin</t>
  </si>
  <si>
    <t xml:space="preserve"> Needle measurement of electrical activity in muscles on side of body</t>
  </si>
  <si>
    <t xml:space="preserve"> Testing of autonomic nervous system function and heart rate response to deep breathing</t>
  </si>
  <si>
    <t xml:space="preserve"> Testing of autonomic (sympathetic) nervous system function, heart rate response to breathing exercises, and passive tilt</t>
  </si>
  <si>
    <t xml:space="preserve"> Testing of autonomic (sympathetic) nervous system function</t>
  </si>
  <si>
    <t xml:space="preserve"> Electronic analysis of implanted brain, spinal cord, or peripheral neurostimulator generator</t>
  </si>
  <si>
    <t xml:space="preserve"> Electronic analysis of implanted neurostimulator generator with simple spinal cord or peripheral nerve stimulator programming</t>
  </si>
  <si>
    <t xml:space="preserve"> Electronic analysis of neurostimulator generator with simple cranial nerve stimulator programming</t>
  </si>
  <si>
    <t xml:space="preserve"> Electronic analysis of implanted neurostimulator generator with complex cranial nerve stimulator programming</t>
  </si>
  <si>
    <t xml:space="preserve"> Electronic analysis of implanted gastric neurostimulator generator during surgery with programming</t>
  </si>
  <si>
    <t xml:space="preserve"> Electronic analysis of implanted gastric neurostimulator generator</t>
  </si>
  <si>
    <t xml:space="preserve"> Electronic analysis of implanted gastric neurostimulator generator with programming</t>
  </si>
  <si>
    <t xml:space="preserve"> Electronic analysis of implanted brain, spinal cord, or peripheral neurostimulator generator with brain stimulator programming, first 15 minutes with qualified health professional</t>
  </si>
  <si>
    <t xml:space="preserve"> Electronic analysis of implanted brain, spinal cord, or peripheral neurostimulator generator with brain stimulator programming, each additional 15 minutes with qualified health professional</t>
  </si>
  <si>
    <t xml:space="preserve"> Administration and interpretation of patient-focused health risk assessment</t>
  </si>
  <si>
    <t xml:space="preserve"> Administration and interpretation of caregiver-focused health risk assessment</t>
  </si>
  <si>
    <t xml:space="preserve"> Infusion into a vein for hydration, 31-60 minutes</t>
  </si>
  <si>
    <t xml:space="preserve"> Infusion into a vein for hydration, each additional hour</t>
  </si>
  <si>
    <t xml:space="preserve"> Infusion into a vein for therapy, prevention, or diagnosis, 1 hour or less</t>
  </si>
  <si>
    <t xml:space="preserve"> Infusion into a vein for therapy, prevention, or diagnosis, each additional hour</t>
  </si>
  <si>
    <t xml:space="preserve"> Infusion into a vein for therapy, prevention, or diagnosis, additional sequential infusion, 1 hour or less</t>
  </si>
  <si>
    <t xml:space="preserve"> Infusion into a vein for therapy, prevention, or diagnosis concurrent with another infusion</t>
  </si>
  <si>
    <t xml:space="preserve"> Infusion into tissue for therapy or prevention, 1 hour or less</t>
  </si>
  <si>
    <t xml:space="preserve"> Infusion into tissue for therapy or prevention, each additional hour</t>
  </si>
  <si>
    <t xml:space="preserve"> Establishment of new infusion site into tissue with pump set up</t>
  </si>
  <si>
    <t xml:space="preserve"> Injection of drug or substance under skin or into muscle</t>
  </si>
  <si>
    <t xml:space="preserve"> Injection of drug or substance into artery</t>
  </si>
  <si>
    <t xml:space="preserve"> Injection of drug or substance into vein</t>
  </si>
  <si>
    <t xml:space="preserve"> Injection of additional new drug or substance into vein</t>
  </si>
  <si>
    <t xml:space="preserve"> Injection of additional drug or substance into vein provided in a facility</t>
  </si>
  <si>
    <t xml:space="preserve"> Application of on-body injector for under skin injection</t>
  </si>
  <si>
    <t xml:space="preserve"> Injection or infusion into a vein or artery for therapy, prevention, or diagnosis</t>
  </si>
  <si>
    <t xml:space="preserve"> Refilling and maintenance of portable pump</t>
  </si>
  <si>
    <t xml:space="preserve"> Refilling and maintenance of implantable pump or reservoir for drug delivery</t>
  </si>
  <si>
    <t xml:space="preserve"> Irrigation of implanted venous access drug delivery device</t>
  </si>
  <si>
    <t xml:space="preserve"> Application of light to destroy precancer skin growth using an endoscope, initial 30 minutes</t>
  </si>
  <si>
    <t xml:space="preserve"> Application of light to destroy precancer skin growth using an endoscope, each additional 15 minutes</t>
  </si>
  <si>
    <t xml:space="preserve"> Application of light by qualified health care professional to destroy precancer skin growth</t>
  </si>
  <si>
    <t xml:space="preserve"> Application of light with debridement to destroy precancer skin growth</t>
  </si>
  <si>
    <t xml:space="preserve"> Therapy procedure using manual technique, each 15 minutes</t>
  </si>
  <si>
    <t xml:space="preserve"> Evaluation for physical therapy, typically 20 minutes</t>
  </si>
  <si>
    <t xml:space="preserve"> Evaluation for physical therapy, typically 30 minutes</t>
  </si>
  <si>
    <t xml:space="preserve"> Evaluation for physical therapy, typically 45 minutes</t>
  </si>
  <si>
    <t xml:space="preserve"> Re-evaluation for physical therapy, typically 20 minutes</t>
  </si>
  <si>
    <t xml:space="preserve"> Evaluation for occupational therapy, typically 30 minutes</t>
  </si>
  <si>
    <t xml:space="preserve"> Evaluation for occupational therapy, typically 45 minutes</t>
  </si>
  <si>
    <t xml:space="preserve"> Evaluation for occupational therapy, typically 1 hour</t>
  </si>
  <si>
    <t xml:space="preserve"> Re-evaluation for occupational therapy, typically 30 minutes</t>
  </si>
  <si>
    <t xml:space="preserve"> Evaluation for athletic training, typically 15 minutes</t>
  </si>
  <si>
    <t xml:space="preserve"> Evaluation for athletic training, typically 30 minutes</t>
  </si>
  <si>
    <t xml:space="preserve"> Evaluation for athletic training, typically 45 minutes</t>
  </si>
  <si>
    <t xml:space="preserve"> Re-evaluation for athletic training, typically 20 minutes</t>
  </si>
  <si>
    <t xml:space="preserve"> Removal of tissue from wound gradually</t>
  </si>
  <si>
    <t xml:space="preserve"> Follow-up training in the use of orthopedic device or artificial arm, leg and/or trunk, each 15 minutes</t>
  </si>
  <si>
    <t xml:space="preserve"> Chiropractic manipulative treatment, 1-2 spinal regions</t>
  </si>
  <si>
    <t xml:space="preserve"> Chiropractic manipulative treatment, 3-4 spinal regions</t>
  </si>
  <si>
    <t xml:space="preserve"> Chiropractic manipulative treatment, 5 spinal regions</t>
  </si>
  <si>
    <t xml:space="preserve"> Chiropractic manipulative treatment to regions other than spine</t>
  </si>
  <si>
    <t xml:space="preserve"> Use of a drug to induce depression of consciousness by physician performing a procedure (younger than 5 years), initial 15 minutes</t>
  </si>
  <si>
    <t xml:space="preserve"> Use of a drug to induce depression of consciousness by physician performing a procedure (5 years or older), initial 15 minutes</t>
  </si>
  <si>
    <t xml:space="preserve"> Use of a drug to induce depression of consciousness by physician performing a procedure, each additional 15 minutes</t>
  </si>
  <si>
    <t xml:space="preserve"> Use of a drug to induce depression of consciousness by physician not performing a procedure (younger than 5 years), initial 15 minutes</t>
  </si>
  <si>
    <t xml:space="preserve"> Use of a drug to induce depression of consciousness by physician not performing a procedure (5 years or older), initial 15 minutes</t>
  </si>
  <si>
    <t xml:space="preserve"> Use of a drug to induce depression of consciousness by physician not performing a procedure, each additional 15 minutes</t>
  </si>
  <si>
    <t xml:space="preserve"> Exam of genital and anal region for suspected trauma using an endoscope, child</t>
  </si>
  <si>
    <t xml:space="preserve"> Screening of eye with special instrument with remote analysis</t>
  </si>
  <si>
    <t xml:space="preserve"> Preventive medicine counseling, typically 15 minutes</t>
  </si>
  <si>
    <t xml:space="preserve"> Smoking and tobacco use intensive counseling, 4-10 minutes</t>
  </si>
  <si>
    <t xml:space="preserve"> Smoking and tobacco use intensive counseling, more than 10 minutes</t>
  </si>
  <si>
    <t xml:space="preserve"> Online digital evaluation and management service for an established patient for up to 7 days, total time 5-10 minutes</t>
  </si>
  <si>
    <t xml:space="preserve"> Online digital evaluation and management service for an established patient for up to 7 days, total time 11-20 minutes</t>
  </si>
  <si>
    <t xml:space="preserve"> Online digital evaluation and management service for an established patient for up to 7 days, total time 21 or more minutes</t>
  </si>
  <si>
    <t xml:space="preserve"> Telephone medical discussion with physician, 5-10 minutes</t>
  </si>
  <si>
    <t xml:space="preserve"> Telephone medical discussion with physician, 11-20 minutes</t>
  </si>
  <si>
    <t xml:space="preserve"> Telephone medical discussion with physician, 21-30 minutes</t>
  </si>
  <si>
    <t xml:space="preserve"> Telephone, internet, or electronic health record assessment and management with verbal and written report by consulting physician, 5-10 minutes</t>
  </si>
  <si>
    <t xml:space="preserve"> Telephone or internet assessment with verbal and written report by consulting physician, 11-20 minutes</t>
  </si>
  <si>
    <t xml:space="preserve"> Telephone or internet assessment with verbal and written report by consulting physician, 21-30 minutes</t>
  </si>
  <si>
    <t xml:space="preserve"> Telephone or internet assessment with verbal and written report by consulting physician, more than 30 minutes</t>
  </si>
  <si>
    <t xml:space="preserve"> Telephone, internet, or electronic health record assessment and management with written report by consulting physician, at least 5 minutes</t>
  </si>
  <si>
    <t xml:space="preserve"> Telephone or internet referral service, 30 minutes</t>
  </si>
  <si>
    <t xml:space="preserve"> Remote monitoring of physiologic parameters, initial set-up and patient education on use of equipment</t>
  </si>
  <si>
    <t xml:space="preserve"> Remote monitoring of physiologic parameters, initial supply of devices with daily recordings or programmed alerts transmission, each 30 days</t>
  </si>
  <si>
    <t xml:space="preserve"> Management using the results of remote vital sign monitoring per calendar month, first 20 minutes</t>
  </si>
  <si>
    <t xml:space="preserve"> Management using the results of remote vital sign monitoring per calendar month, each additional 20 minutes</t>
  </si>
  <si>
    <t xml:space="preserve"> Education and training to self measure blood pressure</t>
  </si>
  <si>
    <t xml:space="preserve"> Self measured blood pressure measurements</t>
  </si>
  <si>
    <t xml:space="preserve"> Assessment of and care planning for patient with impaired thought processing, typically 60 minutes</t>
  </si>
  <si>
    <t xml:space="preserve"> Care management services for behavioral health conditions, 20 minutes or more clinical staff time directed by health care professional</t>
  </si>
  <si>
    <t xml:space="preserve"> Initial psychiatric collaborative care management, first calendar month, first 70 minutes</t>
  </si>
  <si>
    <t xml:space="preserve"> Follow-up psychiatric collaborative care management, subsequent calendar month, first 60 minutes</t>
  </si>
  <si>
    <t xml:space="preserve"> Psychiatric collaborative care management per calendar month, each additional 30 minutes</t>
  </si>
  <si>
    <t xml:space="preserve"> Innovamatrix ac, per square centimeter</t>
  </si>
  <si>
    <t xml:space="preserve"> Mirragen advanced wound matrix, per square centimeter</t>
  </si>
  <si>
    <t xml:space="preserve"> Xcellistem, 1 mg</t>
  </si>
  <si>
    <t xml:space="preserve"> Microlyte matrix, per square centimeter</t>
  </si>
  <si>
    <t xml:space="preserve"> Novosorb synpath dermal matrix, per square centimeter</t>
  </si>
  <si>
    <t xml:space="preserve"> Restrata, per square centimeter</t>
  </si>
  <si>
    <t xml:space="preserve"> Theragenesis, per square centimeter</t>
  </si>
  <si>
    <t xml:space="preserve"> Symphony, per square centimeter</t>
  </si>
  <si>
    <t xml:space="preserve"> Apis, per square centimeter</t>
  </si>
  <si>
    <t xml:space="preserve"> Supra sdrm, per square centimeter</t>
  </si>
  <si>
    <t xml:space="preserve"> Suprathel, per square centimeter</t>
  </si>
  <si>
    <t xml:space="preserve"> Innovamatrix fs, per square centimeter</t>
  </si>
  <si>
    <t xml:space="preserve"> Omeza collagen matrix, per 100 mg</t>
  </si>
  <si>
    <t xml:space="preserve"> Phoenix wound matrix, per square centimeter</t>
  </si>
  <si>
    <t xml:space="preserve"> Permeaderm b, per square centimeter</t>
  </si>
  <si>
    <t xml:space="preserve"> Permeaderm glove, each</t>
  </si>
  <si>
    <t xml:space="preserve"> Permeaderm c, per square centimeter</t>
  </si>
  <si>
    <t xml:space="preserve"> Kerecis omega3 marigen shield, per square centimeter</t>
  </si>
  <si>
    <t xml:space="preserve"> Ac5 advanced wound system (ac5)</t>
  </si>
  <si>
    <t xml:space="preserve"> Neomatrix, per square centimeter</t>
  </si>
  <si>
    <t xml:space="preserve"> Innovaburn or innovamatrix xl, per square centimeter</t>
  </si>
  <si>
    <t xml:space="preserve"> Innovamatrix pd, 1 mg</t>
  </si>
  <si>
    <t xml:space="preserve"> Resolve matrix, per square centimeter</t>
  </si>
  <si>
    <t xml:space="preserve"> Miro3d, per cubic centimeter</t>
  </si>
  <si>
    <t xml:space="preserve"> Skin substitute, fda cleared as a device, not otherwise specified</t>
  </si>
  <si>
    <t xml:space="preserve"> Chlorhexidine containing antiseptic, 1 ml</t>
  </si>
  <si>
    <t xml:space="preserve"> Indwelling catheter, foley type, two-way, all silicone or polyurethane, each</t>
  </si>
  <si>
    <t xml:space="preserve"> Bedside drainage bag, day or night, with or without anti-reflux device, with or without tube, each</t>
  </si>
  <si>
    <t xml:space="preserve"> Disposable underpads, all sizes</t>
  </si>
  <si>
    <t xml:space="preserve"> Electrode/transducer for use with electrical stimulation device used for cancer treatment, replacement only</t>
  </si>
  <si>
    <t xml:space="preserve"> Cast supplies (e.g., plaster)</t>
  </si>
  <si>
    <t xml:space="preserve"> Sleeve for intermittent limb compression device, replacement only, each</t>
  </si>
  <si>
    <t xml:space="preserve"> Lithium ion battery, rechargeable, for non-prosthetic use, replacement</t>
  </si>
  <si>
    <t xml:space="preserve"> Replacement battery for patient-owned ear pulse generator, each</t>
  </si>
  <si>
    <t xml:space="preserve"> Oral mucoadhesive, any type (liquid, gel, paste, etc.), per 1 ml</t>
  </si>
  <si>
    <t xml:space="preserve"> Technetium tc-99m sestamibi, diagnostic, per study dose</t>
  </si>
  <si>
    <t xml:space="preserve"> Technetium tc-99m teboroxime, diagnostic, per study dose</t>
  </si>
  <si>
    <t xml:space="preserve"> Technetium tc-99m tetrofosmin, diagnostic, per study dose</t>
  </si>
  <si>
    <t xml:space="preserve"> Technetium tc-99m medronate, diagnostic, per study dose, up to 30 millicuries</t>
  </si>
  <si>
    <t xml:space="preserve"> Technetium tc-99m apcitide, diagnostic, per study dose, up to 20 millicuries</t>
  </si>
  <si>
    <t xml:space="preserve"> Thallium tl-201 thallous chloride, diagnostic, per millicurie</t>
  </si>
  <si>
    <t xml:space="preserve"> Indium in-111 capromab pendetide, diagnostic, per study dose, up to 10 millicuries</t>
  </si>
  <si>
    <t xml:space="preserve"> Iodine i-131 iobenguane sulfate, diagnostic, per 0.5 millicurie</t>
  </si>
  <si>
    <t xml:space="preserve"> Iodine i-123 sodium iodide, diagnostic, per millicurie</t>
  </si>
  <si>
    <t xml:space="preserve"> Technetium tc-99m disofenin, diagnostic, per study dose, up to 15 millicuries</t>
  </si>
  <si>
    <t xml:space="preserve"> Technetium tc-99m pertechnetate, diagnostic, per millicurie</t>
  </si>
  <si>
    <t xml:space="preserve"> Choline c-11, diagnostic, per study dose up to 20 millicuries</t>
  </si>
  <si>
    <t xml:space="preserve"> Iodine i-123 sodium iodide, diagnostic, per 100 microcuries, up to 999 microcuries</t>
  </si>
  <si>
    <t xml:space="preserve"> Technetium tc-99m tilmanocept, diagnostic, up to 0.5 millicuries</t>
  </si>
  <si>
    <t xml:space="preserve"> Technetium tc-99m exametazime, diagnostic, per study dose, up to 25 millicuries</t>
  </si>
  <si>
    <t xml:space="preserve"> Iodine i-131 iodinated serum albumin, diagnostic, per 5 microcuries</t>
  </si>
  <si>
    <t xml:space="preserve"> Nitrogen n-13 ammonia, diagnostic, per study dose, up to 40 millicuries</t>
  </si>
  <si>
    <t xml:space="preserve"> Iodine i-125, sodium iodide solution, therapeutic, per millicurie</t>
  </si>
  <si>
    <t xml:space="preserve"> Iodine i-131 sodium iodide capsule(s), diagnostic, per millicurie</t>
  </si>
  <si>
    <t xml:space="preserve"> Iodine i-131 sodium iodide solution, diagnostic, per millicurie</t>
  </si>
  <si>
    <t xml:space="preserve"> Iodine i-131 sodium iodide, diagnostic, per microcurie (up to 100 microcuries)</t>
  </si>
  <si>
    <t xml:space="preserve"> Iodine i-125 serum albumin, diagnostic, per 5 microcuries</t>
  </si>
  <si>
    <t xml:space="preserve"> Technetium tc-99m depreotide, diagnostic, per study dose, up to 35 millicuries</t>
  </si>
  <si>
    <t xml:space="preserve"> Technetium tc-99m mebrofenin, diagnostic, per study dose, up to 15 millicuries</t>
  </si>
  <si>
    <t xml:space="preserve"> Technetium tc-99m pyrophosphate, diagnostic, per study dose, up to 25 millicuries</t>
  </si>
  <si>
    <t xml:space="preserve"> Technetium tc-99m pentetate, diagnostic, per study dose, up to 25 millicuries</t>
  </si>
  <si>
    <t xml:space="preserve"> Technetium tc-99m macroaggregated albumin, diagnostic, per study dose, up to 10 millicuries</t>
  </si>
  <si>
    <t xml:space="preserve"> Technetium tc-99m sulfur colloid, diagnostic, per study dose, up to 20 millicuries</t>
  </si>
  <si>
    <t xml:space="preserve"> Indium in-111 ibritumomab tiuxetan, diagnostic, per study dose, up to 5 millicuries</t>
  </si>
  <si>
    <t xml:space="preserve"> Cobalt co-57/58, cyanocobalamin, diagnostic, per study dose, up to 1 microcurie</t>
  </si>
  <si>
    <t xml:space="preserve"> Indium in-111 oxyquinoline, diagnostic, per 0.5 millicurie</t>
  </si>
  <si>
    <t xml:space="preserve"> Indium in-111 pentetate, diagnostic, per 0.5 millicurie</t>
  </si>
  <si>
    <t xml:space="preserve"> Technetium tc-99m sodium gluceptate, diagnostic, per study dose, up to 25 millicurie</t>
  </si>
  <si>
    <t xml:space="preserve"> Technetium tc-99m succimer, diagnostic, per study dose, up to 10 millicuries</t>
  </si>
  <si>
    <t xml:space="preserve"> Fluorodeoxyglucose f-18 fdg, diagnostic, per study dose, up to 45 millicuries</t>
  </si>
  <si>
    <t xml:space="preserve"> Chromium cr-51 sodium chromate, diagnostic, per study dose, up to 250 microcuries</t>
  </si>
  <si>
    <t xml:space="preserve"> Iodine i-125 sodium iothalamate, diagnostic, per study dose, up to 10 microcuries</t>
  </si>
  <si>
    <t xml:space="preserve"> Rubidium rb-82, diagnostic, per study dose, up to 60 millicuries</t>
  </si>
  <si>
    <t xml:space="preserve"> Gallium ga-67 citrate, diagnostic, per millicurie</t>
  </si>
  <si>
    <t xml:space="preserve"> Technetium tc-99m bicisate, diagnostic, per study dose, up to 25 millicuries</t>
  </si>
  <si>
    <t xml:space="preserve"> Xenon xe-133 gas, diagnostic, per 10 millicuries</t>
  </si>
  <si>
    <t xml:space="preserve"> Cobalt co-57 cyanocobalamin, oral, diagnostic, per study dose, up to 1 microcurie</t>
  </si>
  <si>
    <t xml:space="preserve"> Technetium tc-99m labeled red blood cells, diagnostic, per study dose, up to 30 millicuries</t>
  </si>
  <si>
    <t xml:space="preserve"> Technetium tc-99m oxidronate, diagnostic, per study dose, up to 30 millicuries</t>
  </si>
  <si>
    <t xml:space="preserve"> Technetium tc-99m mertiatide, diagnostic, per study dose, up to 15 millicuries</t>
  </si>
  <si>
    <t xml:space="preserve"> Technetium tc-99m fanolesomab, diagnostic, per study dose, up to 25 millicuries</t>
  </si>
  <si>
    <t xml:space="preserve"> Technetium tc-99m pentetate, diagnostic, aerosol, per study dose, up to 75 millicuries</t>
  </si>
  <si>
    <t xml:space="preserve"> Technetium tc-99m arcitumomab, diagnostic, per study dose, up to 45 millicuries</t>
  </si>
  <si>
    <t xml:space="preserve"> Technetium tc-99m exametazime labeled autologous white blood cells, diagnostic, per study dose</t>
  </si>
  <si>
    <t xml:space="preserve"> Indium in-111 labeled autologous white blood cells, diagnostic, per study dose</t>
  </si>
  <si>
    <t xml:space="preserve"> Indium in-111 labeled autologous platelets, diagnostic, per study dose</t>
  </si>
  <si>
    <t xml:space="preserve"> Indium in-111 pentetreotide, diagnostic, per study dose, up to 6 millicuries</t>
  </si>
  <si>
    <t xml:space="preserve"> Injection, gadopiclenol, 1 ml</t>
  </si>
  <si>
    <t xml:space="preserve"> Injection, gadoterate meglumine, 0.1 ml</t>
  </si>
  <si>
    <t xml:space="preserve"> Injection, gadoteridol, (prohance multipack), per ml</t>
  </si>
  <si>
    <t xml:space="preserve"> Injection, gadobenate dimeglumine (multihance), per ml</t>
  </si>
  <si>
    <t xml:space="preserve"> Injection, gadobenate dimeglumine (multihance multipack), per ml</t>
  </si>
  <si>
    <t xml:space="preserve"> Injection, gadolinium-based magnetic resonance contrast agent, not otherwise specified (nos), per ml</t>
  </si>
  <si>
    <t xml:space="preserve"> Sodium fluoride f-18, diagnostic, per study dose, up to 30 millicuries</t>
  </si>
  <si>
    <t xml:space="preserve"> Injection, gadoxetate disodium, 1 ml</t>
  </si>
  <si>
    <t xml:space="preserve"> Iodine i-123 iobenguane, diagnostic, per study dose, up to 15 millicuries</t>
  </si>
  <si>
    <t xml:space="preserve"> Injection, gadofosveset trisodium, 1 ml</t>
  </si>
  <si>
    <t xml:space="preserve"> Iodine 1-123 ioflupane, diagnostic, per study dose, up to 5 millicuries</t>
  </si>
  <si>
    <t xml:space="preserve"> Injection, gadobutrol, 0.1 ml</t>
  </si>
  <si>
    <t xml:space="preserve"> Florbetapir f18, diagnostic, per study dose, up to 10 millicuries</t>
  </si>
  <si>
    <t xml:space="preserve"> Gallium ga-68, dotatate, diagnostic, 0.1 millicurie</t>
  </si>
  <si>
    <t xml:space="preserve"> Fluciclovine f-18, diagnostic, 1 millicurie</t>
  </si>
  <si>
    <t xml:space="preserve"> Iodine i-131, iobenguane, 1 millicurie</t>
  </si>
  <si>
    <t xml:space="preserve"> Fluoroestradiol f 18, diagnostic, 1 millicurie</t>
  </si>
  <si>
    <t xml:space="preserve"> Copper cu-64, dotatate, diagnostic, 1 millicurie</t>
  </si>
  <si>
    <t xml:space="preserve"> Gallium ga-68 psma-11, diagnostic, (ucsf), 1 millicurie</t>
  </si>
  <si>
    <t xml:space="preserve"> Gallium ga-68 psma-11, diagnostic, (ucla), 1 millicurie</t>
  </si>
  <si>
    <t xml:space="preserve"> Piflufolastat f-18, diagnostic, 1 millicurie</t>
  </si>
  <si>
    <t xml:space="preserve"> Gallium ga-68 gozetotide, diagnostic, (illuccix), 1 millicurie</t>
  </si>
  <si>
    <t xml:space="preserve"> Positron emission tomography radiopharmaceutical, diagnostic, for tumor identification, not otherwise classified</t>
  </si>
  <si>
    <t xml:space="preserve"> Positron emission tomography radiopharmaceutical, diagnostic, for non-tumor identification, not otherwise classified</t>
  </si>
  <si>
    <t xml:space="preserve"> Flortaucipir f 18 injection, diagnostic, 1 millicurie</t>
  </si>
  <si>
    <t xml:space="preserve"> Fluorodopa f-18, diagnostic, per millicurie</t>
  </si>
  <si>
    <t xml:space="preserve"> Injection, pafolacianine, 0.1 mg</t>
  </si>
  <si>
    <t xml:space="preserve"> Flotufolastat f 18, diagnostic, 1 millicurie</t>
  </si>
  <si>
    <t xml:space="preserve"> Fludeoxyglucose f18 up to 15 millicuries</t>
  </si>
  <si>
    <t xml:space="preserve"> Injection, carboxydextran-coated superparamagnetic iron oxide, per study dose</t>
  </si>
  <si>
    <t xml:space="preserve"> Non-radioactive contrast imaging material, not otherwise classified, per study</t>
  </si>
  <si>
    <t xml:space="preserve"> Supply of injectable contrast material for use in echocardiography, per study</t>
  </si>
  <si>
    <t xml:space="preserve"> Gallium ga-68 gozetotide, diagnostic, (locametz), 1 millicurie</t>
  </si>
  <si>
    <t xml:space="preserve"> Hemostatic agent, gastrointestinal, topical</t>
  </si>
  <si>
    <t xml:space="preserve"> Intravertebral body fracture augmentation with implant (e.g., metal, polymer)</t>
  </si>
  <si>
    <t xml:space="preserve"> Catheter, transluminal intravascular lesion preparation device, bladed, sheathed (insertable)</t>
  </si>
  <si>
    <t xml:space="preserve"> Endoscope, single-use (i.e. disposable), pulmonary, imaging/illumination device (insertable)</t>
  </si>
  <si>
    <t xml:space="preserve"> Orthopedic/device/drug matrix/absorbable bone void filler, antimicrobial-eluting (implantable)</t>
  </si>
  <si>
    <t xml:space="preserve"> Retrieval device, insertable, laser (used to retrieve intravascular inferior vena cava filter)</t>
  </si>
  <si>
    <t xml:space="preserve"> Graft, transmural transvenous arterial bypass (implantable), with all delivery system components</t>
  </si>
  <si>
    <t xml:space="preserve"> Anchor/screw for opposing bone-to-bone or soft tissue-to-bone (implantable)</t>
  </si>
  <si>
    <t xml:space="preserve"> Catheter, transluminal atherectomy, directional</t>
  </si>
  <si>
    <t xml:space="preserve"> Brachytherapy needle</t>
  </si>
  <si>
    <t xml:space="preserve"> Brachytherapy source, non-stranded, gold-198, per source</t>
  </si>
  <si>
    <t xml:space="preserve"> Brachytherapy source, non-stranded, high dose rate iridium-192, per source</t>
  </si>
  <si>
    <t xml:space="preserve"> Brachytherapy source, non-stranded, non-high dose rate iridium-192, per source</t>
  </si>
  <si>
    <t xml:space="preserve"> Cardioverter-defibrillator, dual chamber (implantable)</t>
  </si>
  <si>
    <t xml:space="preserve"> Cardioverter-defibrillator, single chamber (implantable)</t>
  </si>
  <si>
    <t xml:space="preserve"> Catheter, transluminal atherectomy, rotational</t>
  </si>
  <si>
    <t xml:space="preserve"> Catheter, transluminal angioplasty, non-laser (may include guidance, infusion/perfusion capability)</t>
  </si>
  <si>
    <t xml:space="preserve"> Catheter, balloon dilatation, non-vascular</t>
  </si>
  <si>
    <t xml:space="preserve"> Catheter, balloon tissue dissector, non-vascular (insertable)</t>
  </si>
  <si>
    <t xml:space="preserve"> Catheter, brachytherapy seed administration</t>
  </si>
  <si>
    <t xml:space="preserve"> Catheter, drainage</t>
  </si>
  <si>
    <t xml:space="preserve"> Catheter, electrophysiology, diagnostic, other than 3d mapping (19 or fewer electrodes)</t>
  </si>
  <si>
    <t xml:space="preserve"> Catheter, electrophysiology, diagnostic, other than 3d mapping (20 or more electrodes)</t>
  </si>
  <si>
    <t xml:space="preserve"> Catheter, electrophysiology, diagnostic/ablation, 3d or vector mapping</t>
  </si>
  <si>
    <t xml:space="preserve"> Catheter, electrophysiology, diagnostic/ablation, other than 3d or vector mapping, other than cool-tip</t>
  </si>
  <si>
    <t xml:space="preserve"> Orthopedic/device/drug matrix for opposing bone-to-bone or soft tissue-to bone (implantable)</t>
  </si>
  <si>
    <t xml:space="preserve"> Endoscope, single-use (i.e. disposable), urinary tract, imaging/illumination device (insertable)</t>
  </si>
  <si>
    <t xml:space="preserve"> Endoscope, single-use (i.e. disposable), upper gi, imaging/illumination device (insertable)</t>
  </si>
  <si>
    <t xml:space="preserve"> Endoscope, retrograde imaging/illumination colonoscope device (implantable)</t>
  </si>
  <si>
    <t xml:space="preserve"> Catheter, hemodialysis/peritoneal, long-term</t>
  </si>
  <si>
    <t xml:space="preserve"> Catheter, infusion, inserted peripherally, centrally or midline (other than hemodialysis)</t>
  </si>
  <si>
    <t xml:space="preserve"> Catheter, hemodialysis/peritoneal, short-term</t>
  </si>
  <si>
    <t xml:space="preserve"> Catheter, intravascular ultrasound</t>
  </si>
  <si>
    <t xml:space="preserve"> Catheter, intradiscal</t>
  </si>
  <si>
    <t xml:space="preserve"> Catheter, intraspinal</t>
  </si>
  <si>
    <t xml:space="preserve"> Catheter, pacing, transesophageal</t>
  </si>
  <si>
    <t xml:space="preserve"> Catheter, thrombectomy/embolectomy</t>
  </si>
  <si>
    <t xml:space="preserve"> Catheter, ureteral</t>
  </si>
  <si>
    <t xml:space="preserve"> Catheter, intracardiac echocardiography</t>
  </si>
  <si>
    <t xml:space="preserve"> Closure device, vascular (implantable/insertable)</t>
  </si>
  <si>
    <t xml:space="preserve"> Catheter, transluminal intravascular lithotripsy, coronary</t>
  </si>
  <si>
    <t xml:space="preserve"> Connective tissue, human (includes fascia lata)</t>
  </si>
  <si>
    <t xml:space="preserve"> Connective tissue, non-human (includes synthetic)</t>
  </si>
  <si>
    <t xml:space="preserve"> Event recorder, cardiac (implantable)</t>
  </si>
  <si>
    <t xml:space="preserve"> Adhesion barrier</t>
  </si>
  <si>
    <t xml:space="preserve"> Introducer/sheath, guiding, intracardiac electrophysiological, steerable, other than peel-away</t>
  </si>
  <si>
    <t xml:space="preserve"> Generator, neurostimulator (implantable), non-rechargeable</t>
  </si>
  <si>
    <t xml:space="preserve"> Graft, vascular</t>
  </si>
  <si>
    <t xml:space="preserve"> Guide wire</t>
  </si>
  <si>
    <t xml:space="preserve"> Imaging coil, magnetic resonance (insertable)</t>
  </si>
  <si>
    <t xml:space="preserve"> Repair device, urinary, incontinence, with sling graft</t>
  </si>
  <si>
    <t xml:space="preserve"> Infusion pump, programmable (implantable)</t>
  </si>
  <si>
    <t xml:space="preserve"> Retrieval device, insertable (used to retrieve fractured medical devices)</t>
  </si>
  <si>
    <t xml:space="preserve"> Joint device (implantable)</t>
  </si>
  <si>
    <t xml:space="preserve"> Lead, cardioverter-defibrillator, endocardial single coil (implantable)</t>
  </si>
  <si>
    <t xml:space="preserve"> Lead, neurostimulator (implantable)</t>
  </si>
  <si>
    <t xml:space="preserve"> Lead, pacemaker, transvenous vdd single pass</t>
  </si>
  <si>
    <t xml:space="preserve"> Lens, intraocular (new technology)</t>
  </si>
  <si>
    <t xml:space="preserve"> Mesh (implantable)</t>
  </si>
  <si>
    <t xml:space="preserve"> Morcellator</t>
  </si>
  <si>
    <t xml:space="preserve"> Ocular implant, aqueous drainage assist device</t>
  </si>
  <si>
    <t xml:space="preserve"> Ocular device, intraoperative, detached retina</t>
  </si>
  <si>
    <t xml:space="preserve"> Pacemaker, dual chamber, rate-responsive (implantable)</t>
  </si>
  <si>
    <t xml:space="preserve"> Pacemaker, single chamber, rate-responsive (implantable)</t>
  </si>
  <si>
    <t xml:space="preserve"> Patient programmer, neurostimulator</t>
  </si>
  <si>
    <t xml:space="preserve"> Port, indwelling (implantable)</t>
  </si>
  <si>
    <t xml:space="preserve"> Prosthesis, breast (implantable)</t>
  </si>
  <si>
    <t xml:space="preserve"> Prosthesis, penile, inflatable</t>
  </si>
  <si>
    <t xml:space="preserve"> Retinal tamponade device, silicone oil</t>
  </si>
  <si>
    <t xml:space="preserve"> Prosthesis, urinary sphincter (implantable)</t>
  </si>
  <si>
    <t xml:space="preserve"> Receiver and/or transmitter, neurostimulator (implantable)</t>
  </si>
  <si>
    <t xml:space="preserve"> Septal defect implant system, intracardiac</t>
  </si>
  <si>
    <t xml:space="preserve"> Integrated keratoprosthesis</t>
  </si>
  <si>
    <t xml:space="preserve"> Surgical tissue localization and excision device (implantable)</t>
  </si>
  <si>
    <t xml:space="preserve"> Generator, neurostimulator (implantable), with rechargeable battery and charging system</t>
  </si>
  <si>
    <t xml:space="preserve"> Interspinous process distraction device (implantable)</t>
  </si>
  <si>
    <t xml:space="preserve"> Generator, neurostimulator (implantable), high frequency, with rechargeable battery and charging system</t>
  </si>
  <si>
    <t xml:space="preserve"> Generator, neurostimulator (implantable), non-rechargeable, with transvenous sensing and stimulation leads</t>
  </si>
  <si>
    <t xml:space="preserve"> Generator, cardiac contractility modulation (implantable)</t>
  </si>
  <si>
    <t xml:space="preserve"> Generator, neurostimulator (implantable), non-rechargeable with carotid sinus baroreceptor stimulation lead(s)</t>
  </si>
  <si>
    <t xml:space="preserve"> Generator, neurostimulator (implantable), includes closed feedback loop leads and all implantable components, with rechargeable battery and charging system</t>
  </si>
  <si>
    <t xml:space="preserve"> Generator, neurostimulator (implantable), non-rechargeable, with implantable stimulation lead and external paired stimulation controller</t>
  </si>
  <si>
    <t xml:space="preserve"> Powered bone marrow biopsy needle</t>
  </si>
  <si>
    <t xml:space="preserve"> Interbody cage, anterior, lateral or posterior, personalized (implantable)</t>
  </si>
  <si>
    <t xml:space="preserve"> Autograft suspension, including cell processing and application, and all system components</t>
  </si>
  <si>
    <t xml:space="preserve"> Monitor, cardiac, including intracardiac lead and all system components (implantable)</t>
  </si>
  <si>
    <t xml:space="preserve"> Iris prosthesis</t>
  </si>
  <si>
    <t xml:space="preserve"> Lens, intraocular (telescopic)</t>
  </si>
  <si>
    <t xml:space="preserve"> Stent, coated/covered, with delivery system</t>
  </si>
  <si>
    <t xml:space="preserve"> Stent, coated/covered, without delivery system</t>
  </si>
  <si>
    <t xml:space="preserve"> Stent, non-coated/non-covered, with delivery system</t>
  </si>
  <si>
    <t xml:space="preserve"> Stent, non-coated/non-covered, without delivery system</t>
  </si>
  <si>
    <t xml:space="preserve"> Material for vocal cord medialization, synthetic (implantable)</t>
  </si>
  <si>
    <t xml:space="preserve"> Vena cava filter</t>
  </si>
  <si>
    <t xml:space="preserve"> Dialysis access system (implantable)</t>
  </si>
  <si>
    <t xml:space="preserve"> Cardioverter-defibrillator, other than single or dual chamber (implantable)</t>
  </si>
  <si>
    <t xml:space="preserve"> Adapter/extension, pacing lead or neurostimulator lead (implantable)</t>
  </si>
  <si>
    <t xml:space="preserve"> Embolization protective system</t>
  </si>
  <si>
    <t xml:space="preserve"> Catheter, transluminal angioplasty, laser</t>
  </si>
  <si>
    <t xml:space="preserve"> Catheter, extravascular tissue ablation, any modality (insertable)</t>
  </si>
  <si>
    <t xml:space="preserve"> Catheter, guiding (may include infusion/perfusion capability)</t>
  </si>
  <si>
    <t xml:space="preserve"> Catheter, ablation, non-cardiac, endovascular (implantable)</t>
  </si>
  <si>
    <t xml:space="preserve"> Implantable/insertable device, not otherwise classified</t>
  </si>
  <si>
    <t xml:space="preserve"> No implantable/insertable device used with device-intensive procedures</t>
  </si>
  <si>
    <t xml:space="preserve"> Infusion pump, non-programmable, permanent (implantable)</t>
  </si>
  <si>
    <t xml:space="preserve"> Introducer/sheath, guiding, intracardiac electrophysiological, fixed-curve, peel-away</t>
  </si>
  <si>
    <t xml:space="preserve"> Introducer/sheath, guiding, intracardiac electrophysiological, fixed-curve, other than peel-away</t>
  </si>
  <si>
    <t xml:space="preserve"> Introducer/sheath, other than guiding, other than intracardiac electrophysiological, non-laser</t>
  </si>
  <si>
    <t xml:space="preserve"> Lead, cardioverter-defibrillator, endocardial dual coil (implantable)</t>
  </si>
  <si>
    <t xml:space="preserve"> Lead, cardioverter-defibrillator, other than endocardial single or dual coil (implantable)</t>
  </si>
  <si>
    <t xml:space="preserve"> Lead, neurostimulator test kit (implantable)</t>
  </si>
  <si>
    <t xml:space="preserve"> Lead, pacemaker, other than transvenous vdd single pass</t>
  </si>
  <si>
    <t xml:space="preserve"> Lead, pacemaker/cardioverter-defibrillator combination (implantable)</t>
  </si>
  <si>
    <t xml:space="preserve"> Lead, left ventricular coronary venous system</t>
  </si>
  <si>
    <t xml:space="preserve"> Catheter, pressure-generating, one-way valve, intermittently occlusive</t>
  </si>
  <si>
    <t xml:space="preserve"> Probe, image-guided, robotic, waterjet ablation</t>
  </si>
  <si>
    <t xml:space="preserve"> Lung biopsy plug with delivery system</t>
  </si>
  <si>
    <t xml:space="preserve"> Probe, percutaneous lumbar discectomy</t>
  </si>
  <si>
    <t xml:space="preserve"> Sealant, pulmonary, liquid</t>
  </si>
  <si>
    <t xml:space="preserve"> Brachytherapy source, non-stranded, yttrium-90, per source</t>
  </si>
  <si>
    <t xml:space="preserve"> Stent, non-coronary, temporary, without delivery system</t>
  </si>
  <si>
    <t xml:space="preserve"> Probe/needle, cryoablation</t>
  </si>
  <si>
    <t xml:space="preserve"> Pacemaker, dual chamber, non rate-responsive (implantable)</t>
  </si>
  <si>
    <t xml:space="preserve"> Pacemaker, single chamber, non rate-responsive (implantable)</t>
  </si>
  <si>
    <t xml:space="preserve"> Pacemaker, other than single or dual chamber (implantable)</t>
  </si>
  <si>
    <t xml:space="preserve"> Prosthesis, penile, non-inflatable</t>
  </si>
  <si>
    <t xml:space="preserve"> Catheter, transluminal angioplasty, drug-coated, non-laser</t>
  </si>
  <si>
    <t xml:space="preserve"> Implantable wireless pulmonary artery pressure sensor with delivery catheter, including all system components</t>
  </si>
  <si>
    <t xml:space="preserve"> Stent, non-coronary, temporary, with delivery system</t>
  </si>
  <si>
    <t xml:space="preserve"> Infusion pump, non-programmable, temporary (implantable)</t>
  </si>
  <si>
    <t xml:space="preserve"> Catheter, suprapubic/cystoscopic</t>
  </si>
  <si>
    <t xml:space="preserve"> Catheter, occlusion</t>
  </si>
  <si>
    <t xml:space="preserve"> Introducer/sheath, other than guiding, other than intracardiac electrophysiological, laser</t>
  </si>
  <si>
    <t xml:space="preserve"> Catheter, electrophysiology, diagnostic/ablation, other than 3d or vector mapping, cool-tip</t>
  </si>
  <si>
    <t xml:space="preserve"> Repair device, urinary, incontinence, without sling graft</t>
  </si>
  <si>
    <t xml:space="preserve"> Brachytherapy source, non-stranded, high activity, iodine-125, greater than 1.01 mci (nist), per source</t>
  </si>
  <si>
    <t xml:space="preserve"> Brachytherapy source, non-stranded, high activity, palladium-103, greater than 2.2 mci (nist), per source</t>
  </si>
  <si>
    <t xml:space="preserve"> Brachytherapy linear source, non-stranded, palladium-103, per 1 mm</t>
  </si>
  <si>
    <t xml:space="preserve"> Brachytherapy source, stranded, iodine-125, per source</t>
  </si>
  <si>
    <t xml:space="preserve"> Brachytherapy source, non-stranded, iodine-125, per source</t>
  </si>
  <si>
    <t xml:space="preserve"> Brachytherapy source, stranded, palladium-103, per source</t>
  </si>
  <si>
    <t xml:space="preserve"> Brachytherapy source, non-stranded, palladium-103, per source</t>
  </si>
  <si>
    <t xml:space="preserve"> Brachytherapy source, stranded, cesium-131, per source</t>
  </si>
  <si>
    <t xml:space="preserve"> Brachytherapy source, non-stranded, cesium-131, per source</t>
  </si>
  <si>
    <t xml:space="preserve"> Brachytherapy source, cesium-131 chloride solution, per millicurie</t>
  </si>
  <si>
    <t xml:space="preserve"> Brachytherapy planar source, palladium-103, per square millimeter</t>
  </si>
  <si>
    <t xml:space="preserve"> Brachytherapy source, stranded, not otherwise specified, per source</t>
  </si>
  <si>
    <t xml:space="preserve"> Brachytherapy source, non-stranded, not otherwise specified, per source</t>
  </si>
  <si>
    <t xml:space="preserve"> Application of low cost skin substitute graft to trunk, arms, legs, total wound surface area up to 100 sq cm; first 25 sq cm or less wound surface area</t>
  </si>
  <si>
    <t xml:space="preserve"> Application of low cost skin substitute graft to trunk, arms, legs, total wound surface area up to 100 sq cm; each additional 25 sq cm wound surface area, or part thereof (list separately in addition to code for primary procedure)</t>
  </si>
  <si>
    <t xml:space="preserve"> Application of low cost skin substitute graft to trunk, arms, legs, total wound surface area greater than or equal to 100 sq cm; first 100 sq cm wound surface area, or 1% of body area of infants and children</t>
  </si>
  <si>
    <t xml:space="preserve"> Application of low cost skin substitute graft to trunk, arms, legs, total wound surface area greater than or equal to 100 sq cm; each additional 100 sq cm wound surface area, or part thereof, or each additional 1% of body area of infants and children, or part thereof (list separately in addition to code for primary procedure)</t>
  </si>
  <si>
    <t xml:space="preserve"> Application of low cost skin substitute graft to face, scalp, eyelids, mouth, neck, ears, orbits, genitalia, hands, feet, and/or multiple digits, total wound surface area up to 100 sq cm; first 25 sq cm or less wound surface area</t>
  </si>
  <si>
    <t xml:space="preserve"> Application of low cost skin substitute graft to face, scalp, eyelids, mouth, neck, ears, orbits, genitalia, hands, feet, and/or multiple digits, total wound surface area up to 100 sq cm; each additional 25 sq cm wound surface area, or part thereof (list separately in addition to code for primary procedure)</t>
  </si>
  <si>
    <t xml:space="preserve"> Application of low cost skin substitute graft to face, scalp, eyelids, mouth, neck, ears, orbits, genitalia, hands, feet, and/or multiple digits, total wound surface area greater than or equal to 100 sq cm; first 100 sq cm wound surface area, or 1% of body area of infants and children</t>
  </si>
  <si>
    <t xml:space="preserve"> Application of low cost skin substitute graft to face, scalp, eyelids, mouth, neck, ears, orbits, genitalia, hands, feet, and/or multiple digits, total wound surface area greater than or equal to 100 sq cm; each additional 100 sq cm wound surface area, or part thereof, or each additional 1% of body area of infants and children, or part thereof (list separately in addition to code for primary procedure)</t>
  </si>
  <si>
    <t xml:space="preserve"> Debridement, bone including epidermis, dermis, subcutaneous tissue, muscle and/or fascia, if performed, first 20 sq cm or less with manual preparation and insertion of deep (eg, subfacial) drug-delivery device(s)</t>
  </si>
  <si>
    <t xml:space="preserve"> Percutaneous breast biopsies using stereotactic guidance, with placement of breast localization device(s) (eg, clip, metallic pellet), when performed, and imaging of the biopsy specimen, when performed, all lesions unilateral and bilateral (for single lesion biopsy, use appropriate code)</t>
  </si>
  <si>
    <t xml:space="preserve"> Percutaneous breast biopsies using magnetic resonance guidance, with placement of breast localization device(s) (eg, clip, metallic pellet), when performed, and imaging of the biopsy specimen, when performed, all lesions unilateral or bilateral (for single lesion biopsy, use appropriate code)</t>
  </si>
  <si>
    <t xml:space="preserve"> Open biopsy or excision of deep cervical node(s) with intraoperative identification (eg, mapping) of sentinel lymph node(s) including injection of non-radioactive dye when performed</t>
  </si>
  <si>
    <t xml:space="preserve"> Percutaneous vertebroplasties (bone biopsies included when performed), first cervicothoracic and any additional cervicothoracic or lumbosacral vertebral bodies, unilateral or bilateral injection, inclusive of all imaging guidance</t>
  </si>
  <si>
    <t xml:space="preserve"> Percutaneous vertebroplasties (bone biopsies included when performed), first lumbosacral and any additional cervicothoracic or lumbosacral vertebral bodies, unilateral or bilateral injection, inclusive of all imaging guidance</t>
  </si>
  <si>
    <t xml:space="preserve"> Arthrodesis, interphalangeal joints, with or without internal fixation</t>
  </si>
  <si>
    <t xml:space="preserve"> Percutaneous vertebral augmentations, first thoracic and any additional thoracic or lumbar vertebral bodies, including cavity creations (fracture reductions and bone biopsies included when performed) using mechanical device (eg, kyphoplasty), unilateral or bilateral cannulations, inclusive of all imaging guidance</t>
  </si>
  <si>
    <t xml:space="preserve"> Percutaneous vertebral augmentations, first lumbar and any additional thoracic or lumbar vertebral bodies, including cavity creations (fracture reductions and bone biopsies included when performed) using mechanical device (eg, kyphoplasty), unilateral or bilateral cannulations, inclusive of all imaging guidance</t>
  </si>
  <si>
    <t xml:space="preserve"> Bronchoscopy, rigid or flexible, diagnostic with cell washing(s) when performed, with computer-assisted image-guided navigation, including fluoroscopic guidance when performed</t>
  </si>
  <si>
    <t xml:space="preserve"> Bronchoscopy, rigid or flexible, with bronchial alveolar lavage(s), with computer-assisted image-guided navigation, including fluoroscopic guidance when performed</t>
  </si>
  <si>
    <t xml:space="preserve"> Bronchoscopy, rigid or flexible, with single or multiple bronchial or endobronchial biopsy(ies), single or multiple sites, with computer-assisted image-guided navigation, including fluoroscopic guidance when performed</t>
  </si>
  <si>
    <t xml:space="preserve"> Bronchoscopy, rigid or flexible, with single or multiple bronchial or endobronchial biopsy(ies), single or multiple sites, with transendoscopic endobronchial ultrasound (ebus) during bronchoscopic diagnostic or therapeutic intervention(s) for peripheral lesion(s), including fluoroscopic guidance when performed</t>
  </si>
  <si>
    <t xml:space="preserve"> Dialysis circuit, introduction of needle(s) and/or catheter(s), with diagnostic angiography of the dialysis circuit, including all direct puncture(s) and catheter placement(s), injection(s) of contrast, all necessary imaging from the arterial anastomosis and adjacent artery through entire venous outflow including the inferior or superior vena cava, fluoroscopic guidance, with transluminal balloon angioplasty of central dialysis segment, performed through dialysis circuit, including all required imaging, radiological supervision and interpretation, image documentation and report</t>
  </si>
  <si>
    <t xml:space="preserve"> Dialysis circuit, introduction of needle(s) and/or catheter(s), with diagnostic angiography of the dialysis circuit, including all direct puncture(s) and catheter placement(s), injection(s) of contrast, all necessary imaging from the arterial anastomosis and adjacent artery through entire venous outflow including the inferior or superior vena cava, fluoroscopic guidance, with all angioplasty in the central dialysis segment, and transcatheter placement of intravascular stent(s), central dialysis segment, performed through dialysis circuit, including all required imaging, radiological supervision and interpretation, image documentation and report</t>
  </si>
  <si>
    <t xml:space="preserve"> Dialysis circuit, introduction of needle(s) and/or catheter(s), with diagnostic angiography of the dialysis circuit, including all direct puncture(s) and catheter placement(s), injection(s) of contrast, all necessary imaging from the arterial anastomosis and adjacent artery through entire venous outflow including the inferior or superior vena cava, fluoroscopic guidance, with dialysis circuit permanent endovascular embolization or occlusion of main circuit or any accessory veins, including all required imaging, radiological supervision and interpretation, image documentation and report</t>
  </si>
  <si>
    <t xml:space="preserve"> Catheter placement in coronary artery(s) for coronary angiography, including intraprocedural injection(s) for coronary angiography, with endoluminal imaging of initial coronary vessel or graft using intravascular ultrasound (ivus) or optical coherence tomography (oct) during diagnostic evaluation and/or therapeutic intervention including imaging supervision, interpretation and report</t>
  </si>
  <si>
    <t xml:space="preserve"> Catheter placement in coronary artery(s) for coronary angiography, including intraprocedural injection(s) for coronary angiography, with iliac and/or femoral artery angiography, non-selective, bilateral or ipsilateral to catheter insertion, performed at the same time as cardiac catheterization and/or coronary angiography, includes positioning or placement of the catheter in the distal aorta or ipsilateral femoral or iliac artery, injection of dye, production of permanent images, and radiologic supervision and interpretation</t>
  </si>
  <si>
    <t xml:space="preserve"> Catheter placement in coronary artery(ies) for coronary angiography, including intraprocedural injection(s) for coronary angiography, imaging supervision and interpretation, with catheter placement(s) in bypass graft(s) (internal mammary, free arterial, venous grafts) includes intraprocedural injection(s) for bypass graft angiography with iliac and/or femoral artery angiography, non-selective, bilateral or ipsilateral to catheter insertion, performed at the same time as cardiac catheterization and/or coronary angiography, includes positioning or placement of the catheter in the distal aorta or ipsilateral femoral or iliac artery, injection of dye, production of permanent images, and radiologic supervision and interpretation</t>
  </si>
  <si>
    <t xml:space="preserve"> Catheter placement in coronary artery(ies) for coronary angiography, including intraprocedural injection(s) for coronary angiography with right heart catheterization with endoluminal imaging of initial coronary vessel or graft using intravascular ultrasound (ivus) or optical coherence tomography (oct) during diagnostic evaluation and/or therapeutic intervention including imaging supervision, interpretation and report</t>
  </si>
  <si>
    <t xml:space="preserve"> Catheter placement in coronary artery(ies) for coronary angiography, including intraprocedural injection(s) for coronary angiography, imaging supervision and interpretation with right heart catheterization, with intravascular doppler velocity and/or pressure derived coronary flow reserve measurement (initial coronary vessel or graft) during coronary angiography including pharmacologically induced stress</t>
  </si>
  <si>
    <t xml:space="preserve"> Catheter placement in coronary artery(ies) for coronary angiography, including intraprocedural injection(s) for coronary angiography, imaging supervision and interpretation, with left heart catheterization including intraprocedural injection(s) for left ventriculography, when performed, with endoluminal imaging of initial coronary vessel or graft using intravascular ultrasound (ivus) or optical coherence tomography (oct) during diagnostic evaluation and/or therapeutic intervention including imaging supervision, interpretation and report</t>
  </si>
  <si>
    <t xml:space="preserve"> Catheter placement in coronary artery(ies) for coronary angiography, including intraprocedural injection(s) for coronary angiography, imaging supervision and interpretation, with left heart catheterization including intraprocedural injection(s) for left ventriculography, when performed, with intravascular doppler velocity and/or pressure derived coronary flow reserve measurement (initial coronary vessel or graft) during coronary angiography including pharmacologically induced stress</t>
  </si>
  <si>
    <t xml:space="preserve"> Catheter placement in coronary artery(ies) for coronary angiography, including intraprocedural injection(s) for coronary angiography, imaging supervision and interpretation, with left heart catheterization including intraprocedural injection(s) for left ventriculography, when performed, catheter placement(s) in bypass graft(s) (internal mammary, free arterial, venous grafts) with bypass graft angiography with endoluminal imaging of initial coronary vessel or graft using intravascular ultrasound (ivus) or optical coherence tomography (oct) during diagnostic evaluation and/or therapeutic intervention including imaging supervision, interpretation and report</t>
  </si>
  <si>
    <t xml:space="preserve"> Catheter placement in coronary artery(ies) for coronary angiography, including intraprocedural injection(s) for coronary angiography, imaging supervision and interpretation, with left heart catheterization including intraprocedural injection(s) for left ventriculography, when performed, catheter placement(s) in bypass graft(s) (internal mammary, free arterial, venous grafts) with bypass graft angiography with intravascular doppler velocity and/or pressure derived coronary flow reserve measurement (initial coronary vessel or graft) during coronary angiography including pharmacologically induced stress</t>
  </si>
  <si>
    <t xml:space="preserve"> Catheter placement in coronary artery(ies) for coronary angiography, including intraprocedural injection(s) for coronary angiography, imaging supervision and interpretation, with right and left heart catheterization including intraprocedural injection(s) for left ventriculography, when performed, with endoluminal imaging of initial coronary vessel or graft using intravascular ultrasound (ivus) or optical coherence tomography (oct) during diagnostic evaluation and/or therapeutic intervention including imaging supervision, interpretation and report</t>
  </si>
  <si>
    <t xml:space="preserve"> Catheter placement in coronary artery(ies) for coronary angiography, including intraprocedural injection(s) for coronary angiography, imaging supervision and interpretation, with right and left heart catheterization including intraprocedural injection(s) for left ventriculography, when performed, with intravascular doppler velocity and/or pressure derived coronary flow reserve measurement (initial coronary vessel or graft) during coronary angiography including pharmacologically induced stress</t>
  </si>
  <si>
    <t xml:space="preserve"> Catheter placement in coronary artery(ies) for coronary angiography, including intraprocedural injection(s) for coronary angiography, imaging supervision and interpretation, with right and left heart catheterization including intraprocedural injection(s) for left ventriculography, when performed, catheter placement(s) in bypass graft(s) (internal mammary, free arterial, venous grafts) with bypass graft angiography with intravascular doppler velocity and/or pressure derived coronary flow reserve measurement (initial coronary vessel or graft) during coronary angiography including pharmacologically induced stress</t>
  </si>
  <si>
    <t xml:space="preserve"> Dialysis circuit, introduction of needle(s) and/or catheter(s), with diagnostic angiography of the dialysis circuit, including all direct puncture(s) and catheter placement(s), injection(s) of contrast, all necessary imaging from the arterial anastomosis and adjacent artery through entire venous outflow including the inferior or superior vena cava, fluoroscopic guidance, with transluminal balloon angioplasty, peripheral dialysis segment, including all imaging and radiological supervision and interpretation necessary to perform the angioplasty and all angioplasty in the central dialysis segment, with transcatheter placement of intravascular stent(s), central dialysis segment, performed through dialysis circuit, including all imaging, radiological supervision and interpretation, documentation and report</t>
  </si>
  <si>
    <t xml:space="preserve"> Revascularization, endovascular, open or percutaneous, femoral, popliteal artery(ies), unilateral, with transluminal angioplasty with intravascular ultrasound (initial noncoronary vessel) during diagnostic evaluation and/or therapeutic intervention, including radiological supervision and interpretation</t>
  </si>
  <si>
    <t xml:space="preserve"> Transluminal balloon angioplasty (except lower extremity artery(ies) for occlusive disease, intracranial, coronary, pulmonary, or dialysis circuit), initial artery, open or percutaneous, including all imaging and radiological supervision and interpretation necessary to perform the angioplasty within the same artery, with intravascular ultrasound (initial noncoronary vessel) during diagnostic evaluation and/or therapeutic intervention, including radiological supervision and interpretation</t>
  </si>
  <si>
    <t xml:space="preserve"> Percutaneous transluminal coronary angioplasty, single major coronary artery or branch with transcatheter placement of radiation delivery device for subsequent coronary intravascular brachytherapy</t>
  </si>
  <si>
    <t xml:space="preserve"> Revascularization, endovascular, open or percutaneous, femoral, popliteal artery(ies), unilateral, with transluminal stent placement(s), includes angioplasty within the same vessel, when performed, with intravascular ultrasound (initial noncoronary vessel) during diagnostic evaluation and/or therapeutic intervention, including radiological supervision and interpretation</t>
  </si>
  <si>
    <t xml:space="preserve"> Insertion of new or replacement of permanent pacemaker with atrial transvenous electrode(s), with insertion of pacing electrode, cardiac venous system, for left ventricular pacing, at time of insertion of implantable debribrillator or pacemake pulse generator (eg, for upgrade to dual chamber system)</t>
  </si>
  <si>
    <t xml:space="preserve"> Insertion of new or replacement of permanent pacemaker with ventricular transvenous electrode(s), with insertion of pacing electrode, cardiac venous system, for left ventricular pacing, at time of insertion of implantable defribrillator or pacemaker pulse generator (eg, for upgrade to dual chamber system)</t>
  </si>
  <si>
    <t xml:space="preserve"> Insertion of new or replacement of permanent pacemaker with atrial and ventricular transvenous electrode(s), with insertion of pacing electrode, cardiac venous system, for left ventricular pacing, at time of insertion of implantable defibrillator or pacemaker pulse generator (eg, for upgrade to dual chamber system)</t>
  </si>
  <si>
    <t xml:space="preserve"> Removal of permanent pacemaker pulse generator with replacement of pacemaker pulse generator, dual lead system, with insertion of pacing electrode, cardiac venous system, for left ventricular pacing, at time of insertion of implantable defibrillator or pacemaker pulse generator (eg, for upgrade to dual chamber system)</t>
  </si>
  <si>
    <t xml:space="preserve"> Percutaneous exchange of biliary drainage catheter (eg, external, internal-external, or conversion of internal-external to external only), with removal of calculi/debris from biliary duct(s) and/or gallbladder, including destruction of calculi by any method (eg, mechanical, electrohydraulic, lithotripsy) when performed, including diagnostic cholangiography(ies) when performed, imaging guidance (eg, fluoroscopy), and all associated radiological supervision and interpretation</t>
  </si>
  <si>
    <t xml:space="preserve"> Convert nephrostomy catheter to nephroureteral catheter, percutaneous via pre-existing nephrostomy tract, with ureteral stricture balloon dialation, including diagnostic nephrostogram and/or ureterogram when performed, imaging guidance (eg, ultrasound and/or fluoroscopy) and all associated radiological supervision and interpretation</t>
  </si>
  <si>
    <t xml:space="preserve"> Exchange nephrostomy catheter, percutaneous, with ureteral stricture balloon dilation, including diagnostic nephrostogram and/or ureterogram when performed, imaging guidance (eg, ultrasound and/or fluoroscopy) and all associated radiological supervision and interpretation</t>
  </si>
  <si>
    <t xml:space="preserve"> Cystourethroscopy, with biopsy(ies) with adjuctive blue light cystoscopy with fluorescent imaging agent</t>
  </si>
  <si>
    <t xml:space="preserve"> Excision of major peripheral nerve neuroma, except sciatic, with implantation of nerve end into bone or muscle</t>
  </si>
  <si>
    <t xml:space="preserve"> Cystourethroscopy with adjunctive blue light cystoscopy with fluorescent imaging agent</t>
  </si>
  <si>
    <t xml:space="preserve"> Bronchoscopy, rigid or flexible, with bronchial alveolar lavage and transendoscopic endobronchial ultrasound (ebus) during bronchoscopic diagnostic or therapeutic intervention(s) for peripheral lesion(s), including fluoroscopic guidance, when performed</t>
  </si>
  <si>
    <t xml:space="preserve"> Catheter placement in coronary artery(s) for coronary angiography, including intraprocedural injection(s) for coronary angiography, imaging supervision and interpretation with left heart catheterization including intraprocedural injection(s) for left ventriculography, when performed and intraprocedural coronary fractional flow reserve (ffr) with 3d functional mapping of color-coded ffr values for the coronary tree, derived from coronary angiogram data, for real-time review and interpretation of possible atherosclerotic stenosis(es) intervention</t>
  </si>
  <si>
    <t xml:space="preserve"> 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catheter placement(s) in bypass graft(s) (internal mammary, free arterial, venous grafts) with bypass graft angiography with pharmacologic agent administration (eg, inhaled nitric oxide, intravenous infusion of nitroprusside, dobutamine, milrinone, or other agent) including assessing hemodynamic measurements before, during, after and repeat pharmacologic agent administration, when performed</t>
  </si>
  <si>
    <t xml:space="preserve"> Endoscopic retrograde cholangiopancreatography (ercp) with removal of foreign body(s) or stent(s) from biliary/pancreatic duct(s) and endoscopic cannulation of papilla with direct visualization of pancreatic/common bile duct(s)</t>
  </si>
  <si>
    <t xml:space="preserve"> Magnetic resonance angiography with contrast, abdomen</t>
  </si>
  <si>
    <t xml:space="preserve"> Magnetic resonance angiography without contrast, abdomen</t>
  </si>
  <si>
    <t xml:space="preserve"> Magnetic resonance angiography without contrast followed by with contrast, abdomen</t>
  </si>
  <si>
    <t xml:space="preserve"> Magnetic resonance imaging with contrast, breast; unilateral</t>
  </si>
  <si>
    <t xml:space="preserve"> Magnetic resonance imaging without contrast followed by with contrast, breast; unilateral</t>
  </si>
  <si>
    <t xml:space="preserve"> Magnetic resonance imaging with contrast, breast; bilateral</t>
  </si>
  <si>
    <t xml:space="preserve"> Magnetic resonance imaging without contrast followed by with contrast, breast; bilateral</t>
  </si>
  <si>
    <t xml:space="preserve"> Magnetic resonance angiography with contrast, chest (excluding myocardium)</t>
  </si>
  <si>
    <t xml:space="preserve"> Magnetic resonance angiography without contrast, chest (excluding myocardium)</t>
  </si>
  <si>
    <t xml:space="preserve"> Magnetic resonance angiography without contrast followed by with contrast, chest (excluding myocardium)</t>
  </si>
  <si>
    <t xml:space="preserve"> Magnetic resonance angiography with contrast, lower extremity</t>
  </si>
  <si>
    <t xml:space="preserve"> Magnetic resonance angiography without contrast, lower extremity</t>
  </si>
  <si>
    <t xml:space="preserve"> Magnetic resonance angiography without contrast followed by with contrast, lower extremity</t>
  </si>
  <si>
    <t xml:space="preserve"> Magnetic resonance angiography with contrast, pelvis</t>
  </si>
  <si>
    <t xml:space="preserve"> Magnetic resonance angiography without contrast, pelvis</t>
  </si>
  <si>
    <t xml:space="preserve"> Magnetic resonance angiography without contrast followed by with contrast, pelvis</t>
  </si>
  <si>
    <t xml:space="preserve"> Magnetic resonance angiography with contrast, spinal canal and contents</t>
  </si>
  <si>
    <t xml:space="preserve"> Magnetic resonance angiography without contrast, spinal canal and contents</t>
  </si>
  <si>
    <t xml:space="preserve"> Magnetic resonance angiography without contrast followed by with contrast, spinal canal and contents</t>
  </si>
  <si>
    <t xml:space="preserve"> Magnetic resonance angiography with contrast, upper extremity</t>
  </si>
  <si>
    <t xml:space="preserve"> Magnetic resonance angiography without contrast, upper extremity</t>
  </si>
  <si>
    <t xml:space="preserve"> Magnetic resonance angiography without contrast followed by with contrast, upper extremity</t>
  </si>
  <si>
    <t xml:space="preserve"> Intravenous infusion for therapy/diagnosis; initiation of prolonged infusion (more than 8 hours), requiring use of portable or implantable pump</t>
  </si>
  <si>
    <t xml:space="preserve"> Cocaine hydrochloride nasal solution (goprelto), 1 mg</t>
  </si>
  <si>
    <t xml:space="preserve"> Injection, caplacizumab-yhdp, 1 mg</t>
  </si>
  <si>
    <t xml:space="preserve"> Gallium ga-68, dotatoc, diagnostic, 0.01 mci</t>
  </si>
  <si>
    <t xml:space="preserve"> Instillation, bupivacaine and meloxicam, 1 mg/0.03 mg</t>
  </si>
  <si>
    <t xml:space="preserve"> Bupivacaine, collagen-matrix implant, 1 mg</t>
  </si>
  <si>
    <t xml:space="preserve"> Injection, oliceridine, 0.1 mg</t>
  </si>
  <si>
    <t>INJECTION, PANTOPRAZOLE SODIUM, PER VIAL</t>
  </si>
  <si>
    <t xml:space="preserve"> Cocaine hydrochloride nasal solution (numbrino), 1 mg</t>
  </si>
  <si>
    <t xml:space="preserve"> Injection, bupivacaine (posimir), 1 mg</t>
  </si>
  <si>
    <t xml:space="preserve"> Injection, aprepitant, (aponvie), 1 mg</t>
  </si>
  <si>
    <t xml:space="preserve"> Xenon xe-129 hyperpolarized gas, diagnostic, per study dose</t>
  </si>
  <si>
    <t>INJECTION, PROTHROMBIN COMPLEX CONCENTRATE (HUMAN), BALFAXAR, PER I.U. OF FACTOR IX ACTIVITY</t>
  </si>
  <si>
    <t>INJECTION, DAXIBOTULINUMTOXINA-LANM, 1 UNIT</t>
  </si>
  <si>
    <t>C9161</t>
  </si>
  <si>
    <t>INJECTION, AFLIBERCEPT HD, 1 MG</t>
  </si>
  <si>
    <t>C9162</t>
  </si>
  <si>
    <t>INJECTION, AVACINCAPTAD PEGOL, 0.1 MG</t>
  </si>
  <si>
    <t>C9163</t>
  </si>
  <si>
    <t>INJECTION, TALQUETAMAB-TGVS, 0.25 MG</t>
  </si>
  <si>
    <t>C9164</t>
  </si>
  <si>
    <t>CANTHARIDIN FOR TOPICAL ADMINISTRATION, 0.7%, SINGLE UNIT DOSE APPLICATOR (3.2 MG)</t>
  </si>
  <si>
    <t>C9165</t>
  </si>
  <si>
    <t>INJECTION, ELRANATAMAB-BCMM, 1 MG</t>
  </si>
  <si>
    <t xml:space="preserve"> Injection, clevidipine butyrate, 1 mg</t>
  </si>
  <si>
    <t xml:space="preserve"> Human plasma fibrin sealant, vapor-heated, solvent-detergent (artiss), 2 ml</t>
  </si>
  <si>
    <t xml:space="preserve"> Injection, lacosamide, 1 mg</t>
  </si>
  <si>
    <t xml:space="preserve"> Injection, bevacizumab, 0.25 mg</t>
  </si>
  <si>
    <t xml:space="preserve"> Lidocaine 70 mg/tetracaine 70 mg, per patch</t>
  </si>
  <si>
    <t xml:space="preserve"> Injection, bupivacaine liposome, 1 mg</t>
  </si>
  <si>
    <t xml:space="preserve"> Injection, glucarpidase, 10 units</t>
  </si>
  <si>
    <t xml:space="preserve"> Microporous collagen implantable tube (neuragen nerve guide), per centimeter length</t>
  </si>
  <si>
    <t xml:space="preserve"> Microporous collagen implantable slit tube (neurawrap nerve protector), per centimeter length</t>
  </si>
  <si>
    <t xml:space="preserve"> Acellular pericardial tissue matrix of non-human origin (veritas), per square centimeter</t>
  </si>
  <si>
    <t xml:space="preserve"> Collagen nerve cuff (neuromatrix), per 0.5 centimeter length</t>
  </si>
  <si>
    <t xml:space="preserve"> Tendon, porous matrix of cross-linked collagen and glycosaminoglycan matrix (tenoglide tendon protector sheet), per square centimeter</t>
  </si>
  <si>
    <t xml:space="preserve"> Dermal substitute, native, non-denatured collagen, fetal bovine origin (surgimend collagen matrix), per 0.5 square centimeters</t>
  </si>
  <si>
    <t xml:space="preserve"> Porous purified collagen matrix bone void filler (integra mozaik osteoconductive scaffold putty, integra os osteoconductive scaffold putty), per 0.5 cc</t>
  </si>
  <si>
    <t xml:space="preserve"> Dermal substitute, native, non-denatured collagen, neonatal bovine origin (surgimend collagen matrix), per 0.5 square centimeters</t>
  </si>
  <si>
    <t xml:space="preserve"> Collagen matrix nerve wrap (neuromend collagen nerve wrap), per 0.5 centimeter length</t>
  </si>
  <si>
    <t xml:space="preserve"> Porous purified collagen matrix bone void filler (integra mozaik osteoconductive scaffold strip), per 0.5 cc</t>
  </si>
  <si>
    <t xml:space="preserve"> Skin substitute, integra meshed bilayer wound matrix, per square centimeter</t>
  </si>
  <si>
    <t xml:space="preserve"> Porcine implant, permacol, per square centimeter</t>
  </si>
  <si>
    <t xml:space="preserve"> Unclassified drugs or biologicals</t>
  </si>
  <si>
    <t xml:space="preserve"> Injection, cangrelor, 1 mg</t>
  </si>
  <si>
    <t xml:space="preserve"> Injection, delafloxacin, 1 mg</t>
  </si>
  <si>
    <t xml:space="preserve"> Injection, sotalol hydrochloride, 1 mg</t>
  </si>
  <si>
    <t xml:space="preserve"> Injection, conivaptan hydrochloride, 1 mg</t>
  </si>
  <si>
    <t xml:space="preserve"> Percutaneous transcatheter placement of drug eluting intracoronary stent(s), with coronary angioplasty when performed; single major coronary artery or branch</t>
  </si>
  <si>
    <t xml:space="preserve"> Percutaneous transcatheter placement of drug-eluting intracoronary stent(s), with coronary angioplasty when performed; each additional branch of a major coronary artery (list separately in addition to code for primary procedure)</t>
  </si>
  <si>
    <t xml:space="preserve"> Creations of thermal anal lesions by radiofrequency energy</t>
  </si>
  <si>
    <t xml:space="preserve"> Placement of endorectal intracavitary applicator for high intensity brachytherapy</t>
  </si>
  <si>
    <t xml:space="preserve"> Placement and removal (if performed) of applicator into breast for intraoperative radiation therapy, add-on to primary breast procedure</t>
  </si>
  <si>
    <t xml:space="preserve"> Insertion of implants into the soft palate; minimum of three implants</t>
  </si>
  <si>
    <t xml:space="preserve"> Placement of interstitial device(s) for radiation therapy/surgery guidance (e.g., fiducial markers, dosimeter), for other than the following sites (any approach): abdomen, pelvis, prostate, retroperitoneum, thorax, single or multiple</t>
  </si>
  <si>
    <t xml:space="preserve"> Focused ultrasound ablation/therapeutic intervention, other than uterine leiomyomata, with magnetic resonance (mr) guidance</t>
  </si>
  <si>
    <t xml:space="preserve"> Adjunctive blue light cystoscopy with fluorescent imaging agent  (list separately in addition to code for primary procedure)</t>
  </si>
  <si>
    <t xml:space="preserve"> Cystourethroscopy, with insertion of transprostatic implant; 1 to 3 implants</t>
  </si>
  <si>
    <t xml:space="preserve"> Cystourethroscopy, with insertion of transprostatic implant; 4 or more implants</t>
  </si>
  <si>
    <t xml:space="preserve"> 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t>
  </si>
  <si>
    <t xml:space="preserve"> Transcatheter intraoperative blood vessel microinfusion(s) (e.g., intraluminal, vascular wall and/or perivascular) therapy, any vessel, including radiological supervision and interpretation, when performed</t>
  </si>
  <si>
    <t xml:space="preserve"> Cystourethroscopy, with ureteroscopy and/or pyeloscopy, with lithotripsy, and ureteral catheterization for steerable vacuum aspiration of the kidney, collecting system, ureter, bladder, and urethra if applicable (must use a steerable ureteral catheter)</t>
  </si>
  <si>
    <t xml:space="preserve"> Cardiac magnetic resonance imaging for morphology and function, quantification of segmental dysfunction; with strain imaging</t>
  </si>
  <si>
    <t xml:space="preserve"> Cardiac magnetic resonance imaging for morphology and function, quantification of segmental dysfunction; with stress imaging</t>
  </si>
  <si>
    <t xml:space="preserve"> Revascularization, endovascular, open or percutaneous, lower extremity artery(ies), except tibial/peroneal; with intravascular lithotripsy, includes angioplasty within the same vessel(s), when performed</t>
  </si>
  <si>
    <t xml:space="preserve"> Revascularization, endovascular, open or percutaneous, lower extremity artery(ies), except tibial/peroneal; with intravascular lithotripsy, and transluminal stent placement(s), includes angioplasty within the same vessel(s), when performed</t>
  </si>
  <si>
    <t xml:space="preserve"> Revascularization, endovascular, open or percutaneous, lower extremity artery(ies), except tibial/peroneal; with intravascular lithotripsy and atherectomy, includes angioplasty within the same vessel(s), when performed</t>
  </si>
  <si>
    <t xml:space="preserve"> Revascularization, endovascular, open or percutaneous, lower extremity artery(ies), except tibial/peroneal; with intravascular lithotripsy and transluminal stent placement(s), and atherectomy, includes angioplasty within the same vessel(s), when performed</t>
  </si>
  <si>
    <t xml:space="preserve"> Cystourethroscopy, with insertion of temporary prostatic implant/stent with fixation/anchor and incisional struts</t>
  </si>
  <si>
    <t xml:space="preserve"> Revascularization, endovascular, open or percutaneous, tibial/peroneal artery(ies), with intravascular lithotripsy, includes angioplasty within the same vessel (s), when performed</t>
  </si>
  <si>
    <t xml:space="preserve"> Revascularization, endovascular, open or percutaneous,  tibial/peroneal artery(ies); with intravascular lithotripsy, and transluminal stent placement(s), includes angioplasty  within the same vessel(s), when performed</t>
  </si>
  <si>
    <t xml:space="preserve"> Revascularization, endovascular, open or percutaneous, tibial/peroneal artery(ies); with intravascular lithotripsy and atherectomy, includes angioplasty within the same vessel (s), when performed</t>
  </si>
  <si>
    <t xml:space="preserve"> Revascularization, endovascular, open or percutaneous, tibial/peroneal artery(ies); with intravascular lithotripsy and transluminal stent placement(s), and atherectomy, includes angioplasty within the same vessel (s), when performed</t>
  </si>
  <si>
    <t xml:space="preserve"> Intraoperative near-infrared fluorescence imaging of major extra-hepatic bile duct(s) (e.g., cystic duct, common bile duct and common hepatic duct) with intravenous administration of indocyanine green (icg) (list separately in addition to code for primary procedure)</t>
  </si>
  <si>
    <t xml:space="preserve"> Esophageal mucosal integrity testing by electrical impedance, transoral, includes esophagoscopy or esophagogastroduodenoscopy</t>
  </si>
  <si>
    <t xml:space="preserve"> Colpopexy, vaginal; minimally invasive extra-peritoneal approach (sacrospinous)</t>
  </si>
  <si>
    <t xml:space="preserve"> Arthroscopy, shoulder, surgical; with implantation of subacromial spacer (e.g., balloon), includes debridement (e.g., limited or extensive), subacromial decompression, acromioplasty, and biceps tenodesis when performed</t>
  </si>
  <si>
    <t xml:space="preserve"> Instillation of anti-neoplastic pharmacologic/biologic agent into renal pelvis, any method, including all imaging guidance, including volumetric measurement if performed</t>
  </si>
  <si>
    <t xml:space="preserve"> Histotripsy (ie, non-thermal ablation via acoustic energy delivery) of malignant renal tissue, including image guidance</t>
  </si>
  <si>
    <t xml:space="preserve"> Therapeutic radiology simulation-aided field setting; complex, including acquisition of pet and ct imaging data required for radiopharmaceutical-directed radiation therapy treatment planning (i.e., modeling)</t>
  </si>
  <si>
    <t xml:space="preserve"> Periodic oral evaluation - established patient</t>
  </si>
  <si>
    <t xml:space="preserve"> Limited oral evaluation - problem focused</t>
  </si>
  <si>
    <t xml:space="preserve"> Oral evaluation for a patient under three years of age and counseling with primary caregiver</t>
  </si>
  <si>
    <t xml:space="preserve"> Comprehensive oral evaluation - new or established patient</t>
  </si>
  <si>
    <t xml:space="preserve"> Detailed and extensive oral evaluation - problem focused, by report</t>
  </si>
  <si>
    <t xml:space="preserve"> Re-evaluation-limited, problem focused (established patient; not post-operative visit)</t>
  </si>
  <si>
    <t xml:space="preserve"> Re-evaluation - post-operative office visit</t>
  </si>
  <si>
    <t xml:space="preserve"> Comprehensive periodontal evaluation - new or established patient</t>
  </si>
  <si>
    <t xml:space="preserve"> Assessment of a patient</t>
  </si>
  <si>
    <t xml:space="preserve"> Intraoral - comprehensive series of radiographic images</t>
  </si>
  <si>
    <t xml:space="preserve"> Intraoral - periapical first radiographic image</t>
  </si>
  <si>
    <t xml:space="preserve"> Intraoral - periapical each additional radiographic image</t>
  </si>
  <si>
    <t xml:space="preserve"> Intraoral - occlusal radiographic image</t>
  </si>
  <si>
    <t xml:space="preserve"> Extra-oral - 2d projection radiographic image created using a stationary radiation source, and detector</t>
  </si>
  <si>
    <t xml:space="preserve"> Extra-oral posterior dental radiographic image</t>
  </si>
  <si>
    <t xml:space="preserve"> Bitewing - single radiographic image</t>
  </si>
  <si>
    <t xml:space="preserve"> Bitewings - two radiographic images</t>
  </si>
  <si>
    <t xml:space="preserve"> Bitewings - three radiographic images</t>
  </si>
  <si>
    <t xml:space="preserve"> Bitewings - four radiographic images</t>
  </si>
  <si>
    <t xml:space="preserve"> Vertical bitewings - 7 to 8 radiographic images</t>
  </si>
  <si>
    <t xml:space="preserve"> Panoramic radiographic image</t>
  </si>
  <si>
    <t xml:space="preserve"> 2d cephalometric radiographic image - acquisition, measurement and analysis</t>
  </si>
  <si>
    <t xml:space="preserve"> 2d oral/facial photographic image obtained intra-orally or extra-orally</t>
  </si>
  <si>
    <t xml:space="preserve"> Cone beam ct capture and interpretation with field of view of both jaws, with or without cranium</t>
  </si>
  <si>
    <t xml:space="preserve"> Cone beam ct image capture with field of view of both jaws, with or without cranium</t>
  </si>
  <si>
    <t xml:space="preserve"> Virtual treatment simulation using 3d image volume or surface scan</t>
  </si>
  <si>
    <t xml:space="preserve"> Prophylaxis - adult</t>
  </si>
  <si>
    <t xml:space="preserve"> Prophylaxis - child</t>
  </si>
  <si>
    <t xml:space="preserve"> Sealant-per tooth</t>
  </si>
  <si>
    <t xml:space="preserve"> Application of caries arresting medicament - per tooth</t>
  </si>
  <si>
    <t xml:space="preserve"> Space maintainer - fixed, unilateral - per quadrant</t>
  </si>
  <si>
    <t xml:space="preserve"> Space maintainer - removable, unilateral - per quadrant</t>
  </si>
  <si>
    <t xml:space="preserve"> Amalgam-one surface, primary or permanent</t>
  </si>
  <si>
    <t xml:space="preserve"> Amalgam-two surfaces, primary or permanent</t>
  </si>
  <si>
    <t xml:space="preserve"> Amalgam-three surfaces, primary or permanent</t>
  </si>
  <si>
    <t xml:space="preserve"> Amalgam-four or more surfaces, primary or permanent</t>
  </si>
  <si>
    <t xml:space="preserve"> Resin-one surface, anterior</t>
  </si>
  <si>
    <t xml:space="preserve"> Resin-two surfaces, anterior</t>
  </si>
  <si>
    <t xml:space="preserve"> Resin-three surfaces, anterior</t>
  </si>
  <si>
    <t xml:space="preserve"> Resin-based composite - four or more surfaces (anterior)</t>
  </si>
  <si>
    <t xml:space="preserve"> Resin-based composite crown, anterior</t>
  </si>
  <si>
    <t xml:space="preserve"> Resin-based composite - one surface, posterior</t>
  </si>
  <si>
    <t xml:space="preserve"> Resin-based composite - two surfaces, posterior</t>
  </si>
  <si>
    <t xml:space="preserve"> Resin-based composite - three surfaces, posterior</t>
  </si>
  <si>
    <t xml:space="preserve"> Resin-based composite - four or more surfaces, posterior</t>
  </si>
  <si>
    <t xml:space="preserve"> Crown - porcelain/ceramic</t>
  </si>
  <si>
    <t xml:space="preserve"> Crown-porcelain fused to high noble metal</t>
  </si>
  <si>
    <t xml:space="preserve"> Crown-porcelain fused to predominantly base metal</t>
  </si>
  <si>
    <t xml:space="preserve"> Crown-porcelain fused to noble metal</t>
  </si>
  <si>
    <t xml:space="preserve"> Crown-full cast predominantly base metal</t>
  </si>
  <si>
    <t xml:space="preserve"> Interim crown - further treatment or completion of diagnosis necessary prior to final impression</t>
  </si>
  <si>
    <t xml:space="preserve"> Re-cement or re-bond crown</t>
  </si>
  <si>
    <t xml:space="preserve"> Prefabricated porcelain/ceramic crown - primary tooth</t>
  </si>
  <si>
    <t xml:space="preserve"> Prefabricated stainless steel crown-primary tooth</t>
  </si>
  <si>
    <t xml:space="preserve"> Prefabricated stainless steel crown-permanent tooth</t>
  </si>
  <si>
    <t xml:space="preserve"> Prefabricated resin crown</t>
  </si>
  <si>
    <t xml:space="preserve"> Prefabricated stainless steel crown with resin window</t>
  </si>
  <si>
    <t xml:space="preserve"> Prefabricated esthetic coated stainless steel crown - primary tooth</t>
  </si>
  <si>
    <t xml:space="preserve"> Protective restoration</t>
  </si>
  <si>
    <t xml:space="preserve"> Interim therapeutic restoration - primary dentition</t>
  </si>
  <si>
    <t xml:space="preserve"> Core build-up, including any pins when required</t>
  </si>
  <si>
    <t xml:space="preserve"> Pin retention-per tooth, in addition to restoration</t>
  </si>
  <si>
    <t xml:space="preserve"> Post and core in addition to crown, indirectly fabricated</t>
  </si>
  <si>
    <t xml:space="preserve"> Prefabricated post and core in addition to crown</t>
  </si>
  <si>
    <t xml:space="preserve"> Pulp cap-direct (excluding final restoration)</t>
  </si>
  <si>
    <t xml:space="preserve"> Pulp cap-indirect  (excluding final restoration)</t>
  </si>
  <si>
    <t xml:space="preserve"> Therapeutic pulpotomy (excluding final restoration)  removal of pulp coronal to the dentinocemental junction and application of medicament</t>
  </si>
  <si>
    <t xml:space="preserve"> Pulpal debridement, primary and permanent teeth</t>
  </si>
  <si>
    <t xml:space="preserve"> Partial pulpotomy for apexogenesis - permanent tooth with incomplete root development</t>
  </si>
  <si>
    <t xml:space="preserve"> Pulpal therapy (resorbable filling)-anterior, primary tooth (excluding final restoration)</t>
  </si>
  <si>
    <t xml:space="preserve"> Pulpal therapy (resorbable filling)-posterior, primary tooth (excluding final restoration)</t>
  </si>
  <si>
    <t xml:space="preserve"> Endodontic therapy, anterior tooth (excluding final restoration)</t>
  </si>
  <si>
    <t xml:space="preserve"> Endodontic therapy, premolar tooth (excluding final restoration)</t>
  </si>
  <si>
    <t xml:space="preserve"> Endodontic therapy, molar tooth (excluding final restoration)</t>
  </si>
  <si>
    <t xml:space="preserve"> Apicoectomy - anterior</t>
  </si>
  <si>
    <t xml:space="preserve"> Apicoectomy - premolar (first root)</t>
  </si>
  <si>
    <t xml:space="preserve"> Apicoectomy - molar (first root)</t>
  </si>
  <si>
    <t xml:space="preserve"> Apicoectomy (each additional root)</t>
  </si>
  <si>
    <t xml:space="preserve"> Endodontic endosseous implant</t>
  </si>
  <si>
    <t xml:space="preserve"> Surgical procedure for isolation of tooth with rubber dam</t>
  </si>
  <si>
    <t xml:space="preserve"> Gingivectomy or gingivoplasty - four or more contiguous teeth or tooth bounded spaces per quadrant</t>
  </si>
  <si>
    <t xml:space="preserve"> Gingivectomy or gingivoplasty - one to three contiguous teeth or tooth bounded spaces per quadrant</t>
  </si>
  <si>
    <t xml:space="preserve"> Gingivectomy or gingivoplasty to allow access for restorative procedure, per tooth</t>
  </si>
  <si>
    <t xml:space="preserve"> Osseous surgery (including elevation of a full thickness flap entry and closure) - four or more contiguous teeth or tooth bounded spaces per quadrant</t>
  </si>
  <si>
    <t xml:space="preserve"> Bone replacement graft - retained natural tooth - first site in quadrant</t>
  </si>
  <si>
    <t xml:space="preserve"> Pedicle soft tissue graft procedure</t>
  </si>
  <si>
    <t xml:space="preserve"> Autogenous connective tissue graft procedure (including donor and recipient surgical sites) first tooth, implant, or edentulous tooth position in graft</t>
  </si>
  <si>
    <t xml:space="preserve"> Periodontal scaling and root planing - four or more teeth per quadrant</t>
  </si>
  <si>
    <t xml:space="preserve"> Periodontal scaling and root planing - one to three teeth, per quadrant</t>
  </si>
  <si>
    <t xml:space="preserve"> Scaling in presence of generalized moderate or severe gingival inflammation - full mouth, after oral evaluation</t>
  </si>
  <si>
    <t xml:space="preserve"> Full mouth debridement to enable a comprehensive periodontal evaluation and diagnosis on a subsequent visit</t>
  </si>
  <si>
    <t xml:space="preserve"> Localized delivery of antimicrobial agents via controlled release vehicle into diseased crevicular tissue, per tooth</t>
  </si>
  <si>
    <t xml:space="preserve"> Periodontal maintenance</t>
  </si>
  <si>
    <t xml:space="preserve"> Replace missing or broken teeth-complete denture (each tooth)</t>
  </si>
  <si>
    <t xml:space="preserve"> Replace broken teeth-per tooth</t>
  </si>
  <si>
    <t xml:space="preserve"> Reline complete maxillary denture (indirect)</t>
  </si>
  <si>
    <t xml:space="preserve"> Reline complete mandibular denture (indirect)</t>
  </si>
  <si>
    <t xml:space="preserve"> Interim partial denture (including retentive/clasping materials, rests, and teeth), maxillary</t>
  </si>
  <si>
    <t xml:space="preserve"> Interim partial denture (including retentive/clasping materials, rests, and teeth), mandibular</t>
  </si>
  <si>
    <t xml:space="preserve"> Nasal prosthesis</t>
  </si>
  <si>
    <t xml:space="preserve"> Auricular prosthesis</t>
  </si>
  <si>
    <t xml:space="preserve"> Facial prosthesis</t>
  </si>
  <si>
    <t xml:space="preserve"> Obturator prosthesis, surgical</t>
  </si>
  <si>
    <t xml:space="preserve"> Obturator prosthesis, definitive</t>
  </si>
  <si>
    <t xml:space="preserve"> Mandibular resection prosthesis with guide flange</t>
  </si>
  <si>
    <t xml:space="preserve"> Speech aid prosthesis, pediatric</t>
  </si>
  <si>
    <t xml:space="preserve"> Speech aid prosthesis, adult</t>
  </si>
  <si>
    <t xml:space="preserve"> Palatal augmentation prosthesis</t>
  </si>
  <si>
    <t xml:space="preserve"> Palatal lift prosthesis, definitive</t>
  </si>
  <si>
    <t xml:space="preserve"> Surgical splint</t>
  </si>
  <si>
    <t xml:space="preserve"> Unspecified maxillofacial prosthesis, by report</t>
  </si>
  <si>
    <t xml:space="preserve"> Extraction, coronal remnants - primary tooth</t>
  </si>
  <si>
    <t xml:space="preserve"> Extraction, erupted tooth or exposed root (elevation and/or forceps removal)</t>
  </si>
  <si>
    <t xml:space="preserve"> Extraction, erupted tooth requiring removal of bone and/or sectioning of tooth, and including elevation of mucoperiosteal flap if indicated</t>
  </si>
  <si>
    <t xml:space="preserve"> Removal of impacted tooth-soft tissue</t>
  </si>
  <si>
    <t xml:space="preserve"> Removal of impacted tooth-partially bony</t>
  </si>
  <si>
    <t xml:space="preserve"> Removal of impacted tooth-completely bony</t>
  </si>
  <si>
    <t xml:space="preserve"> Removal of impacted tooth-completely bony, with unusual surgical complications</t>
  </si>
  <si>
    <t xml:space="preserve"> Removal of residual tooth roots (cutting procedure)</t>
  </si>
  <si>
    <t xml:space="preserve"> Oral antral fistula closure</t>
  </si>
  <si>
    <t xml:space="preserve"> Tooth reimplantation and/or stabilization of accidentally evulsed or displaced tooth</t>
  </si>
  <si>
    <t xml:space="preserve"> Exposure of an unerupted tooth</t>
  </si>
  <si>
    <t xml:space="preserve"> Alveoloplasty in conjunction with extractions - four or more teeth or tooth spaces, per quadrant</t>
  </si>
  <si>
    <t xml:space="preserve"> Alveoloplasty in conjunction with extractions - one to three teeth or tooth spaces, per quadrant</t>
  </si>
  <si>
    <t xml:space="preserve"> Alveoloplasty not in conjunction with extractions - four or more teeth or tooth spaces, per quadrant</t>
  </si>
  <si>
    <t xml:space="preserve"> Excision of benign lesion up to 1.25 cm</t>
  </si>
  <si>
    <t xml:space="preserve"> Excision of benign lesion greater than 1.25 cm</t>
  </si>
  <si>
    <t xml:space="preserve"> Removal of torus palatinus</t>
  </si>
  <si>
    <t xml:space="preserve"> Removal of torus mandibularis</t>
  </si>
  <si>
    <t xml:space="preserve"> Incision and drainage of abscess-intraoral soft tissue</t>
  </si>
  <si>
    <t xml:space="preserve"> Incision and drainage of abscess - intraoral soft tissue - complicated (includes drainage of multiple fascial spaces)</t>
  </si>
  <si>
    <t xml:space="preserve"> Incision and drainage of abscess-extraoral soft tissue</t>
  </si>
  <si>
    <t xml:space="preserve"> Removal of foreign body from mucosa, skin, or subcutaneous alveolar tissue</t>
  </si>
  <si>
    <t xml:space="preserve"> Partial ostectomy/sequestrectomy for removal of non-vital bone</t>
  </si>
  <si>
    <t xml:space="preserve"> Occlusal orthotic appliance</t>
  </si>
  <si>
    <t xml:space="preserve"> Suture of recent small wounds up to 5 cm</t>
  </si>
  <si>
    <t xml:space="preserve"> Placement of intra-socket biological dressing to aid in hemostasis or clot stabilization, per site</t>
  </si>
  <si>
    <t xml:space="preserve"> Osseous, osteoperiosteal, or cartilage graft of the mandible or maxilla - autogenous or nonautogenous, by report</t>
  </si>
  <si>
    <t xml:space="preserve"> Buccal / labial frenectomy (frenulectomy)</t>
  </si>
  <si>
    <t xml:space="preserve"> Lingual frenectomy (frenulectomy)</t>
  </si>
  <si>
    <t xml:space="preserve"> Removable appliance therapy</t>
  </si>
  <si>
    <t xml:space="preserve"> Fixed appliance therapy</t>
  </si>
  <si>
    <t xml:space="preserve"> Pre-orthodontic treatment examination to monitor growth and development</t>
  </si>
  <si>
    <t xml:space="preserve"> Periodic orthodontic treatment visit</t>
  </si>
  <si>
    <t xml:space="preserve"> Unspecified orthodontic procedure, by report</t>
  </si>
  <si>
    <t xml:space="preserve"> Palliative treatment of dental pain - per visit</t>
  </si>
  <si>
    <t xml:space="preserve"> Deep sedation/general anesthesia - each subsequent 15 minute increment</t>
  </si>
  <si>
    <t xml:space="preserve"> Intravenous moderate (conscious) sedation/analgesia - each subsequent 15 minute increment</t>
  </si>
  <si>
    <t xml:space="preserve"> Hospital or ambulatory surgical center call</t>
  </si>
  <si>
    <t xml:space="preserve"> Colorectal cancer screening; flexible sigmoidoscopy</t>
  </si>
  <si>
    <t xml:space="preserve"> Colorectal cancer screening; colonoscopy on individual at high risk</t>
  </si>
  <si>
    <t xml:space="preserve"> Colorectal cancer screening; colonoscopy on individual not meeting criteria for high risk</t>
  </si>
  <si>
    <t xml:space="preserve"> Single energy x-ray absorptiometry (sexa) bone density study, one or more sites; appendicular skeleton (peripheral) (e.g., radius, wrist, heel)</t>
  </si>
  <si>
    <t xml:space="preserve"> Destruction of localized lesion of choroid (for example, choroidal neovascularization); photocoagulation, feeder vessel technique (one or more sessions)</t>
  </si>
  <si>
    <t xml:space="preserve"> Pet imaging, any site, not otherwise specified</t>
  </si>
  <si>
    <t xml:space="preserve"> Injection procedure for sacroiliac joint; provision of anesthetic, steroid and/or other therapeutic agent, with or without arthrography</t>
  </si>
  <si>
    <t xml:space="preserve"> Blinded procedure for lumbar stenosis, percutaneous image-guided lumbar decompression (pild) or placebo-control, performed in an approved coverage with evidence development (ced) clinical trial</t>
  </si>
  <si>
    <t xml:space="preserve"> Iliac and/or femoral artery angiography, non-selective, bilateral or ipsilateral to catheter insertion, performed at the same time as cardiac catheterization and/or coronary angiography, includes positioning or placement of the catheter in the distal aorta or ipsilateral femoral or iliac artery, injection of dye, production of permanent images, and radiologic supervision and interpretation (list separately in addition to primary procedure)</t>
  </si>
  <si>
    <t xml:space="preserve"> Electromagnetic therapy, to one or more areas for chronic stage iii and stage iv pressure ulcers, arterial ulcers, diabetic ulcers and venous stasis ulcers not demonstrating measurable signs of healing after 30 days of conventional care as part of a therapy plan of care</t>
  </si>
  <si>
    <t xml:space="preserve"> Facility services for dental rehabilitation procedure(s) performed on a patient who requires monitored anesthesia (e.g., general, intravenous sedation (monitored anesthesia care) and use of an operating room</t>
  </si>
  <si>
    <t xml:space="preserve"> Hospital observation service, per hour</t>
  </si>
  <si>
    <t xml:space="preserve"> Dermal filler injection(s) for the treatment of facial lipodystrophy syndrome (lds) (e.g., as a result of highly active antiretroviral therapy)</t>
  </si>
  <si>
    <t xml:space="preserve"> Insertion of non-biodegradable drug delivery implants, 4 or more (services for subdermal rod implant)</t>
  </si>
  <si>
    <t xml:space="preserve"> Removal of non-biodegradable drug delivery implants, 4 or more (services for subdermal implants)</t>
  </si>
  <si>
    <t xml:space="preserve"> Removal with reinsertion, non-biodegradable drug delivery implants, 4 or more (services for subdermal implants)</t>
  </si>
  <si>
    <t xml:space="preserve"> Injection, tetracycline, up to 250 mg</t>
  </si>
  <si>
    <t xml:space="preserve"> Injection, omadacycline, 1 mg</t>
  </si>
  <si>
    <t xml:space="preserve"> Injection, eravacycline, 1 mg</t>
  </si>
  <si>
    <t xml:space="preserve"> Injection, abatacept, 10 mg (code may be used for medicare when drug administered under the direct supervision of a physician, not for use when drug is self administered)</t>
  </si>
  <si>
    <t xml:space="preserve"> Injection abciximab, 10 mg</t>
  </si>
  <si>
    <t xml:space="preserve"> Injection, acetaminophen, not otherwise specified,10 mg</t>
  </si>
  <si>
    <t xml:space="preserve"> Injection, acetylcysteine, 100 mg</t>
  </si>
  <si>
    <t xml:space="preserve"> Injection, acyclovir, 5 mg</t>
  </si>
  <si>
    <t xml:space="preserve"> Injection, acetaminophen (fresenius kabi), not therapeutically equivalent to j0131, 10 mg</t>
  </si>
  <si>
    <t xml:space="preserve"> Injection, adalimumab, 20 mg</t>
  </si>
  <si>
    <t xml:space="preserve"> Injection, acetaminophen (b braun), not therapeutically equivalent to j0131, 10 mg</t>
  </si>
  <si>
    <t xml:space="preserve"> Injection, acetaminophen (hikma), not therapeutically equivalent to j0131, 10 mg</t>
  </si>
  <si>
    <t xml:space="preserve"> Injection, adenosine, 1 mg (not to be used to report any adenosine phosphate compounds)</t>
  </si>
  <si>
    <t xml:space="preserve"> Injection, adrenalin, epinephrine, 0.1 mg</t>
  </si>
  <si>
    <t xml:space="preserve"> Injection, aducanumab-avwa, 2 mg</t>
  </si>
  <si>
    <t xml:space="preserve"> Injection, epinephrine (belcher), not therapeutically equivalent to j0171, 0.1 mg</t>
  </si>
  <si>
    <t xml:space="preserve"> Injection, lecanemab-irmb, 1 mg</t>
  </si>
  <si>
    <t xml:space="preserve"> Injection, aflibercept, 1 mg</t>
  </si>
  <si>
    <t xml:space="preserve"> Injection, brolucizumab-dbll, 1 mg</t>
  </si>
  <si>
    <t xml:space="preserve"> Injection, agalsidase beta, 1 mg</t>
  </si>
  <si>
    <t xml:space="preserve"> Injection, amisulpride, 1 mg</t>
  </si>
  <si>
    <t xml:space="preserve"> Injection, aprepitant, 1 mg</t>
  </si>
  <si>
    <t xml:space="preserve"> Injection, biperiden lactate, per 5 mg</t>
  </si>
  <si>
    <t xml:space="preserve"> Injection, alatrofloxacin mesylate, 100 mg</t>
  </si>
  <si>
    <t xml:space="preserve"> Injection, alemtuzumab, 1 mg</t>
  </si>
  <si>
    <t xml:space="preserve"> Injection, alglucerase, per 10 units</t>
  </si>
  <si>
    <t xml:space="preserve"> Injection, allopurinol sodium, 1 mg</t>
  </si>
  <si>
    <t xml:space="preserve"> Injection, amifostine, 500 mg</t>
  </si>
  <si>
    <t xml:space="preserve"> Injection, sodium thiosulfate (pedmark), 100 mg</t>
  </si>
  <si>
    <t xml:space="preserve"> Injection, methyldopate hcl, up to 250 mg</t>
  </si>
  <si>
    <t xml:space="preserve"> Injection, alefacept, 0.5 mg</t>
  </si>
  <si>
    <t xml:space="preserve"> Injection, alfentanil hydrochloride, 500 micrograms</t>
  </si>
  <si>
    <t xml:space="preserve"> Injection, velmanase alfa-tycv, 1 mg</t>
  </si>
  <si>
    <t xml:space="preserve"> Injection, olipudase alfa-rpcp, 1 mg</t>
  </si>
  <si>
    <t xml:space="preserve"> Injection, avalglucosidase alfa-ngpt, 4 mg</t>
  </si>
  <si>
    <t xml:space="preserve"> Injection, alglucosidase alfa, 10 mg, not otherwise specified</t>
  </si>
  <si>
    <t xml:space="preserve"> Injection, alglucosidase alfa, (lumizyme), 10 mg</t>
  </si>
  <si>
    <t xml:space="preserve"> Injection, patisiran, 0.1 mg</t>
  </si>
  <si>
    <t xml:space="preserve"> Injection, givosiran, 0.5 mg</t>
  </si>
  <si>
    <t xml:space="preserve"> Injection, lumasiran, 0.5 mg</t>
  </si>
  <si>
    <t xml:space="preserve"> Injection, vutrisiran, 1 mg</t>
  </si>
  <si>
    <t xml:space="preserve"> Injection, alpha 1 proteinase inhibitor (human), not otherwise specified, 10 mg</t>
  </si>
  <si>
    <t xml:space="preserve"> Injection, alpha 1 proteinase inhibitor (human), (glassia), 10 mg</t>
  </si>
  <si>
    <t xml:space="preserve"> Injection, amikacin sulfate, 100 mg</t>
  </si>
  <si>
    <t xml:space="preserve"> Injection, aminophyllin, up to 250 mg</t>
  </si>
  <si>
    <t xml:space="preserve"> Injection, amiodarone hydrochloride, 30 mg</t>
  </si>
  <si>
    <t xml:space="preserve"> Injection, amiodarone hydrochloride (nexterone), 30 mg</t>
  </si>
  <si>
    <t xml:space="preserve"> Injection, amphotericin b, 50 mg</t>
  </si>
  <si>
    <t xml:space="preserve"> Injection, amphotericin b lipid complex, 10 mg</t>
  </si>
  <si>
    <t xml:space="preserve"> Injection, amphotericin b cholesteryl sulfate complex, 10 mg</t>
  </si>
  <si>
    <t xml:space="preserve"> Injection, amphotericin b liposome, 10 mg</t>
  </si>
  <si>
    <t xml:space="preserve"> Injection, ampicillin sodium, 500 mg</t>
  </si>
  <si>
    <t xml:space="preserve"> Injection, plazomicin, 5 mg</t>
  </si>
  <si>
    <t xml:space="preserve"> Injection, ampicillin sodium/sulbactam sodium, per 1.5 gm</t>
  </si>
  <si>
    <t xml:space="preserve"> Injection, amobarbital, up to 125 mg</t>
  </si>
  <si>
    <t xml:space="preserve"> Injection, succinylcholine chloride, up to 20 mg</t>
  </si>
  <si>
    <t xml:space="preserve"> Injection, anidulafungin, 1 mg</t>
  </si>
  <si>
    <t xml:space="preserve"> Injection, rezafungin, 1 mg</t>
  </si>
  <si>
    <t xml:space="preserve"> Injection, anistreplase, per 30 units</t>
  </si>
  <si>
    <t xml:space="preserve"> Injection, hydralazine hcl, up to 20 mg</t>
  </si>
  <si>
    <t xml:space="preserve"> Injection, apomorphine hydrochloride, 1 mg</t>
  </si>
  <si>
    <t xml:space="preserve"> Injection, aprotonin, 10,000 kiu</t>
  </si>
  <si>
    <t xml:space="preserve"> Injection, metaraminol bitartrate, per 10 mg</t>
  </si>
  <si>
    <t xml:space="preserve"> Injection, chloroquine hydrochloride, up to 250 mg</t>
  </si>
  <si>
    <t xml:space="preserve"> Injection, artesunate, 1 mg</t>
  </si>
  <si>
    <t xml:space="preserve"> Injection, arbutamine hcl, 1 mg</t>
  </si>
  <si>
    <t xml:space="preserve"> Injection, aripiprazole, intramuscular, 0.25 mg</t>
  </si>
  <si>
    <t xml:space="preserve"> Injection, aripiprazole (abilify maintena), 1 mg</t>
  </si>
  <si>
    <t xml:space="preserve"> Injection, aripiprazole (abilify asimtufii), 1 mg</t>
  </si>
  <si>
    <t xml:space="preserve"> Injection, azithromycin, 500 mg</t>
  </si>
  <si>
    <t xml:space="preserve"> Injection, aztreonam, 100 mg</t>
  </si>
  <si>
    <t xml:space="preserve"> Injection, atropine sulfate, 0.01 mg</t>
  </si>
  <si>
    <t xml:space="preserve"> Injection, dimercaprol, per 100 mg</t>
  </si>
  <si>
    <t xml:space="preserve"> Injection, baclofen, 10 mg</t>
  </si>
  <si>
    <t xml:space="preserve"> Injection, baclofen, 50 mcg for intrathecal trial</t>
  </si>
  <si>
    <t xml:space="preserve"> Injection, basiliximab, 20 mg</t>
  </si>
  <si>
    <t xml:space="preserve"> Injection, belatacept, 1 mg</t>
  </si>
  <si>
    <t xml:space="preserve"> Injection, belimumab, 10 mg</t>
  </si>
  <si>
    <t xml:space="preserve"> Injection, anifrolumab-fnia, 1 mg</t>
  </si>
  <si>
    <t xml:space="preserve"> Injection, dicyclomine hcl, up to 20 mg</t>
  </si>
  <si>
    <t xml:space="preserve"> Injection, benztropine mesylate, per 1 mg</t>
  </si>
  <si>
    <t xml:space="preserve"> Injection, benralizumab, 1 mg</t>
  </si>
  <si>
    <t xml:space="preserve"> Injection, bethanechol chloride, myotonachol or urecholine, up to 5 mg</t>
  </si>
  <si>
    <t xml:space="preserve"> Injection, penicillin g benzathine and penicillin g procaine, 100,000 units</t>
  </si>
  <si>
    <t xml:space="preserve"> Injection, penicillin g benzathine, 100,000 units</t>
  </si>
  <si>
    <t xml:space="preserve"> Injection, bezlotoxumab, 10 mg</t>
  </si>
  <si>
    <t xml:space="preserve"> Injection, cerliponase alfa, 1 mg</t>
  </si>
  <si>
    <t xml:space="preserve"> Buprenorphine implant, 74.2 mg</t>
  </si>
  <si>
    <t>INJECTION, BUPRENORPHINE EXTENDED-RELEASE (BRIXADI), 1 MG</t>
  </si>
  <si>
    <t xml:space="preserve"> Injection, bivalirudin, 1 mg</t>
  </si>
  <si>
    <t xml:space="preserve"> Injection, burosumab-twza 1 mg</t>
  </si>
  <si>
    <t xml:space="preserve"> Injection, onabotulinumtoxina, 1 unit</t>
  </si>
  <si>
    <t xml:space="preserve"> Injection, abobotulinumtoxina, 5 units</t>
  </si>
  <si>
    <t xml:space="preserve"> Injection, rimabotulinumtoxinb, 100 units</t>
  </si>
  <si>
    <t xml:space="preserve"> Injection, incobotulinumtoxin a, 1 unit</t>
  </si>
  <si>
    <t xml:space="preserve"> Injection, buprenorphine hydrochloride, 0.1 mg</t>
  </si>
  <si>
    <t xml:space="preserve"> Injection, lanadelumab-flyo, 1 mg (code may be used for medicare when drug administered under direct supervision of a physician, not for use when drug is self-administered)</t>
  </si>
  <si>
    <t xml:space="preserve"> injection, busulfan, 1 mg</t>
  </si>
  <si>
    <t xml:space="preserve"> Injection, butorphanol tartrate, 1 mg</t>
  </si>
  <si>
    <t xml:space="preserve"> Injection, c1 esterase inhibitor (recombinant), ruconest, 10 units</t>
  </si>
  <si>
    <t xml:space="preserve"> Injection, c-1 esterase inhibitor (human), berinert, 10 units</t>
  </si>
  <si>
    <t xml:space="preserve"> Injection, c-1 esterase inhibitor (human), cinryze, 10 units</t>
  </si>
  <si>
    <t xml:space="preserve"> Injection, c-1 esterase inhibitor (human), (haegarda), 10 units</t>
  </si>
  <si>
    <t xml:space="preserve"> Injection, edetate calcium disodium, up to 1000 mg</t>
  </si>
  <si>
    <t xml:space="preserve"> Injection, etelcalcetide, 0.1 mg</t>
  </si>
  <si>
    <t xml:space="preserve"> Injection, calcium gluconate, not otherwise specified, 10 mg</t>
  </si>
  <si>
    <t xml:space="preserve"> Injection, calcium gluconate (wg critical care), not therapeutically equivalent to j0612, 10 mg</t>
  </si>
  <si>
    <t xml:space="preserve"> Injection, calcium glycerophosphate and calcium lactate, per 10 ml</t>
  </si>
  <si>
    <t xml:space="preserve"> Injection, calcitonin salmon, up to 400 units</t>
  </si>
  <si>
    <t xml:space="preserve"> Injection, calcitriol, 0.1 mcg</t>
  </si>
  <si>
    <t xml:space="preserve"> Injection, caspofungin acetate, 5 mg</t>
  </si>
  <si>
    <t xml:space="preserve"> Injection, canakinumab, 1 mg</t>
  </si>
  <si>
    <t xml:space="preserve"> Injection, leucovorin calcium, per 50 mg</t>
  </si>
  <si>
    <t xml:space="preserve"> Injection, levoleucovorin, not otherwise specified, 0.5 mg</t>
  </si>
  <si>
    <t xml:space="preserve"> Injection, levoleucovorin (khapzory), 0.5 mg</t>
  </si>
  <si>
    <t xml:space="preserve"> Injection, bupivicaine, not otherwise specified, 0.5 mg</t>
  </si>
  <si>
    <t xml:space="preserve"> Injection, mepivacaine hydrochloride, per 10 ml</t>
  </si>
  <si>
    <t xml:space="preserve"> Injection, cefazolin sodium (hikma), not therapeutically equivalent to j0690, 500 mg</t>
  </si>
  <si>
    <t xml:space="preserve"> Injection, cefazolin sodium (baxter), not therapeutically equivalent to j0690, 500 mg</t>
  </si>
  <si>
    <t xml:space="preserve"> Injection, cefazolin sodium, 500 mg</t>
  </si>
  <si>
    <t xml:space="preserve"> Injection, lefamulin, 1 mg</t>
  </si>
  <si>
    <t xml:space="preserve"> Injection, cefepime hydrochloride, 500 mg</t>
  </si>
  <si>
    <t xml:space="preserve"> Injection, cefoxitin sodium, 1 gm</t>
  </si>
  <si>
    <t xml:space="preserve"> Injection, ceftolozane 50 mg and tazobactam 25 mg</t>
  </si>
  <si>
    <t xml:space="preserve"> Injection, ceftriaxone sodium, per 250 mg</t>
  </si>
  <si>
    <t xml:space="preserve"> Injection, sterile cefuroxime sodium, per 750 mg</t>
  </si>
  <si>
    <t xml:space="preserve"> Injection, cefotaxime sodium, per gm</t>
  </si>
  <si>
    <t xml:space="preserve"> Injection, cefiderocol, 10 mg</t>
  </si>
  <si>
    <t xml:space="preserve"> Injection, cefepime hydrochloride (baxter), not therapeutically equivalent to maxipime, 500 mg</t>
  </si>
  <si>
    <t xml:space="preserve"> Injection, betamethasone acetate 3 mg and betamethasone sodium phosphate 3 mg</t>
  </si>
  <si>
    <t xml:space="preserve"> Injection, cefepime hydrochloride (b braun), not therapeutically equivalent to maxipime, 500 mg</t>
  </si>
  <si>
    <t xml:space="preserve"> Injection, caffeine citrate, 5 mg</t>
  </si>
  <si>
    <t xml:space="preserve"> Injection, cephapirin sodium, up to 1 gm</t>
  </si>
  <si>
    <t xml:space="preserve"> Injection, ceftaroline fosamil, 10 mg</t>
  </si>
  <si>
    <t xml:space="preserve"> Injection, ceftazidime, per 500 mg</t>
  </si>
  <si>
    <t xml:space="preserve"> Injection, ceftazidime and avibactam, 0.5 g/0.125 g</t>
  </si>
  <si>
    <t xml:space="preserve"> Injection, ceftizoxime sodium, per 500 mg</t>
  </si>
  <si>
    <t xml:space="preserve"> Injection, centruroides immune f(ab)2, up to 120 milligrams</t>
  </si>
  <si>
    <t xml:space="preserve"> Injection, certolizumab pegol, 1 mg (code may be used for medicare when drug administered under the direct supervision of a physician, not for use when drug is self administered)</t>
  </si>
  <si>
    <t xml:space="preserve"> Injection, chloramphenicol sodium succinate, up to 1 gm</t>
  </si>
  <si>
    <t xml:space="preserve"> Injection, chorionic gonadotropin, per 1,000 usp units</t>
  </si>
  <si>
    <t xml:space="preserve"> Injection, clonidine hydrochloride, 1 mg</t>
  </si>
  <si>
    <t xml:space="preserve"> Injection, clindamycin phosphate, 300 mg</t>
  </si>
  <si>
    <t xml:space="preserve"> Injection, clindamycin phosphate (baxter), not therapeutically equivalent to j0736, 300 mg</t>
  </si>
  <si>
    <t xml:space="preserve"> Injection, cidofovir, 375 mg</t>
  </si>
  <si>
    <t xml:space="preserve"> Injection, cabotegravir and rilpivirine, 2mg/3mg</t>
  </si>
  <si>
    <t xml:space="preserve"> Injection, imipenem 4 mg, cilastatin 4 mg and relebactam 2 mg</t>
  </si>
  <si>
    <t xml:space="preserve"> Injection, cilastatin sodium; imipenem, per 250 mg</t>
  </si>
  <si>
    <t xml:space="preserve"> Injection, ciprofloxacin for intravenous infusion, 200 mg</t>
  </si>
  <si>
    <t xml:space="preserve"> Injection, codeine phosphate, per 30 mg</t>
  </si>
  <si>
    <t xml:space="preserve"> Injection, colistimethate sodium, up to 150 mg</t>
  </si>
  <si>
    <t xml:space="preserve"> Injection, collagenase, clostridium histolyticum, 0.01 mg</t>
  </si>
  <si>
    <t xml:space="preserve"> Injection, prochlorperazine, up to 10 mg</t>
  </si>
  <si>
    <t xml:space="preserve"> Injection, crizanlizumab-tmca, 5 mg</t>
  </si>
  <si>
    <t xml:space="preserve"> Injection, corticorelin ovine triflutate, 1 microgram</t>
  </si>
  <si>
    <t xml:space="preserve"> Injection, corticotropin (acthar gel), up to 40 units</t>
  </si>
  <si>
    <t xml:space="preserve"> Injection, corticotropin (ani), up to 40 units</t>
  </si>
  <si>
    <t xml:space="preserve"> Injection, cosyntropin, 0.25 mg</t>
  </si>
  <si>
    <t xml:space="preserve"> Injection, crotalidae polyvalent immune fab (ovine), up to 1 gram</t>
  </si>
  <si>
    <t xml:space="preserve"> Injection, crotalidae immune f(ab')2 (equine), 120 mg</t>
  </si>
  <si>
    <t xml:space="preserve"> Injection, cytomegalovirus immune globulin intravenous (human), per vial</t>
  </si>
  <si>
    <t xml:space="preserve"> Injection, daptomycin (xellia), not therapeutically equivalent to j0878 or j0872, 1 mg</t>
  </si>
  <si>
    <t xml:space="preserve"> Injection, daptomycin (baxter), not therapeutically equivalent to j0878, 1 mg</t>
  </si>
  <si>
    <t xml:space="preserve"> Injection, dalbavancin, 5 mg</t>
  </si>
  <si>
    <t xml:space="preserve"> Injection, daptomycin (hospira), not therapeutically equivalent to j0878, 1 mg</t>
  </si>
  <si>
    <t xml:space="preserve"> Injection, daptomycin, 1 mg</t>
  </si>
  <si>
    <t xml:space="preserve"> Injection, difelikefalin, 0.1 microgram, (for esrd on dialysis)</t>
  </si>
  <si>
    <t xml:space="preserve"> Injection, darbepoetin alfa, 1 microgram (non-esrd use)</t>
  </si>
  <si>
    <t xml:space="preserve"> Injection, darbepoetin alfa, 1 microgram (for esrd on dialysis)</t>
  </si>
  <si>
    <t xml:space="preserve"> Injection, argatroban, 1 mg (for non-esrd use)</t>
  </si>
  <si>
    <t xml:space="preserve"> Injection, argatroban, 1 mg (for esrd on dialysis)</t>
  </si>
  <si>
    <t xml:space="preserve"> Injection, epoetin alfa, (for non-esrd use), 1000 units</t>
  </si>
  <si>
    <t xml:space="preserve"> Injection, epoetin beta, 1 microgram, (for esrd on dialysis)</t>
  </si>
  <si>
    <t xml:space="preserve"> Injection, epoetin beta, 1 microgram, (for non esrd use)</t>
  </si>
  <si>
    <t xml:space="preserve"> Daprodustat, oral, 1 mg, (for esrd on dialysis)</t>
  </si>
  <si>
    <t xml:space="preserve"> Injection, argatroban (accord), not therapeutically equivalent to j0883, 1 mg (for non-esrd use)</t>
  </si>
  <si>
    <t xml:space="preserve"> Injection, argatroban (accord), not therapeutically equivalent to j0884, 1 mg (for esrd on dialysis)</t>
  </si>
  <si>
    <t xml:space="preserve"> Injection, decitabine (sun pharma), not therapeutically equivalent to j0894, 1 mg</t>
  </si>
  <si>
    <t xml:space="preserve"> Injection, decitabine, 1 mg</t>
  </si>
  <si>
    <t xml:space="preserve"> Injection, deferoxamine mesylate, 500 mg</t>
  </si>
  <si>
    <t xml:space="preserve"> Injection, luspatercept-aamt, 0.25 mg</t>
  </si>
  <si>
    <t xml:space="preserve"> Injection, denosumab, 1 mg</t>
  </si>
  <si>
    <t xml:space="preserve"> Injection, argatroban (auromedics), not therapeutically equivalent to j0883, 1 mg (for non-esrd use)</t>
  </si>
  <si>
    <t xml:space="preserve"> Injection, argatroban (auromedics), not therapeutically equivalent to j0884, 1 mg (for esrd on dialysis)</t>
  </si>
  <si>
    <t xml:space="preserve"> Injection, brompheniramine maleate, per 10 mg</t>
  </si>
  <si>
    <t xml:space="preserve"> Injection, depo-estradiol cypionate, up to 5 mg</t>
  </si>
  <si>
    <t>INJECTION, METHYLPREDNISOLONE ACETATE, 20 MG</t>
  </si>
  <si>
    <t>INJECTION, METHYLPREDNISOLONE ACETATE, 40 MG</t>
  </si>
  <si>
    <t>INJECTION, METHYLPREDNISOLONE ACETATE, 80 MG</t>
  </si>
  <si>
    <t xml:space="preserve"> Injection, medroxyprogesterone acetate, 1 mg</t>
  </si>
  <si>
    <t xml:space="preserve"> Injection, testosterone cypionate, 1 mg</t>
  </si>
  <si>
    <t xml:space="preserve"> Injection, dexamethasone acetate, 1 mg</t>
  </si>
  <si>
    <t xml:space="preserve"> Injection, dexamethasone 9 percent, intraocular, 1 microgram</t>
  </si>
  <si>
    <t xml:space="preserve"> Dexamethasone, lacrimal ophthalmic insert, 0.1 mg</t>
  </si>
  <si>
    <t xml:space="preserve"> Phenylephrine 10.16 mg/ml and ketorolac 2.88 mg/ml ophthalmic irrigation solution, 1 ml</t>
  </si>
  <si>
    <t xml:space="preserve"> Injection, dexamethasone sodium phosphate, 1 mg</t>
  </si>
  <si>
    <t xml:space="preserve"> Dexmedetomidine, oral, 1 mcg</t>
  </si>
  <si>
    <t xml:space="preserve"> Injection, dihydroergotamine mesylate, per 1 mg</t>
  </si>
  <si>
    <t xml:space="preserve"> Injection, acetazolamide sodium, up to 500 mg</t>
  </si>
  <si>
    <t xml:space="preserve"> Injection, diclofenac sodium, 0.5 mg</t>
  </si>
  <si>
    <t xml:space="preserve"> Injection, digoxin, up to 0.5 mg</t>
  </si>
  <si>
    <t xml:space="preserve"> Injection, digoxin immune fab (ovine), per vial</t>
  </si>
  <si>
    <t xml:space="preserve"> Injection, phenytoin sodium, per 50 mg</t>
  </si>
  <si>
    <t xml:space="preserve"> Injection, hydromorphone, up to 4 mg</t>
  </si>
  <si>
    <t xml:space="preserve"> Injection, dyphylline, up to 500 mg</t>
  </si>
  <si>
    <t xml:space="preserve"> Injection, dexrazoxane hydrochloride, per 250 mg</t>
  </si>
  <si>
    <t xml:space="preserve"> Injection, diphenhydramine hcl, up to 50 mg</t>
  </si>
  <si>
    <t xml:space="preserve"> Injection, cetirizine hydrochloride, 0.5 mg</t>
  </si>
  <si>
    <t xml:space="preserve"> Injection, chlorothiazide sodium, per 500 mg</t>
  </si>
  <si>
    <t xml:space="preserve"> Injection, dmso, dimethyl sulfoxide, 50%, 50 ml</t>
  </si>
  <si>
    <t xml:space="preserve"> Injection, methadone hcl, up to 10 mg</t>
  </si>
  <si>
    <t xml:space="preserve"> Injection, dimenhydrinate, up to 50 mg</t>
  </si>
  <si>
    <t xml:space="preserve"> Injection, dipyridamole, per 10 mg</t>
  </si>
  <si>
    <t xml:space="preserve"> Injection, dobutamine hydrochloride, per 250 mg</t>
  </si>
  <si>
    <t xml:space="preserve"> Injection, dolasetron mesylate, 10 mg</t>
  </si>
  <si>
    <t xml:space="preserve"> Injection, dopamine hcl, 40 mg</t>
  </si>
  <si>
    <t xml:space="preserve"> Injection, doripenem, 10 mg</t>
  </si>
  <si>
    <t xml:space="preserve"> Injection, doxercalciferol, 1 mcg</t>
  </si>
  <si>
    <t xml:space="preserve"> Injection, ecallantide, 1 mg</t>
  </si>
  <si>
    <t xml:space="preserve"> Injection, eculizumab, 10 mg</t>
  </si>
  <si>
    <t xml:space="preserve"> Injection, edaravone, 1 mg</t>
  </si>
  <si>
    <t xml:space="preserve"> Injection, sutimlimab-jome, 10 mg</t>
  </si>
  <si>
    <t xml:space="preserve"> Injection, ravulizumab-cwvz, 10 mg</t>
  </si>
  <si>
    <t xml:space="preserve"> Injection, tofersen, 1 mg</t>
  </si>
  <si>
    <t xml:space="preserve"> Injection, evinacumab-dgnb, 5mg</t>
  </si>
  <si>
    <t xml:space="preserve"> Injection, inclisiran, 1 mg</t>
  </si>
  <si>
    <t xml:space="preserve"> Injection, amitriptyline hcl, up to 20 mg</t>
  </si>
  <si>
    <t xml:space="preserve"> Injection, elosulfase alfa, 1 mg</t>
  </si>
  <si>
    <t xml:space="preserve"> Injection, enfuvirtide, 1 mg</t>
  </si>
  <si>
    <t xml:space="preserve"> Injection, epoprostenol, 0.5 mg</t>
  </si>
  <si>
    <t xml:space="preserve"> Injection, eptifibatide, 5 mg</t>
  </si>
  <si>
    <t xml:space="preserve"> Injection, ergonovine maleate, up to 0.2 mg</t>
  </si>
  <si>
    <t xml:space="preserve"> Injection, ertapenem sodium, 500 mg</t>
  </si>
  <si>
    <t xml:space="preserve"> Injection, erythromycin lactobionate, per 500 mg</t>
  </si>
  <si>
    <t xml:space="preserve"> Injection, estradiol valerate, up to 10 mg</t>
  </si>
  <si>
    <t xml:space="preserve"> Injection, estrogen conjugated, per 25 mg</t>
  </si>
  <si>
    <t xml:space="preserve"> Injection, casimersen, 10 mg</t>
  </si>
  <si>
    <t xml:space="preserve"> Injection, viltolarsen, 10 mg</t>
  </si>
  <si>
    <t xml:space="preserve"> Injection, eteplirsen, 10 mg</t>
  </si>
  <si>
    <t xml:space="preserve"> Injection, golodirsen, 10 mg</t>
  </si>
  <si>
    <t xml:space="preserve"> Injection, ethanolamine oleate, 100 mg</t>
  </si>
  <si>
    <t xml:space="preserve"> Injection, estrone, per 1 mg</t>
  </si>
  <si>
    <t xml:space="preserve"> Injection, ferric derisomaltose, 10 mg</t>
  </si>
  <si>
    <t xml:space="preserve"> Injection, etanercept, 25 mg (code may be used for medicare when drug administered under the direct supervision of a physician, not for use when drug is self administered)</t>
  </si>
  <si>
    <t xml:space="preserve"> Injection, ferric carboxymaltose, 1 mg</t>
  </si>
  <si>
    <t xml:space="preserve"> Fecal microbiota, live - jslm, 1 ml</t>
  </si>
  <si>
    <t xml:space="preserve"> Injection, filgrastim (g-csf), excludes biosimilars, 1 microgram</t>
  </si>
  <si>
    <t xml:space="preserve"> Injection, ferric pyrophosphate citrate solution (triferic), 0.1 mg of iron</t>
  </si>
  <si>
    <t xml:space="preserve"> Injection, ferric pyrophosphate citrate powder, 0.1 mg of iron</t>
  </si>
  <si>
    <t xml:space="preserve"> Injection, ferric pyrophosphate citrate solution (triferic avnu), 0.1 mg of iron</t>
  </si>
  <si>
    <t xml:space="preserve"> Injection, tbo-filgrastim, 1 microgram</t>
  </si>
  <si>
    <t xml:space="preserve"> Injection, trilaciclib, 1mg</t>
  </si>
  <si>
    <t xml:space="preserve"> Injection, eflapegrastim-xnst, 0.1 mg</t>
  </si>
  <si>
    <t xml:space="preserve"> Injection fluconazole, 200 mg</t>
  </si>
  <si>
    <t xml:space="preserve"> Injection, fomepizole, 15 mg</t>
  </si>
  <si>
    <t xml:space="preserve"> Injection, fomivirsen sodium, intraocular, 1.65 mg</t>
  </si>
  <si>
    <t xml:space="preserve"> Injection, fosaprepitant, 1 mg</t>
  </si>
  <si>
    <t xml:space="preserve"> Injection, fosnetupitant 235 mg and palonosetron 0.25 mg</t>
  </si>
  <si>
    <t xml:space="preserve"> Injection, foscarnet sodium, per 1000 mg</t>
  </si>
  <si>
    <t xml:space="preserve"> Injection, fosaprepitant (teva), not therapeutically equivalent to j1453, 1 mg</t>
  </si>
  <si>
    <t xml:space="preserve"> Injection, gallium nitrate, 1 mg</t>
  </si>
  <si>
    <t xml:space="preserve"> Injection, galsulfase, 1 mg</t>
  </si>
  <si>
    <t xml:space="preserve"> Injection, immune globulin (privigen), intravenous, non-lyophilized (e.g., liquid), 500 mg</t>
  </si>
  <si>
    <t xml:space="preserve"> Injection, gamma globulin, intramuscular, 1 cc</t>
  </si>
  <si>
    <t xml:space="preserve"> Injection, immune globulin (cutaquig), 100 mg</t>
  </si>
  <si>
    <t xml:space="preserve"> Injection, immune globulin (asceniv), 500 mg</t>
  </si>
  <si>
    <t xml:space="preserve"> Injection, immune globulin (cuvitru), 100 mg</t>
  </si>
  <si>
    <t xml:space="preserve"> Injection, immune globulin (bivigam), 500 mg</t>
  </si>
  <si>
    <t xml:space="preserve"> Injection, immune globulin, (gammaplex), intravenous, non-lyophilized (e.g., liquid), 500 mg</t>
  </si>
  <si>
    <t xml:space="preserve"> Injection, immune globulin (xembify), 100 mg</t>
  </si>
  <si>
    <t xml:space="preserve"> Injection, immune globulin (hizentra), 100 mg</t>
  </si>
  <si>
    <t xml:space="preserve"> Injection, gamma globulin, intramuscular, over 10 cc</t>
  </si>
  <si>
    <t xml:space="preserve"> Injection, immune globulin, (gamunex-c/gammaked), non-lyophilized (e.g., liquid), 500 mg</t>
  </si>
  <si>
    <t xml:space="preserve"> Injection, immune globulin (vivaglobin), 100 mg</t>
  </si>
  <si>
    <t xml:space="preserve"> Injection, immune globulin, intravenous, lyophilized (e.g., powder), not otherwise specified, 500 mg</t>
  </si>
  <si>
    <t xml:space="preserve"> Injection, immune globulin, (octagam), intravenous, non-lyophilized (e.g., liquid), 500 mg</t>
  </si>
  <si>
    <t xml:space="preserve"> Injection, immune globulin, (gammagard liquid), non-lyophilized, (e.g., liquid), 500 mg</t>
  </si>
  <si>
    <t xml:space="preserve"> Injection, ganciclovir sodium, 500 mg</t>
  </si>
  <si>
    <t xml:space="preserve"> Injection, hepatitis b immune globulin (hepagam b), intramuscular, 0.5 ml</t>
  </si>
  <si>
    <t xml:space="preserve"> Injection, immune globulin, (flebogamma/flebogamma dif), intravenous, non-lyophilized (e.g., liquid), 500 mg</t>
  </si>
  <si>
    <t xml:space="preserve"> Injection, hepatitis b immune globulin (hepagam b), intravenous, 0.5 ml</t>
  </si>
  <si>
    <t xml:space="preserve"> Injection, ganciclovir sodium (exela), not therapeutically equivalent to j1570, 500 mg</t>
  </si>
  <si>
    <t xml:space="preserve"> Injection, immune globulin/hyaluronidase, (hyqvia), 100 mg immuneglobulin</t>
  </si>
  <si>
    <t xml:space="preserve"> Injection, immune globulin (panzyga), intravenous, non-lyophilized (e.g., liquid), 500 mg</t>
  </si>
  <si>
    <t xml:space="preserve"> Injection, garamycin, gentamicin, up to 80 mg</t>
  </si>
  <si>
    <t xml:space="preserve"> Injection, glatiramer acetate, 20 mg</t>
  </si>
  <si>
    <t xml:space="preserve"> Injection, glycopyrrolate, 0.1 mg</t>
  </si>
  <si>
    <t xml:space="preserve"> Injection, immune globulin, intravenous, non-lyophilized (e.g., liquid), not otherwise specified, 500 mg</t>
  </si>
  <si>
    <t xml:space="preserve"> Injection, gold sodium thiomalate, up to 50 mg</t>
  </si>
  <si>
    <t xml:space="preserve"> Injection, golimumab, 1 mg, for intravenous use</t>
  </si>
  <si>
    <t xml:space="preserve"> Injection, glucagon hydrochloride, per 1 mg</t>
  </si>
  <si>
    <t xml:space="preserve"> Injection, glucagon hydrochloride (fresenius kabi), not therapeutically equivalent to j1610, per 1 mg</t>
  </si>
  <si>
    <t xml:space="preserve"> Injection, gonadorelin hydrochloride, per 100 mcg</t>
  </si>
  <si>
    <t xml:space="preserve"> Injection, granisetron hydrochloride, 100 mcg</t>
  </si>
  <si>
    <t xml:space="preserve"> Injection, granisetron, extended-release, 0.1 mg</t>
  </si>
  <si>
    <t xml:space="preserve"> Injection, guselkumab, 1 mg</t>
  </si>
  <si>
    <t xml:space="preserve"> Injection, haloperidol, up to 5 mg</t>
  </si>
  <si>
    <t xml:space="preserve"> Injection, haloperidol decanoate, per 50 mg</t>
  </si>
  <si>
    <t xml:space="preserve"> Injection, brexanolone, 1 mg</t>
  </si>
  <si>
    <t xml:space="preserve"> Injection, hemin, 1 mg</t>
  </si>
  <si>
    <t xml:space="preserve"> Injection, heparin sodium, (heparin lock flush), per 10 units</t>
  </si>
  <si>
    <t xml:space="preserve"> Injection, heparin sodium (pfizer), not therapeutically equivalent to j1644, per 1000 units</t>
  </si>
  <si>
    <t xml:space="preserve"> Injection, heparin sodium, per 1000 units</t>
  </si>
  <si>
    <t xml:space="preserve"> Injection, dalteparin sodium, per 2500 iu</t>
  </si>
  <si>
    <t xml:space="preserve"> Injection, enoxaparin sodium, 10 mg</t>
  </si>
  <si>
    <t xml:space="preserve"> Injection, fondaparinux sodium, 0.5 mg</t>
  </si>
  <si>
    <t xml:space="preserve"> Injection, tinzaparin sodium, 1000 iu</t>
  </si>
  <si>
    <t xml:space="preserve"> Injection, tetanus immune globulin, human, up to 250 units</t>
  </si>
  <si>
    <t xml:space="preserve"> Injection, hydrocortisone acetate, up to 25 mg</t>
  </si>
  <si>
    <t xml:space="preserve"> Injection, hydrocortisone sodium phosphate, up to 50 mg</t>
  </si>
  <si>
    <t xml:space="preserve"> Injection, hydrocortisone sodium succinate, up to 100 mg</t>
  </si>
  <si>
    <t xml:space="preserve"> Injection, hydroxyprogesterone caproate, (makena), 10 mg</t>
  </si>
  <si>
    <t xml:space="preserve"> Injection, hydroxyprogesterone caproate, not otherwise specified, 10 mg</t>
  </si>
  <si>
    <t xml:space="preserve"> Injection, diazoxide, up to 300 mg</t>
  </si>
  <si>
    <t xml:space="preserve"> Injection, meloxicam, 1 mg</t>
  </si>
  <si>
    <t xml:space="preserve"> Injection, ibandronate sodium, 1 mg</t>
  </si>
  <si>
    <t xml:space="preserve"> Injection, ibuprofen, 100 mg</t>
  </si>
  <si>
    <t xml:space="preserve"> Injection, ibutilide fumarate, 1 mg</t>
  </si>
  <si>
    <t xml:space="preserve"> Injection, idursulfase, 1 mg</t>
  </si>
  <si>
    <t xml:space="preserve"> Injection, icatibant, 1 mg</t>
  </si>
  <si>
    <t xml:space="preserve"> Injection, infliximab, excludes biosimilar, 10 mg</t>
  </si>
  <si>
    <t xml:space="preserve"> Injection, ibalizumab-uiyk, 10 mg</t>
  </si>
  <si>
    <t xml:space="preserve"> Injection, spesolimab-sbzo, 1 mg</t>
  </si>
  <si>
    <t xml:space="preserve"> Injection, iron dextran, 50 mg</t>
  </si>
  <si>
    <t xml:space="preserve"> Injection, iron sucrose, 1 mg</t>
  </si>
  <si>
    <t xml:space="preserve"> Injection, imiglucerase, 10 units</t>
  </si>
  <si>
    <t xml:space="preserve"> Injection, droperidol, up to 5 mg</t>
  </si>
  <si>
    <t xml:space="preserve"> Injection, propranolol hcl, up to 1 mg</t>
  </si>
  <si>
    <t xml:space="preserve"> Injection, esmolol hydrochloride, 10 mg</t>
  </si>
  <si>
    <t xml:space="preserve"> Injection, esmolol hydrochloride (wg critical care), not therapeutically equivalent to j1805, 10 mg</t>
  </si>
  <si>
    <t xml:space="preserve"> Insulin (fiasp) for administration through dme (i.e., insulin pump) per 50 units</t>
  </si>
  <si>
    <t xml:space="preserve"> Insulin (fiasp), per 5 units</t>
  </si>
  <si>
    <t xml:space="preserve"> Insulin (lyumjev) for administration through dme (i.e., insulin pump) per 50 units</t>
  </si>
  <si>
    <t xml:space="preserve"> Insulin (lyumjev), per 5 units</t>
  </si>
  <si>
    <t xml:space="preserve"> Injection, insulin, per 5 units</t>
  </si>
  <si>
    <t xml:space="preserve"> Insulin for administration through dme (i.e., insulin pump) per 50 units</t>
  </si>
  <si>
    <t xml:space="preserve"> Injection, inebilizumab-cdon, 1 mg</t>
  </si>
  <si>
    <t xml:space="preserve"> Injection, interferon beta-1a, 30 mcg</t>
  </si>
  <si>
    <t xml:space="preserve"> Injection, interferon beta-1b, 0.25 mg (code may be used for medicare when drug administered under the direct supervision of a physician, not for use when drug is self administered)</t>
  </si>
  <si>
    <t xml:space="preserve"> Injection, isavuconazonium, 1 mg</t>
  </si>
  <si>
    <t xml:space="preserve"> Injection, itraconazole, 50 mg</t>
  </si>
  <si>
    <t xml:space="preserve"> Injection, metronidazole, 10 mg</t>
  </si>
  <si>
    <t>INJECTION, KANAMYCIN SULFATE, UP TO 500 MG</t>
  </si>
  <si>
    <t>INJECTION, KANAMYCIN SULFATE, UP TO 75 MG</t>
  </si>
  <si>
    <t xml:space="preserve"> Injection, ketorolac tromethamine, per 15 mg</t>
  </si>
  <si>
    <t xml:space="preserve"> Injection, cephalothin sodium, up to 1 gram</t>
  </si>
  <si>
    <t xml:space="preserve"> Injection, labetalol hydrochloride, 5 mg</t>
  </si>
  <si>
    <t xml:space="preserve"> Injection, labetalol hydrochloride (hikma), not therapeutically equivalent to j1920, 5 mg</t>
  </si>
  <si>
    <t xml:space="preserve"> Injection, lanreotide, 1 mg</t>
  </si>
  <si>
    <t xml:space="preserve"> Injection, laronidase, 0.1 mg</t>
  </si>
  <si>
    <t xml:space="preserve"> Injection, lanreotide, (cipla), 1 mg</t>
  </si>
  <si>
    <t xml:space="preserve"> Injection, bumetanide, 0.5 mg</t>
  </si>
  <si>
    <t xml:space="preserve"> Injection, furosemide, up to 20 mg</t>
  </si>
  <si>
    <t xml:space="preserve"> Injection, aripiprazole lauroxil, (aristada initio), 1 mg</t>
  </si>
  <si>
    <t xml:space="preserve"> Injection, aripiprazole lauroxil, (aristada), 1 mg</t>
  </si>
  <si>
    <t xml:space="preserve"> Injection, lepirudin, 50 mg</t>
  </si>
  <si>
    <t xml:space="preserve"> Injection, leuprolide acetate (for depot suspension), per 3.75 mg</t>
  </si>
  <si>
    <t xml:space="preserve"> Injection, leuprolide acetate for depot suspension (fensolvi), 0.25 mg</t>
  </si>
  <si>
    <t xml:space="preserve"> Leuprolide injectable, camcevi, 1 mg</t>
  </si>
  <si>
    <t xml:space="preserve"> Injection, levetiracetam, 10 mg</t>
  </si>
  <si>
    <t xml:space="preserve"> Injection, leuprolide acetate for depot suspension (cipla), 7.5 mg</t>
  </si>
  <si>
    <t xml:space="preserve"> Injection, levofloxacin, 250 mg</t>
  </si>
  <si>
    <t xml:space="preserve"> Injection, levorphanol tartrate, up to 2 mg</t>
  </si>
  <si>
    <t xml:space="preserve"> Injection, lenacapavir, 1 mg</t>
  </si>
  <si>
    <t xml:space="preserve"> Injection, hyoscyamine sulfate, up to 0.25 mg</t>
  </si>
  <si>
    <t xml:space="preserve"> Injection, chlordiazepoxide hcl, up to 100 mg</t>
  </si>
  <si>
    <t xml:space="preserve"> Injection, lidocaine hcl for intravenous infusion, 10 mg</t>
  </si>
  <si>
    <t xml:space="preserve"> Injection, lincomycin hcl, up to 300 mg</t>
  </si>
  <si>
    <t xml:space="preserve"> Injection, linezolid, 200 mg</t>
  </si>
  <si>
    <t xml:space="preserve"> Injection, linezolid (hospira), not therapeutically equivalent to j2020, 200 mg</t>
  </si>
  <si>
    <t xml:space="preserve"> Injection, lorazepam, 2 mg</t>
  </si>
  <si>
    <t xml:space="preserve"> Loxapine for inhalation, 1 mg</t>
  </si>
  <si>
    <t xml:space="preserve"> Injection, mannitol, 25% in 50 ml</t>
  </si>
  <si>
    <t xml:space="preserve"> Injection, mecasermin, 1 mg</t>
  </si>
  <si>
    <t xml:space="preserve"> Injection, meperidine hydrochloride, per 100 mg</t>
  </si>
  <si>
    <t xml:space="preserve"> Injection, meperidine and promethazine hcl, up to 50 mg</t>
  </si>
  <si>
    <t xml:space="preserve"> Injection, mepolizumab, 1 mg</t>
  </si>
  <si>
    <t xml:space="preserve"> Injection, meropenem (b. braun), not therapeutically equivalent to j2185, 100 mg</t>
  </si>
  <si>
    <t xml:space="preserve"> Injection, meropenem, 100 mg</t>
  </si>
  <si>
    <t xml:space="preserve"> Injection, meropenem and vaborbactam, 10mg/10mg (20mg)</t>
  </si>
  <si>
    <t xml:space="preserve"> Injection, methylergonovine maleate, up to 0.2 mg</t>
  </si>
  <si>
    <t xml:space="preserve"> Injection, methylnaltrexone, 0.1 mg</t>
  </si>
  <si>
    <t xml:space="preserve"> Injection, micafungin sodium (par pharm) not thereapeutically equivalent to j2248, 1 mg</t>
  </si>
  <si>
    <t xml:space="preserve"> Injection, micafungin sodium, 1 mg</t>
  </si>
  <si>
    <t xml:space="preserve"> Injection, remimazolam, 1 mg</t>
  </si>
  <si>
    <t xml:space="preserve"> Injection, midazolam hydrochloride, per 1 mg</t>
  </si>
  <si>
    <t xml:space="preserve"> Injection, midazolam hydrochloride (wg critical care), not therapeutically equivalent to j2250, per 1 mg</t>
  </si>
  <si>
    <t xml:space="preserve"> Injection, milrinone lactate, 5 mg</t>
  </si>
  <si>
    <t xml:space="preserve"> Injection, minocycline hydrochloride, 1 mg</t>
  </si>
  <si>
    <t xml:space="preserve"> Injection, morphine sulfate, up to 10 mg</t>
  </si>
  <si>
    <t xml:space="preserve"> Injection, morphine sulfate (fresenius kabi), not therapeutically equivalent to j2270, up to 10 mg</t>
  </si>
  <si>
    <t xml:space="preserve"> Injection, morphine sulfate, preservative-free for epidural or intrathecal use, 10 mg</t>
  </si>
  <si>
    <t xml:space="preserve"> Injection, ziconotide, 1 microgram</t>
  </si>
  <si>
    <t xml:space="preserve"> Injection, moxifloxacin, 100 mg</t>
  </si>
  <si>
    <t xml:space="preserve"> Injection, moxifloxacin (fresenius kabi), not therapeutically equivalent to j2280, 100 mg</t>
  </si>
  <si>
    <t xml:space="preserve"> Injection, nalbuphine hydrochloride, per 10 mg</t>
  </si>
  <si>
    <t xml:space="preserve"> Injection, nitroglycerin, 5 mg</t>
  </si>
  <si>
    <t xml:space="preserve"> Injection, naloxone hydrochloride, per 1 mg</t>
  </si>
  <si>
    <t xml:space="preserve"> Injection, naloxone hydrochloride (zimhi), 1 mg</t>
  </si>
  <si>
    <t xml:space="preserve"> Injection, naltrexone, depot form, 1 mg</t>
  </si>
  <si>
    <t xml:space="preserve"> Injection, nandrolone decanoate, up to 50 mg</t>
  </si>
  <si>
    <t xml:space="preserve"> Injection, natalizumab, 1 mg</t>
  </si>
  <si>
    <t xml:space="preserve"> Injection, nusinersen, 0.1 mg</t>
  </si>
  <si>
    <t xml:space="preserve"> Injection, risankizumab-rzaa, intravenous, 1 mg</t>
  </si>
  <si>
    <t xml:space="preserve"> Injection, ublituximab-xiiy, 1mg</t>
  </si>
  <si>
    <t xml:space="preserve"> Injection, ocrelizumab, 1 mg</t>
  </si>
  <si>
    <t xml:space="preserve"> Injection, octreotide, depot form for intramuscular injection, 1 mg</t>
  </si>
  <si>
    <t xml:space="preserve"> Injection, octreotide, non-depot form for subcutaneous or intravenous injection, 25 mcg</t>
  </si>
  <si>
    <t xml:space="preserve"> Injection, oprelvekin, 5 mg</t>
  </si>
  <si>
    <t xml:space="preserve"> Injection, tezepelumab-ekko, 1 mg</t>
  </si>
  <si>
    <t xml:space="preserve"> Injection, omalizumab, 5 mg</t>
  </si>
  <si>
    <t xml:space="preserve"> Injection, olanzapine, long-acting, 1 mg</t>
  </si>
  <si>
    <t xml:space="preserve"> Injection, olanzapine, 0.5 mg</t>
  </si>
  <si>
    <t xml:space="preserve"> Injection, orphenadrine citrate, up to 60 mg</t>
  </si>
  <si>
    <t xml:space="preserve"> Injection, phenylephrine hydrochloride, 20 micrograms</t>
  </si>
  <si>
    <t xml:space="preserve"> Injection, phenylephrine hydrochloride (biorphen), 20 micrograms</t>
  </si>
  <si>
    <t xml:space="preserve"> Injection, chloroprocaine hydrochloride, per 1 mg</t>
  </si>
  <si>
    <t xml:space="preserve"> Injection, chloroprocaine hydrochloride (clorotekal), per 1 mg</t>
  </si>
  <si>
    <t xml:space="preserve"> Chloroprocaine hcl ophthalmic, 3% gel, 1 mg</t>
  </si>
  <si>
    <t xml:space="preserve"> Injection, nicardipine, 0.1 mg</t>
  </si>
  <si>
    <t xml:space="preserve"> Injection, ondansetron hydrochloride, per 1 mg</t>
  </si>
  <si>
    <t xml:space="preserve"> Injection, oritavancin (kimyrsa), 10 mg</t>
  </si>
  <si>
    <t xml:space="preserve"> Injection, oritavancin (orbactiv), 10 mg</t>
  </si>
  <si>
    <t xml:space="preserve"> Injection, oxymorphone hcl, up to 1 mg</t>
  </si>
  <si>
    <t xml:space="preserve"> Injection, palifermin, 50 micrograms</t>
  </si>
  <si>
    <t xml:space="preserve"> Injection, paliperidone palmitate extended release (invega sustenna), 1 mg</t>
  </si>
  <si>
    <t xml:space="preserve"> Injection, paliperidone palmitate extended release (invega hafyera, or invega trinza), 1 mg</t>
  </si>
  <si>
    <t xml:space="preserve"> Injection, pamidronate disodium, per 30 mg</t>
  </si>
  <si>
    <t xml:space="preserve"> Injection, papaverine hcl, up to 60 mg</t>
  </si>
  <si>
    <t xml:space="preserve"> Injection, oxytetracycline hcl, up to 50 mg</t>
  </si>
  <si>
    <t xml:space="preserve"> Injection, palonosetron hcl, 25 mcg</t>
  </si>
  <si>
    <t xml:space="preserve"> Injection, paricalcitol, 1 mcg</t>
  </si>
  <si>
    <t xml:space="preserve"> Injection, pasireotide long acting, 1 mg</t>
  </si>
  <si>
    <t xml:space="preserve"> Injection, pegaptanib sodium, 0.3 mg</t>
  </si>
  <si>
    <t xml:space="preserve"> Injection, pegademase bovine, 25 iu</t>
  </si>
  <si>
    <t xml:space="preserve"> Injection, pegfilgrastim, excludes biosimilar, 0.5 mg</t>
  </si>
  <si>
    <t xml:space="preserve"> Injection, pegloticase, 1 mg</t>
  </si>
  <si>
    <t xml:space="preserve"> Injection, pegunigalsidase alfa-iwxj, 1 mg</t>
  </si>
  <si>
    <t xml:space="preserve"> Injection, penicillin g procaine, aqueous, up to 600,000 units</t>
  </si>
  <si>
    <t xml:space="preserve"> Injection, pentastarch, 10% solution, 100 ml</t>
  </si>
  <si>
    <t xml:space="preserve"> Injection, pentobarbital sodium, per 50 mg</t>
  </si>
  <si>
    <t xml:space="preserve"> Injection, penicillin g potassium, up to 600,000 units</t>
  </si>
  <si>
    <t xml:space="preserve"> Injection, piperacillin sodium/tazobactam sodium, 1 gram/0.125 grams (1.125 grams)</t>
  </si>
  <si>
    <t xml:space="preserve"> Injection, peramivir, 1 mg</t>
  </si>
  <si>
    <t xml:space="preserve"> Injection, promethazine hcl, up to 50 mg</t>
  </si>
  <si>
    <t xml:space="preserve"> Injection, phenobarbital sodium, up to 120 mg</t>
  </si>
  <si>
    <t xml:space="preserve"> Injection, phenobarbital sodium (sezaby), 1 mg</t>
  </si>
  <si>
    <t xml:space="preserve"> Injection, plerixafor, 1 mg</t>
  </si>
  <si>
    <t xml:space="preserve"> Injection, oxytocin, up to 10 units</t>
  </si>
  <si>
    <t xml:space="preserve"> Injection, desmopressin acetate, per 1 mcg</t>
  </si>
  <si>
    <t xml:space="preserve"> Injection, vasopressin, 1 unit</t>
  </si>
  <si>
    <t xml:space="preserve"> Injection, vasopressin (american regent), not therapeutically equivalent to j2598, 1 unit</t>
  </si>
  <si>
    <t xml:space="preserve"> Injection, prednisolone acetate, up to 1 ml</t>
  </si>
  <si>
    <t xml:space="preserve"> Injection, tolazoline hcl, up to 25 mg</t>
  </si>
  <si>
    <t xml:space="preserve"> Injection, progesterone, per 50 mg</t>
  </si>
  <si>
    <t xml:space="preserve"> Injection, fluphenazine hcl, 1.25 mg</t>
  </si>
  <si>
    <t xml:space="preserve"> Injection, fluphenazine decanoate, up to 25 mg</t>
  </si>
  <si>
    <t xml:space="preserve"> Injection, procainamide hcl, up to 1 gm</t>
  </si>
  <si>
    <t xml:space="preserve"> Injection, oxacillin sodium, up to 250 mg</t>
  </si>
  <si>
    <t xml:space="preserve"> Injection, propofol, 10 mg</t>
  </si>
  <si>
    <t xml:space="preserve"> Injection, neostigmine methylsulfate, up to 0.5 mg</t>
  </si>
  <si>
    <t xml:space="preserve"> Injection, protamine sulfate, per 10 mg</t>
  </si>
  <si>
    <t xml:space="preserve"> Injection, protein c concentrate, intravenous, human, 10 iu</t>
  </si>
  <si>
    <t xml:space="preserve"> Injection, protirelin, per 250 mcg</t>
  </si>
  <si>
    <t xml:space="preserve"> Injection, pralidoxime chloride, up to 1 gm</t>
  </si>
  <si>
    <t xml:space="preserve"> Injection, phentolamine mesylate, up to 5 mg</t>
  </si>
  <si>
    <t xml:space="preserve"> Injection, metoclopramide hcl, up to 10 mg</t>
  </si>
  <si>
    <t xml:space="preserve"> Injection, quinupristin/dalfopristin, 500 mg (150/350)</t>
  </si>
  <si>
    <t xml:space="preserve"> Injection, faricimab-svoa, 0.1 mg</t>
  </si>
  <si>
    <t xml:space="preserve"> Injection, ranibizumab, 0.1 mg</t>
  </si>
  <si>
    <t xml:space="preserve"> Injection, ranibizumab, via intravitreal implant (susvimo), 0.1 mg</t>
  </si>
  <si>
    <t>INJECTION, RANITIDINE HYDROCHLORIDE, 25 MG</t>
  </si>
  <si>
    <t xml:space="preserve"> Injection, pegcetacoplan, intravitreal, 1 mg</t>
  </si>
  <si>
    <t xml:space="preserve"> Injection, rasburicase, 0.5 mg</t>
  </si>
  <si>
    <t xml:space="preserve"> Injection, regadenoson, 0.1 mg</t>
  </si>
  <si>
    <t xml:space="preserve"> Injection, reslizumab, 1 mg</t>
  </si>
  <si>
    <t xml:space="preserve"> Riboflavin 5'-phosphate, ophthalmic solution, up to 3 ml</t>
  </si>
  <si>
    <t xml:space="preserve"> Injection, rho d immune globulin, human, minidose, 50 micrograms (250 i.u.)</t>
  </si>
  <si>
    <t xml:space="preserve"> Injection, rho d immune globulin, human, full dose, 300 micrograms (1500 i.u.)</t>
  </si>
  <si>
    <t xml:space="preserve"> Injection, rho(d) immune globulin (human), (rhophylac), intramuscular or intravenous, 100 iu</t>
  </si>
  <si>
    <t xml:space="preserve"> Injection, rho d immune globulin, intravenous, human, solvent detergent, 100 iu</t>
  </si>
  <si>
    <t xml:space="preserve"> Injection, rilonacept, 1 mg</t>
  </si>
  <si>
    <t xml:space="preserve"> Injection, risperidone (risperdal consta), 0.5 mg</t>
  </si>
  <si>
    <t xml:space="preserve"> Injection, ropivacaine hydrochloride, 1 mg</t>
  </si>
  <si>
    <t xml:space="preserve"> Injection, romiplostim, 10 micrograms</t>
  </si>
  <si>
    <t xml:space="preserve"> Injection, risperidone, (perseris), 0.5 mg</t>
  </si>
  <si>
    <t xml:space="preserve"> Injection, risperidone (uzedy), 1 mg</t>
  </si>
  <si>
    <t xml:space="preserve"> Injection, methocarbamol, up to 10 ml</t>
  </si>
  <si>
    <t xml:space="preserve"> Injection, sincalide, 5 micrograms</t>
  </si>
  <si>
    <t xml:space="preserve"> Injection, sincalide (maia), not therapeutically equivalent to j2805, 5 micrograms</t>
  </si>
  <si>
    <t xml:space="preserve"> Injection, theophylline, per 40 mg</t>
  </si>
  <si>
    <t xml:space="preserve"> Injection, sargramostim (gm-csf), 50 mcg</t>
  </si>
  <si>
    <t xml:space="preserve"> Injection, sebelipase alfa, 1 mg</t>
  </si>
  <si>
    <t xml:space="preserve"> Injection, secretin, synthetic, human, 1 microgram</t>
  </si>
  <si>
    <t xml:space="preserve"> Injection, siltuximab, 10 mg</t>
  </si>
  <si>
    <t xml:space="preserve"> Injection, aurothioglucose, up to 50 mg</t>
  </si>
  <si>
    <t xml:space="preserve"> Injection, sodium ferric gluconate complex in sucrose injection, 12.5 mg</t>
  </si>
  <si>
    <t>INJECTION, METHYLPREDNISOLONE SODIUM SUCCINATE, UP TO 40 MG</t>
  </si>
  <si>
    <t>INJECTION, METHYLPREDNISOLONE SODIUM SUCCINATE, UP TO 125 MG</t>
  </si>
  <si>
    <t xml:space="preserve"> Injection, somatrem, 1 mg</t>
  </si>
  <si>
    <t xml:space="preserve"> Injection, somatropin, 1 mg</t>
  </si>
  <si>
    <t xml:space="preserve"> Injection, promazine hcl, up to 25 mg</t>
  </si>
  <si>
    <t xml:space="preserve"> Injection, reteplase, 18.1 mg</t>
  </si>
  <si>
    <t xml:space="preserve"> Injection, streptokinase, per 250,000 iu</t>
  </si>
  <si>
    <t xml:space="preserve"> Injection, alteplase recombinant, 1 mg</t>
  </si>
  <si>
    <t xml:space="preserve"> Injection, plasminogen, human-tvmh, 1 mg</t>
  </si>
  <si>
    <t xml:space="preserve"> Injection, streptomycin, up to 1 gm</t>
  </si>
  <si>
    <t xml:space="preserve"> Injection, fentanyl citrate, 0.1 mg</t>
  </si>
  <si>
    <t xml:space="preserve"> Injection, sumatriptan succinate, 6 mg (code may be used for medicare when drug administered under the direct supervision of a physician, not for use when drug is self administered)</t>
  </si>
  <si>
    <t xml:space="preserve"> Injection, fremanezumab-vfrm, 1 mg (code may be used for medicare when drug administered under the direct supervision of a physician, not for use when drug is self-administered)</t>
  </si>
  <si>
    <t xml:space="preserve"> Injection, eptinezumab-jjmr, 1 mg</t>
  </si>
  <si>
    <t xml:space="preserve"> Injection, taliglucerase alfa, 10 units</t>
  </si>
  <si>
    <t xml:space="preserve"> Injection, pentazocine, 30 mg</t>
  </si>
  <si>
    <t xml:space="preserve"> Injection, tedizolid phosphate, 1 mg</t>
  </si>
  <si>
    <t xml:space="preserve"> Injection, telavancin, 10 mg</t>
  </si>
  <si>
    <t xml:space="preserve"> Injection, tenecteplase, 1 mg</t>
  </si>
  <si>
    <t xml:space="preserve"> Injection, terbutaline sulfate, up to 1 mg</t>
  </si>
  <si>
    <t xml:space="preserve"> Injection, teriparatide, 10 mcg</t>
  </si>
  <si>
    <t xml:space="preserve"> Injection, romosozumab-aqqg, 1 mg</t>
  </si>
  <si>
    <t xml:space="preserve"> Injection, testosterone enanthate, 1 mg</t>
  </si>
  <si>
    <t xml:space="preserve"> Injection, testosterone undecanoate, 1 mg</t>
  </si>
  <si>
    <t xml:space="preserve"> Injection, chlorpromazine hcl, up to 50 mg</t>
  </si>
  <si>
    <t xml:space="preserve"> Injection, thyrotropin alpha, 0.9 mg, provided in 1.1 mg vial</t>
  </si>
  <si>
    <t xml:space="preserve"> Injection, teprotumumab-trbw, 10 mg</t>
  </si>
  <si>
    <t xml:space="preserve"> Injection, tigecycline, 1 mg</t>
  </si>
  <si>
    <t xml:space="preserve"> Injection, tigecycline (accord), not therapeutically equivalent to j3243, 1 mg</t>
  </si>
  <si>
    <t xml:space="preserve"> Injection, tildrakizumab, 1 mg</t>
  </si>
  <si>
    <t xml:space="preserve"> Injection, tirofiban hcl, 0.25 mg</t>
  </si>
  <si>
    <t xml:space="preserve"> Injection, trimethobenzamide hcl, up to 200 mg</t>
  </si>
  <si>
    <t xml:space="preserve"> Injection, tobramycin sulfate, up to 80 mg</t>
  </si>
  <si>
    <t xml:space="preserve"> Injection, tocilizumab, 1 mg</t>
  </si>
  <si>
    <t xml:space="preserve"> Injection, torsemide, 10 mg/ml</t>
  </si>
  <si>
    <t xml:space="preserve"> Injection, thiethylperazine maleate, up to 10 mg</t>
  </si>
  <si>
    <t xml:space="preserve"> Injection, treprostinil, 1 mg</t>
  </si>
  <si>
    <t xml:space="preserve"> Injection, triamcinolone acetonide (xipere), 1 mg</t>
  </si>
  <si>
    <t xml:space="preserve"> Injection, triamcinolone acetonide, preservative free, 1 mg</t>
  </si>
  <si>
    <t xml:space="preserve"> Injection, triamcinolone acetonide, not otherwise specified, 10 mg</t>
  </si>
  <si>
    <t xml:space="preserve"> Injection, triamcinolone diacetate, per 5 mg</t>
  </si>
  <si>
    <t xml:space="preserve"> Injection, triamcinolone hexacetonide, per 5 mg</t>
  </si>
  <si>
    <t xml:space="preserve"> Injection, triamcinolone acetonide, preservative-free, extended-release, microsphere formulation, 1 mg</t>
  </si>
  <si>
    <t xml:space="preserve"> Injection, trimetrexate glucuronate, per 25 mg</t>
  </si>
  <si>
    <t xml:space="preserve"> Injection, perphenazine, up to 5 mg</t>
  </si>
  <si>
    <t xml:space="preserve"> Injection, triptorelin pamoate, 3.75 mg</t>
  </si>
  <si>
    <t xml:space="preserve"> Injection, triptorelin, extended-release, 3.75 mg</t>
  </si>
  <si>
    <t xml:space="preserve"> Injection, spectinomycin dihydrochloride, up to 2 gm</t>
  </si>
  <si>
    <t xml:space="preserve"> Injection, urea, up to 40 gm</t>
  </si>
  <si>
    <t xml:space="preserve"> Injection, urofollitropin, 75 iu</t>
  </si>
  <si>
    <t xml:space="preserve"> Ustekinumab, for subcutaneous injection, 1 mg</t>
  </si>
  <si>
    <t xml:space="preserve"> Ustekinumab, for intravenous injection, 1 mg</t>
  </si>
  <si>
    <t xml:space="preserve"> Injection, diazepam, up to 5 mg</t>
  </si>
  <si>
    <t xml:space="preserve"> Injection, urokinase, 5000 iu vial</t>
  </si>
  <si>
    <t xml:space="preserve"> Injection, iv, urokinase, 250,000 i.u. vial</t>
  </si>
  <si>
    <t xml:space="preserve"> Injection, vancomycin hcl, 500 mg</t>
  </si>
  <si>
    <t xml:space="preserve"> Injection, vancomycin hcl (mylan), not therapeutically equivalent to j3370, 500 mg</t>
  </si>
  <si>
    <t xml:space="preserve"> Injection, vancomycin hcl (xellia), not therapeutically equivalent to j3370, 500 mg</t>
  </si>
  <si>
    <t xml:space="preserve"> Injection, vedolizumab, intravenous, 1 mg</t>
  </si>
  <si>
    <t xml:space="preserve"> Injection, velaglucerase alfa, 100 units</t>
  </si>
  <si>
    <t xml:space="preserve"> Injection, verteporfin, 0.1 mg</t>
  </si>
  <si>
    <t xml:space="preserve"> Injection, vestronidase alfa-vjbk, 1 mg</t>
  </si>
  <si>
    <t xml:space="preserve"> Injection, voretigene neparvovec-rzyl, 1 billion vector genomes</t>
  </si>
  <si>
    <t xml:space="preserve"> Injection, triflupromazine hcl, up to 20 mg</t>
  </si>
  <si>
    <t xml:space="preserve"> Beremagene geperpavec-svdt for topical administration, containing nominal 5 x 10^9 pfu/ml vector genomes, per 0.1 ml</t>
  </si>
  <si>
    <t xml:space="preserve"> Injection, hydroxyzine hcl, up to 25 mg</t>
  </si>
  <si>
    <t xml:space="preserve"> Injection, thiamine hcl, 100 mg</t>
  </si>
  <si>
    <t xml:space="preserve"> Injection, pyridoxine hcl, 100 mg</t>
  </si>
  <si>
    <t xml:space="preserve"> Injection, vitamin b-12 cyanocobalamin, up to 1000 mcg</t>
  </si>
  <si>
    <t xml:space="preserve"> Injection, hydroxocobalamin, intramuscular, 10 mcg</t>
  </si>
  <si>
    <t xml:space="preserve"> Injection, phytonadione (vitamin k), per 1 mg</t>
  </si>
  <si>
    <t xml:space="preserve"> Injection, voriconazole, 10 mg</t>
  </si>
  <si>
    <t xml:space="preserve"> Injection, hyaluronidase, up to 150 units</t>
  </si>
  <si>
    <t xml:space="preserve"> Injection, hyaluronidase, ovine, preservative free, per 1 usp unit (up to 999 usp units)</t>
  </si>
  <si>
    <t xml:space="preserve"> Injection, hyaluronidase, ovine, preservative free, per 1000 usp units</t>
  </si>
  <si>
    <t xml:space="preserve"> Injection, hyaluronidase, recombinant, 1 usp unit</t>
  </si>
  <si>
    <t xml:space="preserve"> Injection, magnesium sulfate, per 500 mg</t>
  </si>
  <si>
    <t xml:space="preserve"> Injection, potassium chloride, per 2 meq</t>
  </si>
  <si>
    <t xml:space="preserve"> Injection, zidovudine, 10 mg</t>
  </si>
  <si>
    <t xml:space="preserve"> Injection, ziprasidone mesylate, 10 mg</t>
  </si>
  <si>
    <t xml:space="preserve"> Injection, zoledronic acid, 1 mg</t>
  </si>
  <si>
    <t xml:space="preserve"> Unclassified drugs</t>
  </si>
  <si>
    <t xml:space="preserve"> Nasal vaccine inhalation</t>
  </si>
  <si>
    <t xml:space="preserve"> Unclassified biologics</t>
  </si>
  <si>
    <t>INFUSION, NORMAL SALINE SOLUTION , 1000 CC</t>
  </si>
  <si>
    <t xml:space="preserve"> Infusion, normal saline solution, sterile (500 ml = 1 unit)</t>
  </si>
  <si>
    <t xml:space="preserve"> 5% dextrose/normal saline (500 ml = 1 unit)</t>
  </si>
  <si>
    <t xml:space="preserve"> Infusion, normal saline solution, 250 cc</t>
  </si>
  <si>
    <t xml:space="preserve"> 5% dextrose/water (500 ml = 1 unit)</t>
  </si>
  <si>
    <t xml:space="preserve"> Infusion, d5w, 1000 cc</t>
  </si>
  <si>
    <t xml:space="preserve"> Infusion, dextran 40, 500 ml</t>
  </si>
  <si>
    <t xml:space="preserve"> Infusion, dextran 75, 500 ml</t>
  </si>
  <si>
    <t xml:space="preserve"> Ringers lactate infusion, up to 1000 cc</t>
  </si>
  <si>
    <t xml:space="preserve"> 5% dextrose in lactated ringers infusion, up to 1000 cc</t>
  </si>
  <si>
    <t xml:space="preserve"> Hypertonic saline solution, 1 ml</t>
  </si>
  <si>
    <t xml:space="preserve"> Prothrombin complex concentrate (human), kcentra, per i.u. of factor ix activity</t>
  </si>
  <si>
    <t xml:space="preserve"> Injection, coagulation factor xa (recombinant), inactivated-zhzo (andexxa), 10 mg</t>
  </si>
  <si>
    <t xml:space="preserve"> Injection, emicizumab-kxwh, 0.5 mg</t>
  </si>
  <si>
    <t xml:space="preserve"> Injection, factor x, (human), 1 i.u.</t>
  </si>
  <si>
    <t xml:space="preserve"> Injection, human fibrinogen concentrate (fibryga), 1 mg</t>
  </si>
  <si>
    <t xml:space="preserve"> Injection, human fibrinogen concentrate, not otherwise specified, 1 mg</t>
  </si>
  <si>
    <t xml:space="preserve"> Injection, von willebrand factor (recombinant), (vonvendi), 1 i.u. vwf:rco</t>
  </si>
  <si>
    <t xml:space="preserve"> Injection, factor xiii (antihemophilic factor, human), 1 i.u.</t>
  </si>
  <si>
    <t xml:space="preserve"> Injection, factor xiii a-subunit, (recombinant), per iu</t>
  </si>
  <si>
    <t xml:space="preserve"> Injection, factor viii, (antihemophilic factor, recombinant), (novoeight), per iu</t>
  </si>
  <si>
    <t xml:space="preserve"> Injection, von willebrand factor complex (human), wilate, 1 i.u. vwf:rco</t>
  </si>
  <si>
    <t xml:space="preserve"> Injection, factor viii (antihemophilic factor, recombinant) (xyntha), per i.u.</t>
  </si>
  <si>
    <t xml:space="preserve"> Injection, antihemophilic factor viii/von willebrand factor complex (human), per factor viii i.u.</t>
  </si>
  <si>
    <t xml:space="preserve"> Injection, von willebrand factor complex (humate-p), per iu vwf:rco</t>
  </si>
  <si>
    <t xml:space="preserve"> Injection, factor viii (antihemophilic factor, recombinant), (obizur), per i.u.</t>
  </si>
  <si>
    <t xml:space="preserve"> Factor viia (antihemophilic factor, recombinant), (novoseven rt), 1 microgram</t>
  </si>
  <si>
    <t xml:space="preserve"> Factor viii (antihemophilic factor, human) per i.u.</t>
  </si>
  <si>
    <t xml:space="preserve"> Factor viii (antihemophilic factor (porcine)), per i.u.</t>
  </si>
  <si>
    <t xml:space="preserve"> Factor viii (antihemophilic factor, recombinant) per i.u., not otherwise specified</t>
  </si>
  <si>
    <t xml:space="preserve"> Factor ix (antihemophilic factor, purified, non-recombinant) per i.u.</t>
  </si>
  <si>
    <t xml:space="preserve"> Factor ix, complex, per i.u.</t>
  </si>
  <si>
    <t xml:space="preserve"> Injection, factor ix (antihemophilic factor, recombinant) per iu, not otherwise specified</t>
  </si>
  <si>
    <t xml:space="preserve"> Injection, antithrombin recombinant, 50 i.u.</t>
  </si>
  <si>
    <t xml:space="preserve"> Antithrombin iii (human), per i.u.</t>
  </si>
  <si>
    <t xml:space="preserve"> Anti-inhibitor, per i.u.</t>
  </si>
  <si>
    <t xml:space="preserve"> Injection, factor ix, (antihemophilic factor, recombinant), rixubis, per iu</t>
  </si>
  <si>
    <t xml:space="preserve"> Injection, factor ix, fc fusion protein, (recombinant), alprolix, 1 i.u.</t>
  </si>
  <si>
    <t xml:space="preserve"> Injection, factor ix, albumin fusion protein, (recombinant), idelvion, 1 i.u.</t>
  </si>
  <si>
    <t xml:space="preserve"> Injection factor ix, (antihemophilic factor, recombinant), glycopegylated, (rebinyn), 1 iu</t>
  </si>
  <si>
    <t xml:space="preserve"> Injection, factor viii, antihemophilic factor (recombinant), (esperoct), glycopegylated-exei, per iu</t>
  </si>
  <si>
    <t xml:space="preserve"> Injection, factor viii fc fusion protein (recombinant), per iu</t>
  </si>
  <si>
    <t xml:space="preserve"> Injection, factor viii, (antihemophilic factor, recombinant), pegylated, 1 i.u.</t>
  </si>
  <si>
    <t xml:space="preserve"> Injection, factor viii, (antihemophilic factor, recombinant), pegylated-aucl, (jivi), 1 i.u.</t>
  </si>
  <si>
    <t xml:space="preserve"> Injection, factor viii, (antihemophilic factor, recombinant), (nuwiq), 1 i.u.</t>
  </si>
  <si>
    <t xml:space="preserve"> Injection, factor viii, (antihemophilic factor, recombinant), (afstyla), 1 i.u.</t>
  </si>
  <si>
    <t xml:space="preserve"> Injection, factor viii, (antihemophilic factor, recombinant), (kovaltry), 1 i.u.</t>
  </si>
  <si>
    <t xml:space="preserve"> Factor viia (antihemophilic factor, recombinant)-jncw (sevenfact), 1 microgram</t>
  </si>
  <si>
    <t xml:space="preserve"> Injection, coagulation factor ix (recombinant), ixinity, 1 i.u.</t>
  </si>
  <si>
    <t xml:space="preserve"> Injection, factor viii/von willebrand factor complex, recombinant (altuviiio), per factor viii i.u.</t>
  </si>
  <si>
    <t xml:space="preserve"> Aminolevulinic acid hcl for topical administration, 20%, single unit dosage form (354 mg)</t>
  </si>
  <si>
    <t xml:space="preserve"> Methyl aminolevulinate (mal) for topical administration, 16.8%, 1 gram</t>
  </si>
  <si>
    <t xml:space="preserve"> Ganciclovir, 4.5 mg, long-acting implant</t>
  </si>
  <si>
    <t xml:space="preserve"> Injection, fluocinolone acetonide, intravitreal implant (retisert), 0.01 mg</t>
  </si>
  <si>
    <t xml:space="preserve"> Injection, dexamethasone, intravitreal implant, 0.1 mg</t>
  </si>
  <si>
    <t xml:space="preserve"> Injection, fluocinolone acetonide, intravitreal implant (iluvien), 0.01 mg</t>
  </si>
  <si>
    <t xml:space="preserve"> Injection, fluocinolone acetonide, intravitreal implant (yutiq), 0.01 mg</t>
  </si>
  <si>
    <t xml:space="preserve"> Mitomycin, ophthalmic, 0.2 mg</t>
  </si>
  <si>
    <t xml:space="preserve"> Injection, ocriplasmin, 0.125 mg</t>
  </si>
  <si>
    <t xml:space="preserve"> Hyaluronan or derivative, durolane, for intra-articular injection, 1 mg</t>
  </si>
  <si>
    <t xml:space="preserve"> Hyaluronan or derivitive, genvisc 850, for intra-articular injection, 1 mg</t>
  </si>
  <si>
    <t xml:space="preserve"> Hyaluronan or derivative, hyalgan, supartz or visco-3, for intra-articular injection, per dose</t>
  </si>
  <si>
    <t xml:space="preserve"> Hyaluronan or derivative, hymovis, for intra-articular injection, 1 mg</t>
  </si>
  <si>
    <t xml:space="preserve"> Hyaluronan or derivative, euflexxa, for intra-articular injection, per dose</t>
  </si>
  <si>
    <t xml:space="preserve"> Hyaluronan or derivative, orthovisc, for intra-articular injection, per dose</t>
  </si>
  <si>
    <t xml:space="preserve"> Hyaluronan or derivative, synvisc or synvisc-one, for intra-articular injection, 1 mg</t>
  </si>
  <si>
    <t xml:space="preserve"> Hyaluronan or derivative, gel-one, for intra-articular injection, per dose</t>
  </si>
  <si>
    <t xml:space="preserve"> Hyaluronan or derivative, monovisc, for intra-articular injection, per dose</t>
  </si>
  <si>
    <t xml:space="preserve"> Hyaluronan or derivative, gelsyn-3, for intra-articular injection, 0.1 mg</t>
  </si>
  <si>
    <t xml:space="preserve"> Hyaluronan or derivative, trivisc, for intra-articular injection, 1 mg</t>
  </si>
  <si>
    <t xml:space="preserve"> Hyaluronan or derivative, synojoynt, for intra-articular injection, 1 mg</t>
  </si>
  <si>
    <t xml:space="preserve"> Hyaluronan or derivative, triluron, for intra-articular injection, 1 mg</t>
  </si>
  <si>
    <t xml:space="preserve"> Capsaicin 8% patch, per square centimeter</t>
  </si>
  <si>
    <t xml:space="preserve"> Carbidopa 5 mg/levodopa 20 mg enteral suspension, 100 ml</t>
  </si>
  <si>
    <t xml:space="preserve"> Instillation, ciprofloxacin otic suspension, 6 mg</t>
  </si>
  <si>
    <t xml:space="preserve"> Aminolevulinic acid hcl for topical administration, 10% gel, 10 mg</t>
  </si>
  <si>
    <t xml:space="preserve"> Injection, bimatoprost, intracameral implant, 1 microgram</t>
  </si>
  <si>
    <t xml:space="preserve"> Afamelanotide implant, 1 mg</t>
  </si>
  <si>
    <t xml:space="preserve"> Anacaulase-bcdb, 8.8% gel, 1 gram</t>
  </si>
  <si>
    <t xml:space="preserve"> Mometasone furoate sinus implant, (sinuva), 10 micrograms</t>
  </si>
  <si>
    <t xml:space="preserve"> Azathioprine, oral, 50 mg</t>
  </si>
  <si>
    <t xml:space="preserve"> Azathioprine, parenteral, 100 mg</t>
  </si>
  <si>
    <t xml:space="preserve"> Cyclosporine, oral, 100 mg</t>
  </si>
  <si>
    <t xml:space="preserve"> Tacrolimus, extended release, (envarsus xr), oral, 0.25 mg</t>
  </si>
  <si>
    <t xml:space="preserve"> Lymphocyte immune globulin, antithymocyte globulin, equine, parenteral, 250 mg</t>
  </si>
  <si>
    <t xml:space="preserve"> Muromonab-cd3, parenteral, 5 mg</t>
  </si>
  <si>
    <t xml:space="preserve"> Tacrolimus, immediate release, oral, 1 mg</t>
  </si>
  <si>
    <t xml:space="preserve"> Tacrolimus, extended release, (astagraf xl), oral, 0.1 mg</t>
  </si>
  <si>
    <t xml:space="preserve"> Methylprednisolone oral, per 4 mg</t>
  </si>
  <si>
    <t xml:space="preserve"> Prednisolone oral, per 5 mg</t>
  </si>
  <si>
    <t xml:space="preserve"> Lymphocyte immune globulin, antithymocyte globulin, rabbit, parenteral, 25 mg</t>
  </si>
  <si>
    <t xml:space="preserve"> Prednisone, immediate release or delayed release, oral, 1 mg</t>
  </si>
  <si>
    <t xml:space="preserve"> Daclizumab, parenteral, 25 mg</t>
  </si>
  <si>
    <t xml:space="preserve"> Cyclosporine, oral, 25 mg</t>
  </si>
  <si>
    <t xml:space="preserve"> Injection, cyclosporine, 250 mg</t>
  </si>
  <si>
    <t xml:space="preserve"> Mycophenolate mofetil, oral, 250 mg</t>
  </si>
  <si>
    <t xml:space="preserve"> Mycophenolic acid, oral, 180 mg</t>
  </si>
  <si>
    <t xml:space="preserve"> Injection, mycophenolate mofetil, 10 mg</t>
  </si>
  <si>
    <t xml:space="preserve"> Sirolimus, oral, 1 mg</t>
  </si>
  <si>
    <t xml:space="preserve"> Tacrolimus, parenteral, 5 mg</t>
  </si>
  <si>
    <t xml:space="preserve"> Everolimus, oral, 0.25 mg</t>
  </si>
  <si>
    <t xml:space="preserve"> Immunosuppressive drug, not otherwise classified</t>
  </si>
  <si>
    <t xml:space="preserve"> Albuterol, inhalation solution, fda-approved final product, non-compounded, administered through dme, concentrated form, 1 mg</t>
  </si>
  <si>
    <t xml:space="preserve"> Levalbuterol, inhalation solution, fda-approved final product, non-compounded, administered through dme, concentrated form, 0.5 mg</t>
  </si>
  <si>
    <t xml:space="preserve"> Albuterol, inhalation solution, fda-approved final product, non-compounded, administered through dme, unit dose, 1 mg</t>
  </si>
  <si>
    <t xml:space="preserve"> Levalbuterol, inhalation solution, fda-approved final product, non-compounded, administered through dme, unit dose, 0.5 mg</t>
  </si>
  <si>
    <t xml:space="preserve"> Mannitol, administered through an inhaler, 5 mg</t>
  </si>
  <si>
    <t xml:space="preserve"> Methacholine chloride administered as inhalation solution through a nebulizer, per 1 mg</t>
  </si>
  <si>
    <t xml:space="preserve"> Noc drugs, other than inhalation drugs, administered through dme</t>
  </si>
  <si>
    <t xml:space="preserve"> Compounded drug, not otherwise classified</t>
  </si>
  <si>
    <t xml:space="preserve"> Aprepitant, oral, 5 mg</t>
  </si>
  <si>
    <t xml:space="preserve"> Busulfan; oral, 2 mg</t>
  </si>
  <si>
    <t xml:space="preserve"> Capecitabine, oral, 150 mg</t>
  </si>
  <si>
    <t xml:space="preserve"> Capecitabine, oral, 500 mg</t>
  </si>
  <si>
    <t xml:space="preserve"> Cyclophosphamide; oral, 25 mg</t>
  </si>
  <si>
    <t xml:space="preserve"> Dexamethasone, oral, 0.25 mg</t>
  </si>
  <si>
    <t xml:space="preserve"> Etoposide; oral, 50 mg</t>
  </si>
  <si>
    <t xml:space="preserve"> Fludarabine phosphate, oral, 10 mg</t>
  </si>
  <si>
    <t xml:space="preserve"> Gefitinib, oral, 250 mg</t>
  </si>
  <si>
    <t xml:space="preserve"> Antiemetic drug, oral, not otherwise specified</t>
  </si>
  <si>
    <t xml:space="preserve"> Melphalan; oral, 2 mg</t>
  </si>
  <si>
    <t xml:space="preserve"> Methotrexate; oral, 2.5 mg</t>
  </si>
  <si>
    <t xml:space="preserve"> Nabilone, oral, 1 mg</t>
  </si>
  <si>
    <t xml:space="preserve"> Netupitant 300 mg and palonosetron 0.5 mg, oral</t>
  </si>
  <si>
    <t xml:space="preserve"> Rolapitant, oral, 1 mg</t>
  </si>
  <si>
    <t xml:space="preserve"> Temozolomide, oral, 5 mg</t>
  </si>
  <si>
    <t xml:space="preserve"> Topotecan, oral, 0.25 mg</t>
  </si>
  <si>
    <t xml:space="preserve"> Injection, doxorubicin hydrochloride, 10 mg</t>
  </si>
  <si>
    <t xml:space="preserve"> Injection, aldesleukin, per single use vial</t>
  </si>
  <si>
    <t xml:space="preserve"> Injection, arsenic trioxide, 1 mg</t>
  </si>
  <si>
    <t xml:space="preserve"> Injection, asparaginase (erwinaze), 1,000 iu</t>
  </si>
  <si>
    <t xml:space="preserve"> Injection, asparaginase, not otherwise specified, 10,000 units</t>
  </si>
  <si>
    <t xml:space="preserve"> Injection, asparaginase, recombinant, (rylaze), 0.1 mg</t>
  </si>
  <si>
    <t xml:space="preserve"> Injection, atezolizumab, 10 mg</t>
  </si>
  <si>
    <t xml:space="preserve"> Injection, avelumab, 10 mg</t>
  </si>
  <si>
    <t xml:space="preserve"> Injection, azacitidine, 1 mg</t>
  </si>
  <si>
    <t xml:space="preserve"> Injection, clofarabine, 1 mg</t>
  </si>
  <si>
    <t xml:space="preserve"> Intravesical instillation, nadofaragene firadenovec-vncg, per therapeutic dose</t>
  </si>
  <si>
    <t xml:space="preserve"> Bcg live intravesical instillation, 1 mg</t>
  </si>
  <si>
    <t xml:space="preserve"> Injection, belinostat, 10 mg</t>
  </si>
  <si>
    <t xml:space="preserve"> Injection, bendamustine hcl (treanda), 1 mg</t>
  </si>
  <si>
    <t xml:space="preserve"> Injection, bendamustine hcl (bendeka), 1 mg</t>
  </si>
  <si>
    <t xml:space="preserve"> Injection, bevacizumab, 10 mg</t>
  </si>
  <si>
    <t xml:space="preserve"> Injection, bendamustine hydrochloride, (belrapzo/bendamustine), 1 mg</t>
  </si>
  <si>
    <t xml:space="preserve"> Injection, belantamab mafodotin-blmf, 0.5 mg</t>
  </si>
  <si>
    <t xml:space="preserve"> Injection, blinatumomab, 1 microgram</t>
  </si>
  <si>
    <t xml:space="preserve"> Injection, bleomycin sulfate, 15 units</t>
  </si>
  <si>
    <t xml:space="preserve"> Injection, bortezomib, 0.1 mg</t>
  </si>
  <si>
    <t xml:space="preserve"> Injection, brentuximab vedotin, 1 mg</t>
  </si>
  <si>
    <t xml:space="preserve"> Injection, cabazitaxel, 1 mg</t>
  </si>
  <si>
    <t xml:space="preserve"> Injection, carboplatin, 50 mg</t>
  </si>
  <si>
    <t xml:space="preserve"> Injection, bortezomib (dr. reddy's), not therapeutically equivalent to j9041, 0.1 mg</t>
  </si>
  <si>
    <t xml:space="preserve"> Injection, carfilzomib, 1 mg</t>
  </si>
  <si>
    <t xml:space="preserve"> Injection, bortezomib (fresenius kabi), not therapeutically equivalent to j9041, 0.1 mg</t>
  </si>
  <si>
    <t xml:space="preserve"> Injection, bortezomib (hospira), not therapeutically equivalent to j9041, 0.1 mg</t>
  </si>
  <si>
    <t xml:space="preserve"> Injection, carmustine, 100 mg</t>
  </si>
  <si>
    <t xml:space="preserve"> Injection, bortezomib (maia), not therapeutically equivalent to j9041, 0.1 mg</t>
  </si>
  <si>
    <t xml:space="preserve"> Injection, carmustine (accord), not therapeutically equivalent to j9050, 100 mg</t>
  </si>
  <si>
    <t xml:space="preserve"> Injection, cetuximab, 10 mg</t>
  </si>
  <si>
    <t xml:space="preserve"> Injection, bendamustine hydrochloride (vivimusta), 1 mg</t>
  </si>
  <si>
    <t xml:space="preserve"> Injection, copanlisib, 1 mg</t>
  </si>
  <si>
    <t xml:space="preserve"> Injection, bendamustine hydrochloride (apotex), 1 mg</t>
  </si>
  <si>
    <t xml:space="preserve"> Injection, bendamustine hydrochloride (baxter), 1 mg</t>
  </si>
  <si>
    <t xml:space="preserve"> Injection, cisplatin, powder or solution, 10 mg</t>
  </si>
  <si>
    <t xml:space="preserve"> Injection, amivantamab-vmjw, 2 mg</t>
  </si>
  <si>
    <t xml:space="preserve"> Injection, mirvetuximab soravtansine-gynx, 1 mg</t>
  </si>
  <si>
    <t xml:space="preserve"> Injection, cabazitaxel (sandoz), not therapeutically equivalent to j9043, 1 mg</t>
  </si>
  <si>
    <t xml:space="preserve"> Injection, cladribine, per 1 mg</t>
  </si>
  <si>
    <t>CYCLOPHOSPHAMIDE, 100 MG</t>
  </si>
  <si>
    <t xml:space="preserve"> Injection, cyclophosphamide (auromedics), 5 mg</t>
  </si>
  <si>
    <t xml:space="preserve"> Injection, cyclophosphamide (dr. reddy's), 5 mg</t>
  </si>
  <si>
    <t xml:space="preserve"> Injection, cytarabine liposome, 10 mg</t>
  </si>
  <si>
    <t xml:space="preserve"> Injection, cytarabine, 100 mg</t>
  </si>
  <si>
    <t xml:space="preserve"> Injection, calaspargase pegol-mknl, 10 units</t>
  </si>
  <si>
    <t xml:space="preserve"> Injection, cemiplimab-rwlc, 1 mg</t>
  </si>
  <si>
    <t xml:space="preserve"> Injection, dactinomycin, 0.5 mg</t>
  </si>
  <si>
    <t xml:space="preserve"> Dacarbazine, 100 mg</t>
  </si>
  <si>
    <t xml:space="preserve"> Injection, daratumumab, 10 mg and hyaluronidase-fihj</t>
  </si>
  <si>
    <t xml:space="preserve"> Injection, daratumumab, 10 mg</t>
  </si>
  <si>
    <t xml:space="preserve"> Injection, daunorubicin, 10 mg</t>
  </si>
  <si>
    <t xml:space="preserve"> Injection, daunorubicin citrate, liposomal formulation, 10 mg</t>
  </si>
  <si>
    <t xml:space="preserve"> Injection, liposomal, 1 mg daunorubicin and 2.27 mg cytarabine</t>
  </si>
  <si>
    <t xml:space="preserve"> Injection, degarelix, 1 mg</t>
  </si>
  <si>
    <t xml:space="preserve"> Injection, diethylstilbestrol diphosphate, 250 mg</t>
  </si>
  <si>
    <t xml:space="preserve"> Injection, docetaxel, 1 mg</t>
  </si>
  <si>
    <t xml:space="preserve"> Injection, docetaxel (ingenus), not therapeutically equivalent to j9171, 1 mg</t>
  </si>
  <si>
    <t xml:space="preserve"> Injection, durvalumab, 10 mg</t>
  </si>
  <si>
    <t xml:space="preserve"> Injection, elliotts' b solution, 1 ml</t>
  </si>
  <si>
    <t xml:space="preserve"> Injection, elotuzumab, 1 mg</t>
  </si>
  <si>
    <t xml:space="preserve"> Injection, enfortumab vedotin-ejfv, 0.25 mg</t>
  </si>
  <si>
    <t xml:space="preserve"> Injection, epirubicin hcl, 2 mg</t>
  </si>
  <si>
    <t xml:space="preserve"> Injection, eribulin mesylate, 0.1 mg</t>
  </si>
  <si>
    <t xml:space="preserve"> Injection, etoposide, 10 mg</t>
  </si>
  <si>
    <t xml:space="preserve"> Injection, fludarabine phosphate, 50 mg</t>
  </si>
  <si>
    <t xml:space="preserve"> Injection, fluorouracil, 500 mg</t>
  </si>
  <si>
    <t xml:space="preserve"> Injection, gemcitabine hydrochloride (accord), not therapeutically equivalent to j9201, 200 mg</t>
  </si>
  <si>
    <t xml:space="preserve"> Injection, gemcitabine hydrochloride, (infugem), 100 mg</t>
  </si>
  <si>
    <t xml:space="preserve"> Injection, floxuridine, 500 mg</t>
  </si>
  <si>
    <t xml:space="preserve"> Injection, gemcitabine hydrochloride, not otherwise specified, 200 mg</t>
  </si>
  <si>
    <t xml:space="preserve"> Goserelin acetate implant, per 3.6 mg</t>
  </si>
  <si>
    <t xml:space="preserve"> Injection, gemtuzumab ozogamicin, 0.1 mg</t>
  </si>
  <si>
    <t xml:space="preserve"> Injection, mogamulizumab-kpkc, 1 mg</t>
  </si>
  <si>
    <t xml:space="preserve"> Injection, irinotecan liposome, 1 mg</t>
  </si>
  <si>
    <t xml:space="preserve"> Injection, irinotecan, 20 mg</t>
  </si>
  <si>
    <t xml:space="preserve"> Injection, ixabepilone, 1 mg</t>
  </si>
  <si>
    <t xml:space="preserve"> Injection, ifosfamide, 1 gram</t>
  </si>
  <si>
    <t xml:space="preserve"> Injection, mesna, 200 mg</t>
  </si>
  <si>
    <t xml:space="preserve"> Injection, emapalumab-lzsg, 1 mg</t>
  </si>
  <si>
    <t xml:space="preserve"> Injection, idarubicin hydrochloride, 5 mg</t>
  </si>
  <si>
    <t xml:space="preserve"> Injection, interferon alfacon-1, recombinant, 1 microgram</t>
  </si>
  <si>
    <t xml:space="preserve"> Injection, interferon, alfa-2a, recombinant, 3 million units</t>
  </si>
  <si>
    <t xml:space="preserve"> Injection, interferon, alfa-2b, recombinant, 1 million units</t>
  </si>
  <si>
    <t xml:space="preserve"> Injection, interferon, alfa-n3, (human leukocyte derived), 250,000 iu</t>
  </si>
  <si>
    <t xml:space="preserve"> Injection, interferon, gamma 1-b, 3 million units</t>
  </si>
  <si>
    <t xml:space="preserve"> Leuprolide acetate (for depot suspension), 7.5 mg</t>
  </si>
  <si>
    <t xml:space="preserve"> Leuprolide acetate, per 1 mg</t>
  </si>
  <si>
    <t xml:space="preserve"> Leuprolide acetate implant, 65 mg</t>
  </si>
  <si>
    <t xml:space="preserve"> Injection, lurbinectedin, 0.1 mg</t>
  </si>
  <si>
    <t xml:space="preserve"> Histrelin implant (vantas), 50 mg</t>
  </si>
  <si>
    <t xml:space="preserve"> Histrelin implant (supprelin la), 50 mg</t>
  </si>
  <si>
    <t xml:space="preserve"> Injection, isatuximab-irfc, 10 mg</t>
  </si>
  <si>
    <t xml:space="preserve"> Injection, ipilimumab, 1 mg</t>
  </si>
  <si>
    <t xml:space="preserve"> Injection, inotuzumab ozogamicin, 0.1 mg</t>
  </si>
  <si>
    <t xml:space="preserve"> Injection, mechlorethamine hydrochloride, (nitrogen mustard), 10 mg</t>
  </si>
  <si>
    <t xml:space="preserve"> Injection, melphalan hydrochloride, not otherwise specified, 50 mg</t>
  </si>
  <si>
    <t xml:space="preserve"> Injection, melphalan (evomela), 1 mg</t>
  </si>
  <si>
    <t xml:space="preserve"> Injection, melphalan flufenamide, 1mg</t>
  </si>
  <si>
    <t xml:space="preserve"> Injection, methotrexate (accord), not therapeutically equivalent to j9260, 50 mg</t>
  </si>
  <si>
    <t xml:space="preserve"> Injection, paclitaxel protein-bound particles (teva), not therapeutically equivalent to j9264, 1 mg</t>
  </si>
  <si>
    <t xml:space="preserve"> Injection, paclitaxel protein-bound particles (american regent), not therapeutically equivalent to j9264, 1 mg</t>
  </si>
  <si>
    <t xml:space="preserve"> Injection, methotrexate sodium, 50 mg</t>
  </si>
  <si>
    <t xml:space="preserve"> Injection, nelarabine, 50 mg</t>
  </si>
  <si>
    <t xml:space="preserve"> Injection, omacetaxine mepesuccinate, 0.01 mg</t>
  </si>
  <si>
    <t xml:space="preserve"> Injection, oxaliplatin, 0.5 mg</t>
  </si>
  <si>
    <t xml:space="preserve"> Injection, paclitaxel protein-bound particles, 1 mg</t>
  </si>
  <si>
    <t xml:space="preserve"> Injection, pegaspargase, per single dose vial</t>
  </si>
  <si>
    <t xml:space="preserve"> Injection, paclitaxel, 1 mg</t>
  </si>
  <si>
    <t xml:space="preserve"> Injection, pentostatin, 10 mg</t>
  </si>
  <si>
    <t xml:space="preserve"> Injection, tagraxofusp-erzs, 10 micrograms</t>
  </si>
  <si>
    <t xml:space="preserve"> Injection, plicamycin, 2.5 mg</t>
  </si>
  <si>
    <t xml:space="preserve"> Injection, pembrolizumab, 1 mg</t>
  </si>
  <si>
    <t xml:space="preserve"> Injection, dostarlimab-gxly, 10 mg</t>
  </si>
  <si>
    <t xml:space="preserve"> Injection, tisotumab vedotin-tftv, 1 mg</t>
  </si>
  <si>
    <t xml:space="preserve"> Injection, tebentafusp-tebn, 1 microgram</t>
  </si>
  <si>
    <t xml:space="preserve"> Injection, mitomycin, 5 mg</t>
  </si>
  <si>
    <t xml:space="preserve"> Mitomycin pyelocalyceal instillation, 1 mg</t>
  </si>
  <si>
    <t xml:space="preserve"> Injection, olaratumab, 10 mg</t>
  </si>
  <si>
    <t xml:space="preserve"> Injection, glofitamab-gxbm, 2.5 mg</t>
  </si>
  <si>
    <t xml:space="preserve"> Injection, mitoxantrone hydrochloride, per 5 mg</t>
  </si>
  <si>
    <t xml:space="preserve"> Injection, pemetrexed (hospira), not therapeutically equivalent to j9305, 10 mg</t>
  </si>
  <si>
    <t xml:space="preserve"> Injection, necitumumab, 1 mg</t>
  </si>
  <si>
    <t xml:space="preserve"> Injection, pemetrexed (accord), not therapeutically equivalent to j9305, 10 mg</t>
  </si>
  <si>
    <t xml:space="preserve"> Injection, pemetrexed (sandoz), not therapeutically equivalent to j9305, 10 mg</t>
  </si>
  <si>
    <t xml:space="preserve"> Injection, nivolumab and relatlimab-rmbw, 3 mg/1 mg</t>
  </si>
  <si>
    <t xml:space="preserve"> Injection, nivolumab, 1 mg</t>
  </si>
  <si>
    <t xml:space="preserve"> Injection, obinutuzumab, 10 mg</t>
  </si>
  <si>
    <t xml:space="preserve"> Injection, ofatumumab, 10 mg</t>
  </si>
  <si>
    <t xml:space="preserve"> Injection, panitumumab, 10 mg</t>
  </si>
  <si>
    <t xml:space="preserve"> Injection, pemetrexed (pemfexy), 10 mg</t>
  </si>
  <si>
    <t xml:space="preserve"> Injection, pemetrexed, not otherwise specified, 10 mg</t>
  </si>
  <si>
    <t xml:space="preserve"> Injection, pertuzumab, 1 mg</t>
  </si>
  <si>
    <t xml:space="preserve"> Injection, pralatrexate, 1 mg</t>
  </si>
  <si>
    <t xml:space="preserve"> Injection, ramucirumab, 5 mg</t>
  </si>
  <si>
    <t xml:space="preserve"> Injection, polatuzumab vedotin-piiq, 1 mg</t>
  </si>
  <si>
    <t xml:space="preserve"> Injection, rituximab 10 mg and hyaluronidase</t>
  </si>
  <si>
    <t xml:space="preserve"> Injection, rituximab, 10 mg</t>
  </si>
  <si>
    <t xml:space="preserve"> Injection, moxetumomab pasudotox-tdfk, 0.01 mg</t>
  </si>
  <si>
    <t xml:space="preserve"> Injection, pemetrexed (teva), not therapeutically equivalent to j9305, 10 mg</t>
  </si>
  <si>
    <t xml:space="preserve"> Injection, pertuzumab, trastuzumab, and hyaluronidase-zzxf, per 10 mg</t>
  </si>
  <si>
    <t xml:space="preserve"> Injection, sacituzumab govitecan-hziy, 2.5 mg</t>
  </si>
  <si>
    <t xml:space="preserve"> Injection, romidepsin, non-lyophilized, 0.1 mg</t>
  </si>
  <si>
    <t xml:space="preserve"> Injection, romidepsin, lyophilized, 0.1 mg</t>
  </si>
  <si>
    <t xml:space="preserve"> Injection, streptozocin, 1 gram</t>
  </si>
  <si>
    <t xml:space="preserve"> Injection, epcoritamab-bysp, 0.16 mg</t>
  </si>
  <si>
    <t xml:space="preserve"> Injection, pemetrexed (bluepoint), not therapeutically equivalent to j9305, 10 mg</t>
  </si>
  <si>
    <t xml:space="preserve"> Injection, pemetrexed ditromethamine, 10 mg</t>
  </si>
  <si>
    <t xml:space="preserve"> Injection, pemetrexed (pemrydi rtu), 10 mg</t>
  </si>
  <si>
    <t xml:space="preserve"> Injection, talimogene laherparepvec, per 1 million plaque forming units</t>
  </si>
  <si>
    <t xml:space="preserve"> Injection, temozolomide, 1 mg</t>
  </si>
  <si>
    <t xml:space="preserve"> Injection, temsirolimus, 1 mg</t>
  </si>
  <si>
    <t xml:space="preserve"> Injection, sirolimus protein-bound particles, 1 mg</t>
  </si>
  <si>
    <t xml:space="preserve"> Injection, efgartigimod alfa-fcab, 2mg</t>
  </si>
  <si>
    <t xml:space="preserve"> Injection, rozanolixizumab-noli, 1 mg</t>
  </si>
  <si>
    <t xml:space="preserve"> Injection, efgartigimod alfa, 2 mg and hyaluronidase-qvfc</t>
  </si>
  <si>
    <t xml:space="preserve"> Injection, thiotepa, 15 mg</t>
  </si>
  <si>
    <t xml:space="preserve"> Injection, retifanlimab-dlwr, 1 mg</t>
  </si>
  <si>
    <t xml:space="preserve"> Injection, tremelimumab-actl, 1 mg</t>
  </si>
  <si>
    <t xml:space="preserve"> Injection, naxitamab-gqgk, 1 mg</t>
  </si>
  <si>
    <t xml:space="preserve"> Injection, tafasitamab-cxix, 2 mg</t>
  </si>
  <si>
    <t xml:space="preserve"> Injection, mosunetuzumab-axgb, 1 mg</t>
  </si>
  <si>
    <t xml:space="preserve"> Injection, topotecan, 0.1 mg</t>
  </si>
  <si>
    <t xml:space="preserve"> Injection, trabectedin, 0.1 mg</t>
  </si>
  <si>
    <t xml:space="preserve"> Injection, margetuximab-cmkb, 5 mg</t>
  </si>
  <si>
    <t xml:space="preserve"> Injection, ado-trastuzumab emtansine, 1 mg</t>
  </si>
  <si>
    <t xml:space="preserve"> Injection, trastuzumab, excludes biosimilar, 10 mg</t>
  </si>
  <si>
    <t xml:space="preserve"> Injection, trastuzumab, 10 mg and hyaluronidase-oysk</t>
  </si>
  <si>
    <t xml:space="preserve"> Injection, valrubicin, intravesical, 200 mg</t>
  </si>
  <si>
    <t xml:space="preserve"> Injection, fam-trastuzumab deruxtecan-nxki, 1 mg</t>
  </si>
  <si>
    <t xml:space="preserve"> Injection, loncastuximab tesirine-lpyl, 0.075 mg</t>
  </si>
  <si>
    <t xml:space="preserve"> Injection, vinblastine sulfate, 1 mg</t>
  </si>
  <si>
    <t xml:space="preserve"> Vincristine sulfate, 1 mg</t>
  </si>
  <si>
    <t>INJECTION, VINCRISTINE SULFATE LIPOSOME, 1 MG</t>
  </si>
  <si>
    <t xml:space="preserve"> Injection, teclistamab-cqyv, 0.5 mg</t>
  </si>
  <si>
    <t xml:space="preserve"> Injection, teplizumab-mzwv, 5 mcg</t>
  </si>
  <si>
    <t xml:space="preserve"> Injection, vinorelbine tartrate, 10 mg</t>
  </si>
  <si>
    <t xml:space="preserve"> Injection, fulvestrant (teva), not therapeutically equivalent to j9395, 25 mg</t>
  </si>
  <si>
    <t xml:space="preserve"> Injection, fulvestrant (fresenius kabi) not therapeutically equivalent to j9395, 25 mg</t>
  </si>
  <si>
    <t xml:space="preserve"> Injection, fulvestrant, 25 mg</t>
  </si>
  <si>
    <t xml:space="preserve"> Injection, ziv-aflibercept, 1 mg</t>
  </si>
  <si>
    <t xml:space="preserve"> Injection, porfimer sodium, 75 mg</t>
  </si>
  <si>
    <t xml:space="preserve"> Not otherwise classified, antineoplastic drugs</t>
  </si>
  <si>
    <t xml:space="preserve"> Replacement battery for external infusion pump owned by patient, silver oxide, 1.5 volt, each</t>
  </si>
  <si>
    <t xml:space="preserve"> Replacement battery for external infusion pump owned by patient, silver oxide, 3 volt, each</t>
  </si>
  <si>
    <t xml:space="preserve"> Replacement battery for external infusion pump owned by patient, alkaline, 1.5 volt, each</t>
  </si>
  <si>
    <t xml:space="preserve"> Replacement battery for external infusion pump owned by patient, lithium, 3.6 volt, each</t>
  </si>
  <si>
    <t xml:space="preserve"> Replacement battery for external infusion pump owned by patient, lithium, 4.5 volt, each</t>
  </si>
  <si>
    <t xml:space="preserve"> Replacement battery for automated external defibrillator, garment type only, each</t>
  </si>
  <si>
    <t xml:space="preserve"> Replacement garment for use with automated external defibrillator, each</t>
  </si>
  <si>
    <t xml:space="preserve"> Replacement electrodes for use with automated external defibrillator, garment type only, each</t>
  </si>
  <si>
    <t xml:space="preserve"> Addition to halo procedure, replacement liner/interface material</t>
  </si>
  <si>
    <t xml:space="preserve"> Cervical thoracic lumbar sacral orthosis, immobilizer, infant size, prefabricated, includes fitting and adjustment</t>
  </si>
  <si>
    <t xml:space="preserve"> Foot, insert/plate, removable, addition to lower extremity orthosis, high strength, lightweight material, all hybrid lamination/prepreg composite, each</t>
  </si>
  <si>
    <t xml:space="preserve"> Implantable breast prosthesis, silicone or equal</t>
  </si>
  <si>
    <t xml:space="preserve"> Injectable bulking agent, collagen implant, urinary tract, 2.5 ml syringe, includes shipping and necessary supplies</t>
  </si>
  <si>
    <t xml:space="preserve"> Injectable bulking agent, dextranomer/hyaluronic acid copolymer implant, urinary tract, 1 ml, includes shipping and necessary supplies</t>
  </si>
  <si>
    <t xml:space="preserve"> Injectable bulking agent, dextranomer/hyaluronic acid copolymer implant, anal canal, 1 ml, includes shipping and necessary supplies</t>
  </si>
  <si>
    <t xml:space="preserve"> Injectable bulking agent, synthetic implant, urinary tract, 1 ml syringe, includes shipping and necessary supplies</t>
  </si>
  <si>
    <t xml:space="preserve"> Injectable bulking agent for vocal cord medialization, 0.1 ml, includes shipping and necessary supplies</t>
  </si>
  <si>
    <t xml:space="preserve"> Miscellaneous external component, supply or accessory for use with the argus ii retinal prosthesis system</t>
  </si>
  <si>
    <t xml:space="preserve"> Artificial cornea</t>
  </si>
  <si>
    <t xml:space="preserve"> Ocular implant</t>
  </si>
  <si>
    <t xml:space="preserve"> Aqueous shunt</t>
  </si>
  <si>
    <t xml:space="preserve"> Ossicula implant</t>
  </si>
  <si>
    <t xml:space="preserve"> Cochlear device, includes all internal and external components</t>
  </si>
  <si>
    <t xml:space="preserve"> Metacarpophalangeal joint implant</t>
  </si>
  <si>
    <t xml:space="preserve"> Metacarpal phalangeal joint replacement, two or more pieces, metal (e.g., stainless steel or cobalt chrome), ceramic-like material (e.g., pyrocarbon), for surgical implantation (all sizes, includes entire system)</t>
  </si>
  <si>
    <t xml:space="preserve"> Metatarsal joint implant</t>
  </si>
  <si>
    <t xml:space="preserve"> Hallux implant</t>
  </si>
  <si>
    <t xml:space="preserve"> Interphalangeal joint spacer, silicone or equal, each</t>
  </si>
  <si>
    <t xml:space="preserve"> Interphalangeal finger joint replacement, 2 or more pieces, metal (e.g., stainless steel or cobalt chrome), ceramic-like material (e.g., pyrocarbon) for surgical implantation, any size</t>
  </si>
  <si>
    <t xml:space="preserve"> Vascular graft material, synthetic, implant</t>
  </si>
  <si>
    <t xml:space="preserve"> Electrical stimulator supplies (external) for use with implantable neurostimulator, per month</t>
  </si>
  <si>
    <t xml:space="preserve"> Implantable neurostimulator, pulse generator, any type</t>
  </si>
  <si>
    <t xml:space="preserve"> Implantable neurostimulator electrode, each</t>
  </si>
  <si>
    <t xml:space="preserve"> Patient programmer (external) for use with implantable programmable neurostimulator pulse generator, replacement only</t>
  </si>
  <si>
    <t xml:space="preserve"> Implantable neurostimulator radiofrequency receiver</t>
  </si>
  <si>
    <t xml:space="preserve"> Implantable neurostimulator pulse generator, single array, non-rechargeable, includes extension</t>
  </si>
  <si>
    <t xml:space="preserve"> Auditory osseointegrated device, includes all internal and external components</t>
  </si>
  <si>
    <t xml:space="preserve"> Prosthetic implant, not otherwise specified</t>
  </si>
  <si>
    <t xml:space="preserve"> Orthotic and prosthetic supply, accessory, and/or service component of another hcpcs "l" code</t>
  </si>
  <si>
    <t xml:space="preserve"> Administration of pneumococcal, influenza, hepatitis b, and/or covid-19 vaccine inside a patient's home; reported only once per individual home per date of service when such vaccine administration(s) are performed at the patient's home</t>
  </si>
  <si>
    <t xml:space="preserve"> Intravenous infusion, tocilizumab, for hospitalized adults and pediatric patients (2 years of age and older) with covid-19 who are receiving systemic corticosteroids and require supplemental oxygen, non-invasive or invasive mechanical ventilation, or extracorporeal membrane oxygenation (ecmo) only, includes infusion and post administration monitoring, first dose</t>
  </si>
  <si>
    <t xml:space="preserve"> Intravenous infusion, tocilizumab, for hospitalized adults and pediatric patients (2 years of age and older) with covid-19 who are receiving systemic corticosteroids and require supplemental oxygen, non-invasive or invasive mechanical ventilation, or extracorporeal membrane oxygenation (ecmo) only, includes infusion and post administration monitoring, second dose</t>
  </si>
  <si>
    <t xml:space="preserve"> Platelets, pheresis, each unit</t>
  </si>
  <si>
    <t xml:space="preserve"> Infusion, albumin (human), 5%, 50 ml</t>
  </si>
  <si>
    <t xml:space="preserve"> Infusion, albumin (human), 5%, 250 ml</t>
  </si>
  <si>
    <t xml:space="preserve"> Infusion, albumin (human), 25%, 20 ml</t>
  </si>
  <si>
    <t xml:space="preserve"> Infusion, albumin (human), 25%, 50 ml</t>
  </si>
  <si>
    <t xml:space="preserve"> Granulocytes, pheresis, each unit</t>
  </si>
  <si>
    <t xml:space="preserve"> Cardiokymography</t>
  </si>
  <si>
    <t xml:space="preserve"> Set-up portable x-ray equipment</t>
  </si>
  <si>
    <t xml:space="preserve"> Injection, ferumoxytol, for treatment of iron deficiency anemia, 1 mg (non-esrd use)</t>
  </si>
  <si>
    <t xml:space="preserve"> Injection, ferumoxytol, for treatment of iron deficiency anemia, 1 mg (for esrd on dialysis)</t>
  </si>
  <si>
    <t xml:space="preserve"> Chlorpromazine hydrochloride, 5 mg, oral, fda approved prescription anti-emetic, for use as a complete therapeutic substitute for an iv anti-emetic at the time of chemotherapy treatment, not to exceed a 48 hour dosage regimen</t>
  </si>
  <si>
    <t xml:space="preserve"> Ondansetron 1 mg, oral, fda approved prescription anti-emetic, for use as a complete therapeutic substitute for an iv anti-emetic at the time of chemotherapy treatment, not to exceed a 48 hour dosage regimen</t>
  </si>
  <si>
    <t xml:space="preserve"> Diphenhydramine hydrochloride, 50 mg, oral, fda approved prescription anti-emetic, for use as a complete therapeutic substitute for an iv anti-emetic at time of chemotherapy treatment not to exceed a 48 hour dosage regimen</t>
  </si>
  <si>
    <t xml:space="preserve"> Prochlorperazine maleate, 5 mg, oral, fda approved prescription anti-emetic, for use as a complete therapeutic substitute for an iv anti-emetic at the time of chemotherapy treatment, not to exceed a 48 hour dosage regimen</t>
  </si>
  <si>
    <t xml:space="preserve"> Granisetron hydrochloride, 1 mg, oral, fda approved prescription anti-emetic, for use as a complete therapeutic substitute for an iv anti-emetic at the time of chemotherapy treatment, not to exceed a 24 hour dosage regimen</t>
  </si>
  <si>
    <t xml:space="preserve"> Dronabinol, 2.5 mg, oral, fda approved prescription anti-emetic, for use as a complete therapeutic substitute for an iv anti-emetic at the time of chemotherapy treatment, not to exceed a 48 hour dosage regimen</t>
  </si>
  <si>
    <t xml:space="preserve"> Promethazine hydrochloride, 12.5 mg, oral, fda approved prescription anti-emetic, for use as a complete therapeutic substitute for an iv anti-emetic at the time of chemotherapy treatment, not to exceed a 48 hour dosage regimen</t>
  </si>
  <si>
    <t xml:space="preserve"> Trimethobenzamide hydrochloride, 250 mg, oral, fda approved prescription anti-emetic, for use as a complete therapeutic substitute for an iv anti-emetic at the time of chemotherapy treatment, not to exceed a 48 hour dosage regimen</t>
  </si>
  <si>
    <t xml:space="preserve"> Thiethylperazine maleate, 10 mg, oral, fda approved prescription anti-emetic, for use as a complete therapeutic substitute for an iv anti-emetic at the time of chemotherapy treatment, not to exceed a 48 hour dosage regimen</t>
  </si>
  <si>
    <t xml:space="preserve"> Perphenazine, 4 mg, oral, fda approved prescription anti-emetic, for use as a complete therapeutic substitute for an iv anti-emetic at the time of chemotherapy treatment, not to exceed a 48 hour dosage regimen</t>
  </si>
  <si>
    <t xml:space="preserve"> Hydroxyzine pamoate, 25 mg, oral, fda approved prescription anti-emetic, for use as a complete therapeutic substitute for an iv anti-emetic at the time of chemotherapy treatment, not to exceed a 48 hour dosage regimen</t>
  </si>
  <si>
    <t xml:space="preserve"> Dolasetron mesylate, 100 mg, oral, fda approved prescription anti-emetic, for use as a complete therapeutic substitute for an iv anti-emetic at the time of chemotherapy treatment, not to exceed a 24 hour dosage regimen</t>
  </si>
  <si>
    <t xml:space="preserve"> Unspecified oral dosage form, fda approved prescription anti-emetic, for use as a complete therapeutic substitute for a iv anti-emetic at the time of chemotherapy treatment, not to exceed a 48 hour dosage regimen</t>
  </si>
  <si>
    <t xml:space="preserve"> INJECTION, TIXAGEVIMAB AND CILGAVIMAB, FOR THE PRE-EXPOSURE PROPHYLAXIS ONLY, FOR CERTAIN ADULTS AND PEDIATRIC INDIVIDUALS (12 YEARS OF AGE AND OLDER WEIGHING AT LEAST 40KG) WITH NO KNOWN SARS-COV-2 EXPOSURE, WHO EITHER HAVE MODERATE TO SEVERELY COMPROMISED IMMUNE  SYSTEMS OR FOR WHOM VACCINATION WITH ANY AVAILABLE COVID-19 VACCINE IS NOT RECOMMENDED DUE TO A HISTORY OF SEVERE ADVERSE REACTION TO A COVID-19 VACCINE(S) AND/OR COVID-19 VACCINE COMPONENT(S), 300 MG</t>
  </si>
  <si>
    <t xml:space="preserve"> INJECTION, TIXAGEVIMAB AND CILGAVIMAB, FOR THE PRE-EXPOSURE PROPHYLAXIS ONLY, FOR CERTAIN ADULTS AND PEDIATRIC INDIVIDUALS (12 YEARS OF AGE AND OLDER WEIGHING AT LEAST 40KG) WITH NO KNOWN SARS-COV-2 EXPOSURE, WHO EITHER HAVE MODERATE TO SEVERELY COMPROMISED IMMUNE SYSTEMS OR FOR WHOM VACCINATION WITH ANY AVAILABLE COVID-19 VACCINE IS NOT RECOMMENDED DUE TO A HISTORY OF SEVERE ADVERSE REACTION TO A COVID-19 VACCINE(S) AND/OR COVID-19 VACCINE COMPONENT(S), 600 MG</t>
  </si>
  <si>
    <t xml:space="preserve"> INJECTION, BEBTELOVIMAB, 175 MG</t>
  </si>
  <si>
    <t xml:space="preserve"> Injection, casirivimab and imdevimab, 600 mg</t>
  </si>
  <si>
    <t xml:space="preserve"> Injection, casirivimab and imdevimab, 2400 mg</t>
  </si>
  <si>
    <t xml:space="preserve"> Injection, casirivimab and imdevimab, 1200 mg</t>
  </si>
  <si>
    <t xml:space="preserve"> Injection, bamlanivimab and etesevimab, 2100 mg</t>
  </si>
  <si>
    <t xml:space="preserve"> Injection, sotrovimab, 500 mg</t>
  </si>
  <si>
    <t xml:space="preserve"> Injection, tocilizumab, for hospitalized adults and pediatric patients (2 years of age and older) with covid-19 who are receiving systemic corticosteroids and require supplemental oxygen, non-invasive or invasive mechanical ventilation, or extracorporeal membrane oxygenation (ecmo) only, 1 mg</t>
  </si>
  <si>
    <t xml:space="preserve"> Injection, sermorelin acetate, 1 microgram</t>
  </si>
  <si>
    <t xml:space="preserve"> Irrigation solution for treatment of bladder calculi, for example renacidin, per 500 ml</t>
  </si>
  <si>
    <t xml:space="preserve"> Injection, fosphenytoin, 50 mg phenytoin equivalent</t>
  </si>
  <si>
    <t xml:space="preserve"> Injection, teniposide, 50 mg</t>
  </si>
  <si>
    <t xml:space="preserve"> Injection, radiesse, 0.1 ml</t>
  </si>
  <si>
    <t xml:space="preserve"> Injection, sculptra, 0.5 mg</t>
  </si>
  <si>
    <t xml:space="preserve"> Influenza virus vaccine, split virus, for intramuscular use (agriflu)</t>
  </si>
  <si>
    <t xml:space="preserve"> Influenza virus vaccine, split virus, when administered to individuals 3 years of age and older, for intramuscular use (afluria)</t>
  </si>
  <si>
    <t xml:space="preserve"> Influenza virus vaccine, split virus, when administered to individuals 3 years of age and older, for intramuscular use (flulaval)</t>
  </si>
  <si>
    <t xml:space="preserve"> Influenza virus vaccine, split virus, when administered to individuals 3 years of age and older, for intramuscular use (fluvirin)</t>
  </si>
  <si>
    <t xml:space="preserve"> Influenza virus vaccine, split virus, when administered to individuals 3 years of age and older, for intramuscular use (fluzone)</t>
  </si>
  <si>
    <t xml:space="preserve"> Influenza virus vaccine, not otherwise specified</t>
  </si>
  <si>
    <t xml:space="preserve"> Sipuleucel-t, minimum of 50 million autologous cd54+ cells activated with pap-gm-csf, including leukapheresis and all other preparatory procedures, per infusion</t>
  </si>
  <si>
    <t xml:space="preserve"> Injection, doxorubicin hydrochloride, liposomal, imported lipodox, 10 mg</t>
  </si>
  <si>
    <t xml:space="preserve"> Injection, doxorubicin hydrochloride, liposomal, not otherwise specified, 10 mg</t>
  </si>
  <si>
    <t xml:space="preserve"> Injection, interferon beta-1a, 1 mcg for intramuscular use</t>
  </si>
  <si>
    <t xml:space="preserve"> Collagen skin test</t>
  </si>
  <si>
    <t xml:space="preserve"> Skin substitute, not otherwise specified</t>
  </si>
  <si>
    <t xml:space="preserve"> Apligraf, per square centimeter</t>
  </si>
  <si>
    <t xml:space="preserve"> Oasis wound matrix, per square centimeter</t>
  </si>
  <si>
    <t xml:space="preserve"> Oasis burn matrix, per square centimeter</t>
  </si>
  <si>
    <t xml:space="preserve"> Integra bilayer matrix wound dressing (bmwd), per square centimeter</t>
  </si>
  <si>
    <t xml:space="preserve"> Integra dermal regeneration template (drt) or integra omnigraft dermal regeneration matrix, per square centimeter</t>
  </si>
  <si>
    <t xml:space="preserve"> Dermagraft, per square centimeter</t>
  </si>
  <si>
    <t xml:space="preserve"> Graftjacket, per square centimeter</t>
  </si>
  <si>
    <t xml:space="preserve"> Integra matrix, per square centimeter</t>
  </si>
  <si>
    <t xml:space="preserve"> Primatrix, per square centimeter</t>
  </si>
  <si>
    <t xml:space="preserve"> Gammagraft, per square centimeter</t>
  </si>
  <si>
    <t xml:space="preserve"> Cymetra, injectable, 1 cc</t>
  </si>
  <si>
    <t xml:space="preserve"> Graftjacket xpress, injectable, 1 cc</t>
  </si>
  <si>
    <t xml:space="preserve"> Integra flowable wound matrix, injectable, 1 cc</t>
  </si>
  <si>
    <t xml:space="preserve"> Alloskin, per square centimeter</t>
  </si>
  <si>
    <t xml:space="preserve"> Alloderm, per square centimeter</t>
  </si>
  <si>
    <t xml:space="preserve"> Hyalomatrix, per square centimeter</t>
  </si>
  <si>
    <t xml:space="preserve"> Matristem micromatrix, 1 mg</t>
  </si>
  <si>
    <t xml:space="preserve"> Theraskin, per square centimeter</t>
  </si>
  <si>
    <t xml:space="preserve"> Dermacell, dermacell awm or dermacell awm porous, per square centimeter</t>
  </si>
  <si>
    <t xml:space="preserve"> Alloskin rt, per square centimeter</t>
  </si>
  <si>
    <t xml:space="preserve"> Oasis ultra tri-layer wound matrix, per square centimeter</t>
  </si>
  <si>
    <t xml:space="preserve"> Arthroflex, per square centimeter</t>
  </si>
  <si>
    <t xml:space="preserve"> Memoderm, dermaspan, tranzgraft or integuply, per square centimeter</t>
  </si>
  <si>
    <t xml:space="preserve"> Talymed, per square centimeter</t>
  </si>
  <si>
    <t xml:space="preserve"> Flex hd, or allopatch hd, per square centimeter</t>
  </si>
  <si>
    <t xml:space="preserve"> Strattice tm, per square centimeter</t>
  </si>
  <si>
    <t xml:space="preserve"> Grafix core and grafixpl core, per square centimeter</t>
  </si>
  <si>
    <t xml:space="preserve"> Grafix prime, grafixpl prime, stravix and stravixpl, per square centimeter</t>
  </si>
  <si>
    <t xml:space="preserve"> Hmatrix, per square centimeter</t>
  </si>
  <si>
    <t xml:space="preserve"> Mediskin, per square centimeter</t>
  </si>
  <si>
    <t xml:space="preserve"> Ez-derm, per square centimeter</t>
  </si>
  <si>
    <t xml:space="preserve"> Amnioexcel, amnioexcel plus or biodexcel, per square centimeter</t>
  </si>
  <si>
    <t xml:space="preserve"> Biodfence dryflex, per square centimeter</t>
  </si>
  <si>
    <t xml:space="preserve"> Amniomatrix or biodmatrix, injectable, 1 cc</t>
  </si>
  <si>
    <t xml:space="preserve"> Biodfence, per square centimeter</t>
  </si>
  <si>
    <t xml:space="preserve"> Alloskin ac, per square centimeter</t>
  </si>
  <si>
    <t xml:space="preserve"> Xcm biologic tissue matrix, per square centimeter</t>
  </si>
  <si>
    <t xml:space="preserve"> Repriza, per square centimeter</t>
  </si>
  <si>
    <t xml:space="preserve"> Epifix, injectable, 1 mg</t>
  </si>
  <si>
    <t xml:space="preserve"> Tensix, per square centimeter</t>
  </si>
  <si>
    <t xml:space="preserve"> Architect, architect px, or architect fx, extracellular matrix, per square centimeter</t>
  </si>
  <si>
    <t xml:space="preserve"> Neox cord 1k, neox cord rt, or clarix cord 1k, per square centimeter</t>
  </si>
  <si>
    <t xml:space="preserve"> Excellagen, 0.1 cc</t>
  </si>
  <si>
    <t xml:space="preserve"> Allowrap ds or dry, per square centimeter</t>
  </si>
  <si>
    <t xml:space="preserve"> Amnioband or guardian, per square centimeter</t>
  </si>
  <si>
    <t xml:space="preserve"> Dermapure, per square centimeter</t>
  </si>
  <si>
    <t xml:space="preserve"> Dermavest and plurivest, per square centimeter</t>
  </si>
  <si>
    <t xml:space="preserve"> Biovance, per square centimeter</t>
  </si>
  <si>
    <t xml:space="preserve"> Neoxflo or clarixflo, 1 mg</t>
  </si>
  <si>
    <t xml:space="preserve"> Neox 100 or clarix 100, per square centimeter</t>
  </si>
  <si>
    <t xml:space="preserve"> Revitalon, per square centimeter</t>
  </si>
  <si>
    <t xml:space="preserve"> Kerecis omega3, per square centimeter</t>
  </si>
  <si>
    <t xml:space="preserve"> Affinity, per square centimeter</t>
  </si>
  <si>
    <t xml:space="preserve"> Nushield, per square centimeter</t>
  </si>
  <si>
    <t xml:space="preserve"> Bio-connekt wound matrix, per square centimeter</t>
  </si>
  <si>
    <t xml:space="preserve"> Woundex flow, bioskin flow, 0.5 cc</t>
  </si>
  <si>
    <t xml:space="preserve"> Woundex, bioskin, per square centimeter</t>
  </si>
  <si>
    <t xml:space="preserve"> Helicoll, per square centimeter</t>
  </si>
  <si>
    <t xml:space="preserve"> Keramatrix or kerasorb, per square centimeter</t>
  </si>
  <si>
    <t xml:space="preserve"> Cytal, per square centimeter</t>
  </si>
  <si>
    <t xml:space="preserve"> Truskin, per square centimeter</t>
  </si>
  <si>
    <t xml:space="preserve"> Amnioband, 1 mg</t>
  </si>
  <si>
    <t xml:space="preserve"> Artacent wound, per square centimeter</t>
  </si>
  <si>
    <t xml:space="preserve"> Cygnus, per square centimeter</t>
  </si>
  <si>
    <t xml:space="preserve"> Interfyl, 1 mg</t>
  </si>
  <si>
    <t xml:space="preserve"> Palingen or palingen xplus, per square centimeter</t>
  </si>
  <si>
    <t xml:space="preserve"> Palingen or promatrx, 0.36 mg per 0.25 cc</t>
  </si>
  <si>
    <t xml:space="preserve"> Miroderm, per square centimeter</t>
  </si>
  <si>
    <t xml:space="preserve"> Neopatch or therion, per square centimeter</t>
  </si>
  <si>
    <t xml:space="preserve"> Floweramnioflo, 0.1 cc</t>
  </si>
  <si>
    <t xml:space="preserve"> Floweramniopatch, per square centimeter</t>
  </si>
  <si>
    <t xml:space="preserve"> Flowerderm, per square centimeter</t>
  </si>
  <si>
    <t xml:space="preserve"> Revita, per square centimeter</t>
  </si>
  <si>
    <t xml:space="preserve"> Amnio wound, per square centimeter</t>
  </si>
  <si>
    <t xml:space="preserve"> Transcyte, per square centimeter</t>
  </si>
  <si>
    <t xml:space="preserve"> Surgigraft, per square centimeter</t>
  </si>
  <si>
    <t xml:space="preserve"> Cellesta or cellesta duo, per square centimeter</t>
  </si>
  <si>
    <t xml:space="preserve"> Cellesta flowable amnion (25 mg per cc); per 0.5 cc</t>
  </si>
  <si>
    <t xml:space="preserve"> Epifix, per square centimeter</t>
  </si>
  <si>
    <t xml:space="preserve"> Epicord, per square centimeter</t>
  </si>
  <si>
    <t xml:space="preserve"> Amnioarmor, per square centimeter</t>
  </si>
  <si>
    <t xml:space="preserve"> Artacent ac, 1 mg</t>
  </si>
  <si>
    <t xml:space="preserve"> Artacent ac, per square centimeter</t>
  </si>
  <si>
    <t xml:space="preserve"> Restorigin, per square centimeter</t>
  </si>
  <si>
    <t xml:space="preserve"> Restorigin, 1 cc</t>
  </si>
  <si>
    <t xml:space="preserve"> Coll-e-derm, per square centimeter</t>
  </si>
  <si>
    <t xml:space="preserve"> Novachor, per square centimeter</t>
  </si>
  <si>
    <t xml:space="preserve"> Puraply, per square centimeter</t>
  </si>
  <si>
    <t xml:space="preserve"> Puraply am, per square centimeter</t>
  </si>
  <si>
    <t xml:space="preserve"> Puraply xt, per square centimeter</t>
  </si>
  <si>
    <t xml:space="preserve"> Genesis amniotic membrane, per square centimeter</t>
  </si>
  <si>
    <t xml:space="preserve"> Cygnus matrix, per square centimeter</t>
  </si>
  <si>
    <t xml:space="preserve"> Skin te, per square centimeter</t>
  </si>
  <si>
    <t xml:space="preserve"> Matrion, per square centimeter</t>
  </si>
  <si>
    <t xml:space="preserve"> Keroxx (2.5g/cc), 1cc</t>
  </si>
  <si>
    <t xml:space="preserve"> Derma-gide, per square centimeter</t>
  </si>
  <si>
    <t xml:space="preserve"> Xwrap, per square centimeter</t>
  </si>
  <si>
    <t xml:space="preserve"> Membrane graft or membrane wrap, per square centimeter</t>
  </si>
  <si>
    <t xml:space="preserve"> Fluid flow or fluid gf, 1 cc</t>
  </si>
  <si>
    <t xml:space="preserve"> Novafix, per square cenitmeter</t>
  </si>
  <si>
    <t xml:space="preserve"> Surgraft, per square centimeter</t>
  </si>
  <si>
    <t>AXOLOTL GRAFT OR AXOLOTL DUALGRAFT, PER SQUARE CENTIMETER</t>
  </si>
  <si>
    <t xml:space="preserve"> Amnion bio or axobiomembrane, per square centimeter</t>
  </si>
  <si>
    <t xml:space="preserve"> Allogen, per cc</t>
  </si>
  <si>
    <t xml:space="preserve"> Ascent, 0.5 mg</t>
  </si>
  <si>
    <t xml:space="preserve"> Cellesta cord, per square centimeter</t>
  </si>
  <si>
    <t xml:space="preserve"> Axolotl ambient or axolotl cryo, 0.1 mg</t>
  </si>
  <si>
    <t xml:space="preserve"> Artacent cord, per square centimeter</t>
  </si>
  <si>
    <t xml:space="preserve"> Woundfix, biowound, woundfix plus, biowound plus, woundfix xplus or biowound xplus, per square centimeter</t>
  </si>
  <si>
    <t xml:space="preserve"> Surgicord, per square centimeter</t>
  </si>
  <si>
    <t xml:space="preserve"> Surgigraft-dual, per square centimeter</t>
  </si>
  <si>
    <t xml:space="preserve"> Bellacell hd or surederm, per square centimeter</t>
  </si>
  <si>
    <t xml:space="preserve"> Amniowrap2, per square centimeter</t>
  </si>
  <si>
    <t xml:space="preserve"> Progenamatrix, per square centimeter</t>
  </si>
  <si>
    <t xml:space="preserve"> Human health factor 10 amniotic patch (hhf10-p), per square centimeter</t>
  </si>
  <si>
    <t xml:space="preserve"> Amniobind or dermabind tl, per square centimeter</t>
  </si>
  <si>
    <t xml:space="preserve"> Myown skin, includes harvesting and preparation procedures, per square centimeter</t>
  </si>
  <si>
    <t xml:space="preserve"> Amniocore, per square centimeter</t>
  </si>
  <si>
    <t xml:space="preserve"> Cogenex amniotic membrane, per square centimeter</t>
  </si>
  <si>
    <t xml:space="preserve"> Cogenex flowable amnion, per 0.5 cc</t>
  </si>
  <si>
    <t xml:space="preserve"> Corplex p, per cc</t>
  </si>
  <si>
    <t xml:space="preserve"> Corplex, per square centimeter</t>
  </si>
  <si>
    <t xml:space="preserve"> Surfactor or nudyn, per 0.5 cc</t>
  </si>
  <si>
    <t xml:space="preserve"> Xcellerate, per square centimeter</t>
  </si>
  <si>
    <t xml:space="preserve"> Amniorepair or altiply, per square centimeter</t>
  </si>
  <si>
    <t xml:space="preserve"> Carepatch, per square centimeter</t>
  </si>
  <si>
    <t xml:space="preserve"> Cryo-cord, per square centimeter</t>
  </si>
  <si>
    <t xml:space="preserve"> Derm-maxx, per square centimeter</t>
  </si>
  <si>
    <t xml:space="preserve"> Amnio-maxx or amnio-maxx lite, per square centimeter</t>
  </si>
  <si>
    <t xml:space="preserve"> Corecyte, for topical use only, per 0.5 cc</t>
  </si>
  <si>
    <t xml:space="preserve"> Polycyte, for topical use only, per 0.5 cc</t>
  </si>
  <si>
    <t xml:space="preserve"> Amniocyte plus, per 0.5 cc</t>
  </si>
  <si>
    <t>PROCENTA, PER 200 MG</t>
  </si>
  <si>
    <t xml:space="preserve"> Amniotext, per cc</t>
  </si>
  <si>
    <t xml:space="preserve"> Coretext or protext, per cc</t>
  </si>
  <si>
    <t xml:space="preserve"> Amniotext patch, per square centimeter</t>
  </si>
  <si>
    <t xml:space="preserve"> Dermacyte amniotic membrane allograft, per square centimeter</t>
  </si>
  <si>
    <t xml:space="preserve"> Amniply, for topical use only, per square centimeter</t>
  </si>
  <si>
    <t xml:space="preserve"> Amnioamp-mp, per square centimeter</t>
  </si>
  <si>
    <t xml:space="preserve"> Vim, per square centimeter</t>
  </si>
  <si>
    <t xml:space="preserve"> Vendaje, per square centimeter</t>
  </si>
  <si>
    <t xml:space="preserve"> Zenith amniotic membrane, per square centimeter</t>
  </si>
  <si>
    <t xml:space="preserve"> Novafix dl, per square centimeter</t>
  </si>
  <si>
    <t xml:space="preserve"> Reguard, for topical use only, per square centimeter</t>
  </si>
  <si>
    <t xml:space="preserve"> Mlg-complete, per square centimeter</t>
  </si>
  <si>
    <t xml:space="preserve"> Relese, per square centimeter</t>
  </si>
  <si>
    <t xml:space="preserve"> Enverse, per square centimeter</t>
  </si>
  <si>
    <t xml:space="preserve"> Celera dual layer or celera dual membrane, per square centimeter</t>
  </si>
  <si>
    <t xml:space="preserve"> Signature apatch, per square centimeter</t>
  </si>
  <si>
    <t xml:space="preserve"> Tag, per square centimeter</t>
  </si>
  <si>
    <t xml:space="preserve"> Dual layer impax membrane, per square centimeter</t>
  </si>
  <si>
    <t xml:space="preserve"> Surgraft tl, per square centimeter</t>
  </si>
  <si>
    <t xml:space="preserve"> Cocoon membrane, per square centimeter</t>
  </si>
  <si>
    <t xml:space="preserve"> Neostim tl, per square centimeter</t>
  </si>
  <si>
    <t xml:space="preserve"> Neostim membrane, per square centimeter</t>
  </si>
  <si>
    <t xml:space="preserve"> Neostim dl, per square centimeter</t>
  </si>
  <si>
    <t xml:space="preserve"> Surgraft ft, per square centimeter</t>
  </si>
  <si>
    <t xml:space="preserve"> Surgraft xt, per square centimeter</t>
  </si>
  <si>
    <t xml:space="preserve"> Complete sl, per square centimeter</t>
  </si>
  <si>
    <t xml:space="preserve"> Complete ft, per square centimeter</t>
  </si>
  <si>
    <t xml:space="preserve"> Esano a, per square centimeter</t>
  </si>
  <si>
    <t xml:space="preserve"> Esano aaa, per square centimeter</t>
  </si>
  <si>
    <t xml:space="preserve"> Esano ac, per square centimeter</t>
  </si>
  <si>
    <t xml:space="preserve"> Esano aca, per square centimeter</t>
  </si>
  <si>
    <t xml:space="preserve"> Orion, per square centimeter</t>
  </si>
  <si>
    <t>Q4277</t>
  </si>
  <si>
    <t>WOUNDPLUS MEMBRANE OR E-GRAFT, PER SQUARE CENTIMETER</t>
  </si>
  <si>
    <t xml:space="preserve"> Epieffect, per square centimeter</t>
  </si>
  <si>
    <t xml:space="preserve"> Vendaje ac, per square centimeter</t>
  </si>
  <si>
    <t xml:space="preserve"> Xcell amnio matrix, per square centimeter</t>
  </si>
  <si>
    <t xml:space="preserve"> Barrera sl or barrera dl, per square centimeter</t>
  </si>
  <si>
    <t xml:space="preserve"> Cygnus dual, per square centimeter</t>
  </si>
  <si>
    <t xml:space="preserve"> Biovance tri-layer or biovance 3l, per square centimeter</t>
  </si>
  <si>
    <t xml:space="preserve"> Dermabind sl, per square centimeter</t>
  </si>
  <si>
    <t xml:space="preserve"> Nudyn dl or nudyn dl mesh, per square centimeter</t>
  </si>
  <si>
    <t xml:space="preserve"> Nudyn sl or nudyn slw, per square centimeter</t>
  </si>
  <si>
    <t xml:space="preserve"> Dermabind dl, per square centimeter</t>
  </si>
  <si>
    <t xml:space="preserve"> Dermabind ch, per square centimeter</t>
  </si>
  <si>
    <t xml:space="preserve"> Revoshield + amniotic barrier, per square centimeter</t>
  </si>
  <si>
    <t xml:space="preserve"> Membrane wrap-hydro, per square centimeter</t>
  </si>
  <si>
    <t xml:space="preserve"> Lamellas xt, per square centimeter</t>
  </si>
  <si>
    <t xml:space="preserve"> Lamellas, per square centimeter</t>
  </si>
  <si>
    <t xml:space="preserve"> Acesso dl, per square centimeter</t>
  </si>
  <si>
    <t xml:space="preserve"> Amnio quad-core, per square centimeter</t>
  </si>
  <si>
    <t xml:space="preserve"> Amnio tri-core amniotic, per square centimeter</t>
  </si>
  <si>
    <t xml:space="preserve"> Rebound matrix, per square centimeter</t>
  </si>
  <si>
    <t xml:space="preserve"> Emerge matrix, per square centimeter</t>
  </si>
  <si>
    <t xml:space="preserve"> Amnicore pro, per square centimeter</t>
  </si>
  <si>
    <t xml:space="preserve"> Amnicore pro+, per square centimeter</t>
  </si>
  <si>
    <t xml:space="preserve"> Acesso tl, per square centimeter</t>
  </si>
  <si>
    <t xml:space="preserve"> Activate matrix, per square centimeter</t>
  </si>
  <si>
    <t xml:space="preserve"> Complete aca, per square centimeter</t>
  </si>
  <si>
    <t xml:space="preserve"> Complete aa, per square centimeter</t>
  </si>
  <si>
    <t xml:space="preserve"> Grafix plus, per square centimeter</t>
  </si>
  <si>
    <t xml:space="preserve"> Injection, filgrastim-sndz, biosimilar, (zarxio), 1 microgram</t>
  </si>
  <si>
    <t xml:space="preserve"> Injection, infliximab-dyyb, biosimilar, (inflectra), 10 mg</t>
  </si>
  <si>
    <t xml:space="preserve"> Injection, infliximab-abda, biosimilar, (renflexis), 10 mg</t>
  </si>
  <si>
    <t xml:space="preserve"> Injection, epoetin alfa-epbx, biosimilar, (retacrit) (for esrd on dialysis), 100 units</t>
  </si>
  <si>
    <t xml:space="preserve"> Injection, epoetin alfa-epbx, biosimilar, (retacrit) (for non-esrd use), 1000 units</t>
  </si>
  <si>
    <t xml:space="preserve"> Injection, bevacizumab-awwb, biosimilar, (mvasi), 10 mg</t>
  </si>
  <si>
    <t xml:space="preserve"> Injection, pegfilgrastim-jmdb (fulphila), biosimilar, 0.5 mg</t>
  </si>
  <si>
    <t xml:space="preserve"> Injection, infliximab-qbtx, biosimilar, (ixifi), 10 mg</t>
  </si>
  <si>
    <t xml:space="preserve"> Injection, filgrastim-aafi, biosimilar, (nivestym), 1 microgram</t>
  </si>
  <si>
    <t xml:space="preserve"> Injection, pegfilgrastim-cbqv (udenyca), biosimilar, 0.5 mg</t>
  </si>
  <si>
    <t xml:space="preserve"> Injection, trastuzumab-dttb, biosimilar, (ontruzant), 10 mg</t>
  </si>
  <si>
    <t xml:space="preserve"> Injection, trastuzumab-pkrb, biosimilar, (herzuma), 10 mg</t>
  </si>
  <si>
    <t xml:space="preserve"> Injection, trastuzumab-dkst, biosimilar, (ogivri), 10 mg</t>
  </si>
  <si>
    <t xml:space="preserve"> Injection, rituximab-abbs, biosimilar, (truxima), 10 mg</t>
  </si>
  <si>
    <t xml:space="preserve"> Injection, trastuzumab-qyyp, biosimilar, (trazimera), 10 mg</t>
  </si>
  <si>
    <t xml:space="preserve"> Injection, trastuzumab-anns, biosimilar, (kanjinti), 10 mg</t>
  </si>
  <si>
    <t xml:space="preserve"> Injection, bevacizumab-bvzr, biosimilar, (zirabev), 10 mg</t>
  </si>
  <si>
    <t xml:space="preserve"> Injection, rituximab-pvvr, biosimilar, (ruxience), 10 mg</t>
  </si>
  <si>
    <t xml:space="preserve"> Injection, pegfilgrastim-bmez (ziextenzo), biosimilar, 0.5 mg</t>
  </si>
  <si>
    <t xml:space="preserve"> Injection, infliximab-axxq, biosimilar, (avsola), 10 mg</t>
  </si>
  <si>
    <t xml:space="preserve"> Injection, pegfilgrastim-apgf (nyvepria), biosimilar, 0.5 mg</t>
  </si>
  <si>
    <t xml:space="preserve"> Injection, rituximab-arrx, biosimilar, (riabni), 10 mg</t>
  </si>
  <si>
    <t xml:space="preserve"> Injection, ranibizumab-nuna, biosimilar, (byooviz), 0.1 mg</t>
  </si>
  <si>
    <t xml:space="preserve"> Injection, filgrastim-ayow, biosimilar, (releuko), 1 microgram</t>
  </si>
  <si>
    <t xml:space="preserve"> Injection, bevacizumab-maly, biosimilar, (alymsys), 10 mg</t>
  </si>
  <si>
    <t xml:space="preserve"> Injection, pegfilgrastim-fpgk (stimufend), biosimilar, 0.5 mg</t>
  </si>
  <si>
    <t xml:space="preserve"> Injection, ranibizumab-eqrn (cimerli), biosimilar, 0.1 mg</t>
  </si>
  <si>
    <t xml:space="preserve"> Injection, bevacizumab-adcd (vegzelma), biosimilar, 10 mg</t>
  </si>
  <si>
    <t xml:space="preserve"> Injection, pegfilgrastim-pbbk (fylnetra), biosimilar, 0.5 mg</t>
  </si>
  <si>
    <t xml:space="preserve"> Injection, adalimumab-aacf (idacio), biosimilar, 20 mg</t>
  </si>
  <si>
    <t xml:space="preserve"> Injection, adalimumab-afzb (abrilada), biosimilar, 10 mg</t>
  </si>
  <si>
    <t xml:space="preserve"> Injection, sulfur hexafluoride lipid microspheres, per ml</t>
  </si>
  <si>
    <t xml:space="preserve"> Low osmolar contrast material, 400 or greater mg/ml iodine concentration, per ml</t>
  </si>
  <si>
    <t xml:space="preserve"> Injection, iron-based magnetic resonance contrast agent, per ml</t>
  </si>
  <si>
    <t xml:space="preserve"> Oral magnetic resonance contrast agent, per 100 ml</t>
  </si>
  <si>
    <t xml:space="preserve"> Injection, perflexane lipid microspheres, per ml</t>
  </si>
  <si>
    <t xml:space="preserve"> Injection, octafluoropropane microspheres, per ml</t>
  </si>
  <si>
    <t xml:space="preserve"> Injection, perflutren lipid microspheres, per ml</t>
  </si>
  <si>
    <t xml:space="preserve"> High osmolar contrast material, up to 149 mg/ml iodine concentration, per ml</t>
  </si>
  <si>
    <t xml:space="preserve"> High osmolar contrast material, 150-199 mg/ml iodine concentration, per ml</t>
  </si>
  <si>
    <t xml:space="preserve"> High osmolar contrast material, 200-249 mg/ml iodine concentration, per ml</t>
  </si>
  <si>
    <t xml:space="preserve"> High osmolar contrast material, 250-299 mg/ml iodine concentration, per ml</t>
  </si>
  <si>
    <t xml:space="preserve"> High osmolar contrast material, 300-349 mg/ml iodine concentration, per ml</t>
  </si>
  <si>
    <t xml:space="preserve"> High osmolar contrast material, 350-399 mg/ml iodine concentration, per ml</t>
  </si>
  <si>
    <t xml:space="preserve"> High osmolar contrast material, 400 or greater mg/ml iodine concentration, per ml</t>
  </si>
  <si>
    <t xml:space="preserve"> Low osmolar contrast material, 100-199 mg/ml iodine concentration, per ml</t>
  </si>
  <si>
    <t xml:space="preserve"> Low osmolar contrast material, 200-299 mg/ml iodine concentration, per ml</t>
  </si>
  <si>
    <t xml:space="preserve"> Low osmolar contrast material, 300-399 mg/ml iodine concentration, per ml</t>
  </si>
  <si>
    <t xml:space="preserve"> Injection, non-radioactive, non-contrast, visualization adjunct (e.g., methylene blue, isosulfan blue), 1 mg</t>
  </si>
  <si>
    <t xml:space="preserve"> Flutemetamol f18, diagnostic, per study dose, up to 5 millicuries</t>
  </si>
  <si>
    <t xml:space="preserve"> Florbetaben f18, diagnostic, per study dose, up to 8.1 millicuries</t>
  </si>
  <si>
    <t xml:space="preserve"> Injection, buprenorphine extended-release (sublocade), less than or equal to 100 mg</t>
  </si>
  <si>
    <t xml:space="preserve"> Injection, buprenorphine extended-release (sublocade), greater than 100 mg</t>
  </si>
  <si>
    <t xml:space="preserve"> Breast reconstruction with deep inferior epigastric perforator (diep) flap or superficial inferior epigastric artery (siea) flap, including harvesting of the flap, microvascular transfer, closure of donor site and shaping the flap into a breast, unilateral</t>
  </si>
  <si>
    <t xml:space="preserve"> Laparoscopic esophagomyotomy (heller type)</t>
  </si>
  <si>
    <t xml:space="preserve"> Arthroereisis, subtalar</t>
  </si>
  <si>
    <t xml:space="preserve"> Surgical techniques requiring use of robotic surgical system (list separately in addition to code for primary procedure)</t>
  </si>
  <si>
    <t xml:space="preserve"> Anterior chamber intraocular lens</t>
  </si>
  <si>
    <t xml:space="preserve"> Iris supported intraocular lens</t>
  </si>
  <si>
    <t xml:space="preserve"> Posterior chamber intraocular lens</t>
  </si>
  <si>
    <t xml:space="preserve"> Processing, preserving and transporting corneal tissue</t>
  </si>
  <si>
    <t xml:space="preserve"> Amniotic membrane for surgical reconstruction, per procedure</t>
  </si>
  <si>
    <t xml:space="preserve"> Vision item or service, miscellaneous</t>
  </si>
  <si>
    <t>45%</t>
  </si>
  <si>
    <t>INJECTION PROCEDURE AND SURGERY OF THICKENED PENILE TISSUE</t>
  </si>
  <si>
    <t>METHOTREXATE SODIUM, 5 MG</t>
  </si>
  <si>
    <t>Corrected fee schedule to show 2024 rates</t>
  </si>
  <si>
    <t>Instillation of agent onto lung surface using chest tube</t>
  </si>
  <si>
    <t>D7282</t>
  </si>
  <si>
    <t>Mobilization of erupted or malpositioned tooth to aid eruption</t>
  </si>
  <si>
    <t>Corrected the following pricing:  32560 is 45% not $311.25, 32604 is 45% not $5,847.40, 32960 is $311.25 not 45%, 32994 is $5847.40 not 45%, 90384 is 45% not $0, 90393 is $0 not 45%, D0145 is 45% not $0.00, D1120 is 45% not $0, D1351 is 45% not $0, D1510 is 45% not $0, D1520 is 45% not $0, D3240 is $0 not 45%, D3310 is $0 not 45%, D3320 is $0 not 45%, D3330	 is $0 not 45%, D3460 is $0 not 45%, D3910 is $0 not 45%, G0378 is 45% not $51.92, G0429 is $51.92 not $0, G0516 is $0 not 45%, G0517 is $0 not 45%, G0518 is $0 not 45%.
Removed the following codes, should not have been on fee schedule:  76984, 0100T, 92974, C7518, C7519, C7534, C7541, C7542, C7543, C7544, C7546, C7549, C7552, C7553, C7555		
D0330 was showing twice, removed duplicate.
Added D7282 should have been on fee schedule.
Removed 80000-89999, G0433-G0435, G0475-G0476, G0659, G9143 and Q0115 and placed notation at top of fee schedule stating lab codes will be reimbursed from the Clinical Lab Fee Schedule.</t>
  </si>
  <si>
    <r>
      <rPr>
        <sz val="10"/>
        <color rgb="FF000000"/>
        <rFont val="Calibri"/>
        <family val="2"/>
      </rPr>
      <t>•</t>
    </r>
    <r>
      <rPr>
        <sz val="10"/>
        <color rgb="FF000000"/>
        <rFont val="Times New Roman"/>
        <family val="1"/>
      </rPr>
      <t>Lab codes 80000-89999, G0433-G0435, G0475-G0476, G0659, G9143 and Q0115 will be reimbursed from the Clinical Lab Fee Schedule</t>
    </r>
  </si>
  <si>
    <r>
      <rPr>
        <sz val="10"/>
        <color rgb="FF000000"/>
        <rFont val="Calibri"/>
        <family val="2"/>
      </rPr>
      <t>•</t>
    </r>
    <r>
      <rPr>
        <sz val="10"/>
        <color rgb="FF000000"/>
        <rFont val="Times New Roman"/>
        <family val="1"/>
      </rPr>
      <t>Reimbursement for multiple endoscopy discounting, multiple procedure discounting, and reproductive services can be found in ASC</t>
    </r>
    <r>
      <rPr>
        <sz val="10"/>
        <color rgb="FF000000"/>
        <rFont val="Times New Roman"/>
        <family val="2"/>
      </rPr>
      <t xml:space="preserve"> Regulation 
907 KAR 1:008 at the following link: https://apps.legislature.ky.gov/law/kar/titles/907/001/008/</t>
    </r>
  </si>
  <si>
    <t>Corrected notes section.  Part of the following notation was cutoff: •Reimbursement for multiple endoscopy discounting, multiple procedure discounting, and reproductive services can be found in ASC Regulation 
907 KAR 1:008 at the following link: https://apps.legislature.ky.gov/law/kar/titles/907/001/008/</t>
  </si>
  <si>
    <t>Code J3971 was entered on the fee schedule in error with no description, amounts, or dates.  This code has been removed.</t>
  </si>
  <si>
    <r>
      <t xml:space="preserve">2024 Kentucky Medicaid ASC Fee Schedule </t>
    </r>
    <r>
      <rPr>
        <b/>
        <sz val="8"/>
        <rFont val="Times New Roman"/>
        <family val="1"/>
      </rPr>
      <t>revised 11.19.2024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</si>
</sst>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20" x14ac:knownFonts="1">
    <font>
      <sz val="10"/>
      <color rgb="FF000000"/>
      <name val="Times New Roman"/>
      <charset val="204"/>
    </font>
    <font>
      <sz val="11"/>
      <color theme="1"/>
      <name val="Calibri"/>
      <family val="2"/>
      <scheme val="minor"/>
    </font>
    <font>
      <b/>
      <sz val="16"/>
      <name val="Times New Roman"/>
      <family val="1"/>
    </font>
    <font>
      <sz val="11"/>
      <color rgb="FF000000"/>
      <name val="Calibri"/>
      <family val="2"/>
      <scheme val="minor"/>
    </font>
    <font>
      <b/>
      <sz val="8"/>
      <name val="Times New Roman"/>
      <family val="1"/>
    </font>
    <font>
      <sz val="10"/>
      <color rgb="FF000000"/>
      <name val="Times New Roman"/>
      <family val="1"/>
    </font>
    <font>
      <u/>
      <sz val="10"/>
      <color theme="10"/>
      <name val="Times New Roman"/>
      <family val="1"/>
    </font>
    <font>
      <sz val="10"/>
      <color rgb="FF000000"/>
      <name val="Calibri"/>
      <family val="2"/>
    </font>
    <font>
      <sz val="10"/>
      <color rgb="FF000000"/>
      <name val="Times New Roman"/>
      <family val="2"/>
    </font>
    <font>
      <b/>
      <sz val="10"/>
      <color rgb="FF000000"/>
      <name val="Times New Roman"/>
      <family val="1"/>
    </font>
    <font>
      <b/>
      <sz val="10"/>
      <name val="Times New Roman"/>
      <family val="1"/>
    </font>
    <font>
      <b/>
      <sz val="12"/>
      <color rgb="FF000000"/>
      <name val="Times New Roman"/>
      <family val="1"/>
    </font>
    <font>
      <b/>
      <sz val="11"/>
      <color theme="1"/>
      <name val="Calibri"/>
      <family val="2"/>
      <scheme val="minor"/>
    </font>
    <font>
      <b/>
      <sz val="18"/>
      <color theme="1"/>
      <name val="Calibri"/>
      <family val="2"/>
      <scheme val="minor"/>
    </font>
    <font>
      <sz val="10"/>
      <color indexed="8"/>
      <name val="Arial"/>
      <family val="2"/>
    </font>
    <font>
      <sz val="11"/>
      <name val="Calibri"/>
      <family val="2"/>
      <scheme val="minor"/>
    </font>
    <font>
      <sz val="10"/>
      <color rgb="FF000000"/>
      <name val="Times New Roman"/>
      <family val="2"/>
      <charset val="204"/>
    </font>
    <font>
      <sz val="10"/>
      <color rgb="FF000000"/>
      <name val="Times New Roman"/>
      <family val="1"/>
    </font>
    <font>
      <b/>
      <sz val="11"/>
      <color theme="1"/>
      <name val="Calibri"/>
      <family val="2"/>
    </font>
    <font>
      <sz val="10"/>
      <color rgb="FF00B0F0"/>
      <name val="Times New Roman"/>
      <family val="1"/>
    </font>
  </fonts>
  <fills count="5">
    <fill>
      <patternFill patternType="none"/>
    </fill>
    <fill>
      <patternFill patternType="gray125"/>
    </fill>
    <fill>
      <patternFill patternType="solid">
        <fgColor rgb="FF00B0F0"/>
        <bgColor indexed="64"/>
      </patternFill>
    </fill>
    <fill>
      <patternFill patternType="solid">
        <fgColor theme="4" tint="0.79998168889431442"/>
        <bgColor indexed="64"/>
      </patternFill>
    </fill>
    <fill>
      <patternFill patternType="solid">
        <fgColor theme="4" tint="0.59999389629810485"/>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0" fontId="6" fillId="0" borderId="0" applyNumberFormat="0" applyFill="0" applyBorder="0" applyAlignment="0" applyProtection="0"/>
    <xf numFmtId="0" fontId="14" fillId="0" borderId="0"/>
    <xf numFmtId="43" fontId="17" fillId="0" borderId="0" applyFont="0" applyFill="0" applyBorder="0" applyAlignment="0" applyProtection="0"/>
  </cellStyleXfs>
  <cellXfs count="68">
    <xf numFmtId="0" fontId="0" fillId="0" borderId="0" xfId="0" applyFill="1" applyBorder="1" applyAlignment="1">
      <alignment horizontal="left" vertical="top"/>
    </xf>
    <xf numFmtId="0" fontId="12" fillId="2" borderId="1" xfId="0" applyFont="1" applyFill="1" applyBorder="1" applyAlignment="1">
      <alignment horizontal="center"/>
    </xf>
    <xf numFmtId="14" fontId="12" fillId="2" borderId="1" xfId="0" applyNumberFormat="1" applyFont="1" applyFill="1" applyBorder="1" applyAlignment="1">
      <alignment horizontal="center" wrapText="1"/>
    </xf>
    <xf numFmtId="14" fontId="0" fillId="0" borderId="8" xfId="0" applyNumberFormat="1" applyBorder="1" applyAlignment="1">
      <alignment horizontal="center"/>
    </xf>
    <xf numFmtId="0" fontId="0" fillId="0" borderId="8" xfId="0" applyBorder="1"/>
    <xf numFmtId="0" fontId="0" fillId="0" borderId="8" xfId="0" applyBorder="1" applyAlignment="1">
      <alignment wrapText="1"/>
    </xf>
    <xf numFmtId="0" fontId="0" fillId="0" borderId="8" xfId="0" applyBorder="1" applyAlignment="1">
      <alignment vertical="center" wrapText="1"/>
    </xf>
    <xf numFmtId="14" fontId="0" fillId="0" borderId="8" xfId="0" applyNumberFormat="1" applyBorder="1" applyAlignment="1">
      <alignment horizontal="center" wrapText="1"/>
    </xf>
    <xf numFmtId="0" fontId="15" fillId="0" borderId="8" xfId="2" applyFont="1" applyBorder="1" applyAlignment="1">
      <alignment horizontal="left" wrapText="1"/>
    </xf>
    <xf numFmtId="49" fontId="15" fillId="0" borderId="8" xfId="2" applyNumberFormat="1" applyFont="1" applyBorder="1" applyAlignment="1">
      <alignment horizontal="left" wrapText="1"/>
    </xf>
    <xf numFmtId="14" fontId="3" fillId="0" borderId="8" xfId="0" applyNumberFormat="1" applyFont="1" applyBorder="1" applyAlignment="1">
      <alignment horizontal="center"/>
    </xf>
    <xf numFmtId="14" fontId="1" fillId="0" borderId="8" xfId="0" applyNumberFormat="1" applyFont="1" applyBorder="1" applyAlignment="1">
      <alignment horizontal="center" vertical="center" wrapText="1"/>
    </xf>
    <xf numFmtId="0" fontId="15" fillId="0" borderId="8" xfId="0" applyFont="1" applyBorder="1" applyAlignment="1">
      <alignment horizontal="left" wrapText="1"/>
    </xf>
    <xf numFmtId="0" fontId="16" fillId="0" borderId="8" xfId="0" applyFont="1" applyBorder="1" applyAlignment="1">
      <alignment wrapText="1"/>
    </xf>
    <xf numFmtId="0" fontId="0" fillId="0" borderId="0" xfId="0"/>
    <xf numFmtId="0" fontId="0" fillId="0" borderId="0" xfId="0" applyAlignment="1">
      <alignment horizontal="center"/>
    </xf>
    <xf numFmtId="49" fontId="12" fillId="3" borderId="8" xfId="0" applyNumberFormat="1" applyFont="1" applyFill="1" applyBorder="1" applyAlignment="1">
      <alignment horizontal="center"/>
    </xf>
    <xf numFmtId="0" fontId="0" fillId="0" borderId="8" xfId="0" applyBorder="1" applyAlignment="1">
      <alignment horizontal="center"/>
    </xf>
    <xf numFmtId="43" fontId="0" fillId="0" borderId="9" xfId="3" applyFont="1" applyBorder="1" applyAlignment="1"/>
    <xf numFmtId="0" fontId="0" fillId="0" borderId="0" xfId="0" applyAlignment="1">
      <alignment wrapText="1"/>
    </xf>
    <xf numFmtId="49" fontId="12" fillId="3" borderId="8" xfId="0" applyNumberFormat="1" applyFont="1" applyFill="1" applyBorder="1" applyAlignment="1">
      <alignment wrapText="1"/>
    </xf>
    <xf numFmtId="49" fontId="5" fillId="0" borderId="8" xfId="0" applyNumberFormat="1" applyFont="1" applyBorder="1" applyAlignment="1">
      <alignment horizontal="center"/>
    </xf>
    <xf numFmtId="164" fontId="0" fillId="0" borderId="0" xfId="0" applyNumberFormat="1" applyAlignment="1">
      <alignment horizontal="center"/>
    </xf>
    <xf numFmtId="164" fontId="18" fillId="4" borderId="8" xfId="0" applyNumberFormat="1" applyFont="1" applyFill="1" applyBorder="1" applyAlignment="1">
      <alignment horizontal="center"/>
    </xf>
    <xf numFmtId="164" fontId="5" fillId="0" borderId="8" xfId="0" applyNumberFormat="1" applyFont="1" applyBorder="1" applyAlignment="1">
      <alignment horizontal="center"/>
    </xf>
    <xf numFmtId="164" fontId="0" fillId="0" borderId="8" xfId="0" applyNumberFormat="1" applyBorder="1" applyAlignment="1">
      <alignment horizontal="center"/>
    </xf>
    <xf numFmtId="1" fontId="0" fillId="0" borderId="8" xfId="0" applyNumberFormat="1" applyBorder="1" applyAlignment="1">
      <alignment horizontal="center"/>
    </xf>
    <xf numFmtId="0" fontId="5" fillId="0" borderId="8" xfId="0" applyFont="1" applyBorder="1" applyAlignment="1">
      <alignment wrapText="1"/>
    </xf>
    <xf numFmtId="0" fontId="0" fillId="0" borderId="12" xfId="0" applyBorder="1" applyAlignment="1">
      <alignment horizontal="center"/>
    </xf>
    <xf numFmtId="164" fontId="0" fillId="0" borderId="0" xfId="0" applyNumberFormat="1" applyBorder="1" applyAlignment="1">
      <alignment horizontal="center"/>
    </xf>
    <xf numFmtId="0" fontId="5" fillId="0" borderId="8" xfId="0" applyFont="1" applyBorder="1" applyAlignment="1">
      <alignment horizontal="center"/>
    </xf>
    <xf numFmtId="0" fontId="19" fillId="0" borderId="8" xfId="0" applyFont="1" applyBorder="1" applyAlignment="1">
      <alignment horizontal="center"/>
    </xf>
    <xf numFmtId="0" fontId="19" fillId="0" borderId="8" xfId="0" applyFont="1" applyBorder="1" applyAlignment="1">
      <alignment wrapText="1"/>
    </xf>
    <xf numFmtId="164" fontId="19" fillId="0" borderId="8" xfId="0" applyNumberFormat="1" applyFont="1" applyBorder="1" applyAlignment="1">
      <alignment horizontal="center"/>
    </xf>
    <xf numFmtId="0" fontId="10" fillId="0" borderId="5" xfId="1" applyFont="1" applyFill="1" applyBorder="1" applyAlignment="1">
      <alignment horizontal="left"/>
    </xf>
    <xf numFmtId="0" fontId="10" fillId="0" borderId="0" xfId="1" applyFont="1" applyFill="1" applyBorder="1" applyAlignment="1">
      <alignment horizontal="left" wrapText="1"/>
    </xf>
    <xf numFmtId="0" fontId="10" fillId="0" borderId="0" xfId="1" applyFont="1" applyFill="1" applyBorder="1" applyAlignment="1">
      <alignment horizontal="center"/>
    </xf>
    <xf numFmtId="0" fontId="10" fillId="0" borderId="6" xfId="1" applyFont="1" applyFill="1" applyBorder="1" applyAlignment="1">
      <alignment horizontal="center"/>
    </xf>
    <xf numFmtId="0" fontId="8" fillId="0" borderId="5" xfId="0" applyFont="1" applyBorder="1" applyAlignment="1">
      <alignment horizontal="left" indent="1"/>
    </xf>
    <xf numFmtId="0" fontId="5" fillId="0" borderId="0" xfId="0" applyFont="1" applyBorder="1" applyAlignment="1">
      <alignment horizontal="left" wrapText="1"/>
    </xf>
    <xf numFmtId="0" fontId="5" fillId="0" borderId="0" xfId="0" applyFont="1" applyBorder="1" applyAlignment="1">
      <alignment horizontal="center"/>
    </xf>
    <xf numFmtId="0" fontId="5" fillId="0" borderId="6" xfId="0" applyFont="1" applyBorder="1" applyAlignment="1">
      <alignment horizontal="center"/>
    </xf>
    <xf numFmtId="0" fontId="5" fillId="0" borderId="5" xfId="0" applyFont="1" applyBorder="1" applyAlignment="1">
      <alignment horizontal="left" indent="1"/>
    </xf>
    <xf numFmtId="0" fontId="5" fillId="0" borderId="5" xfId="0" applyFont="1" applyBorder="1" applyAlignment="1">
      <alignment horizontal="left" indent="2"/>
    </xf>
    <xf numFmtId="0" fontId="8" fillId="0" borderId="5" xfId="0" applyFont="1" applyBorder="1" applyAlignment="1">
      <alignment horizontal="left" wrapText="1"/>
    </xf>
    <xf numFmtId="0" fontId="8" fillId="0" borderId="0" xfId="0" applyFont="1" applyBorder="1" applyAlignment="1">
      <alignment horizontal="left" wrapText="1"/>
    </xf>
    <xf numFmtId="0" fontId="8" fillId="0" borderId="6" xfId="0" applyFont="1" applyBorder="1" applyAlignment="1">
      <alignment horizontal="left" wrapText="1"/>
    </xf>
    <xf numFmtId="0" fontId="8" fillId="0" borderId="10" xfId="0" applyFont="1" applyBorder="1" applyAlignment="1">
      <alignment horizontal="left"/>
    </xf>
    <xf numFmtId="0" fontId="5" fillId="0" borderId="7" xfId="0" applyFont="1" applyBorder="1" applyAlignment="1">
      <alignment horizontal="left"/>
    </xf>
    <xf numFmtId="0" fontId="5" fillId="0" borderId="11" xfId="0" applyFont="1" applyBorder="1" applyAlignment="1">
      <alignment horizontal="left"/>
    </xf>
    <xf numFmtId="0" fontId="2" fillId="2" borderId="2" xfId="0" applyFont="1" applyFill="1" applyBorder="1" applyAlignment="1">
      <alignment horizontal="center" vertical="top"/>
    </xf>
    <xf numFmtId="0" fontId="2" fillId="2" borderId="3" xfId="0" applyFont="1" applyFill="1" applyBorder="1" applyAlignment="1">
      <alignment horizontal="center" vertical="top" wrapText="1"/>
    </xf>
    <xf numFmtId="0" fontId="2" fillId="2" borderId="3" xfId="0" applyFont="1" applyFill="1" applyBorder="1" applyAlignment="1">
      <alignment horizontal="center" vertical="top"/>
    </xf>
    <xf numFmtId="0" fontId="2" fillId="2" borderId="4" xfId="0" applyFont="1" applyFill="1" applyBorder="1" applyAlignment="1">
      <alignment horizontal="center" vertical="top"/>
    </xf>
    <xf numFmtId="0" fontId="9" fillId="0" borderId="5" xfId="0" applyFont="1" applyBorder="1" applyAlignment="1">
      <alignment horizontal="left"/>
    </xf>
    <xf numFmtId="0" fontId="9" fillId="0" borderId="0" xfId="0" applyFont="1" applyBorder="1" applyAlignment="1">
      <alignment horizontal="left" wrapText="1"/>
    </xf>
    <xf numFmtId="0" fontId="9" fillId="0" borderId="0" xfId="0" applyFont="1" applyBorder="1" applyAlignment="1">
      <alignment horizontal="center"/>
    </xf>
    <xf numFmtId="0" fontId="9" fillId="0" borderId="6" xfId="0" applyFont="1" applyBorder="1" applyAlignment="1">
      <alignment horizontal="center"/>
    </xf>
    <xf numFmtId="0" fontId="6" fillId="0" borderId="5" xfId="1" applyFill="1" applyBorder="1"/>
    <xf numFmtId="0" fontId="0" fillId="0" borderId="0" xfId="0" applyBorder="1" applyAlignment="1">
      <alignment wrapText="1"/>
    </xf>
    <xf numFmtId="0" fontId="0" fillId="0" borderId="0" xfId="0" applyBorder="1" applyAlignment="1">
      <alignment horizontal="center"/>
    </xf>
    <xf numFmtId="0" fontId="0" fillId="0" borderId="6" xfId="0" applyBorder="1" applyAlignment="1">
      <alignment horizontal="center"/>
    </xf>
    <xf numFmtId="0" fontId="11" fillId="0" borderId="5" xfId="0" applyFont="1" applyBorder="1" applyAlignment="1">
      <alignment horizontal="left" wrapText="1"/>
    </xf>
    <xf numFmtId="0" fontId="11" fillId="0" borderId="0" xfId="0" applyFont="1" applyBorder="1" applyAlignment="1">
      <alignment horizontal="left" wrapText="1"/>
    </xf>
    <xf numFmtId="0" fontId="11" fillId="0" borderId="0" xfId="0" applyFont="1" applyBorder="1" applyAlignment="1">
      <alignment horizontal="center" wrapText="1"/>
    </xf>
    <xf numFmtId="0" fontId="11" fillId="0" borderId="6" xfId="0" applyFont="1" applyBorder="1" applyAlignment="1">
      <alignment horizontal="center" wrapText="1"/>
    </xf>
    <xf numFmtId="14" fontId="13" fillId="0" borderId="7" xfId="0" applyNumberFormat="1" applyFont="1" applyBorder="1" applyAlignment="1">
      <alignment horizontal="left"/>
    </xf>
    <xf numFmtId="0" fontId="5" fillId="0" borderId="8" xfId="0" applyFont="1" applyBorder="1"/>
  </cellXfs>
  <cellStyles count="4">
    <cellStyle name="Comma" xfId="3" builtinId="3"/>
    <cellStyle name="Hyperlink" xfId="1" builtinId="8"/>
    <cellStyle name="Normal" xfId="0" builtinId="0"/>
    <cellStyle name="Normal_Sheet2" xfId="2" xr:uid="{48C652BB-5C77-45F9-8C94-B2AEFFB97B78}"/>
  </cellStyles>
  <dxfs count="0"/>
  <tableStyles count="0" defaultTableStyle="TableStyleMedium9" defaultPivotStyle="PivotStyleLight16"/>
  <colors>
    <mruColors>
      <color rgb="FF96C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609600</xdr:colOff>
      <xdr:row>1</xdr:row>
      <xdr:rowOff>57150</xdr:rowOff>
    </xdr:from>
    <xdr:to>
      <xdr:col>4</xdr:col>
      <xdr:colOff>2209800</xdr:colOff>
      <xdr:row>3</xdr:row>
      <xdr:rowOff>158750</xdr:rowOff>
    </xdr:to>
    <xdr:pic>
      <xdr:nvPicPr>
        <xdr:cNvPr id="3" name="Picture 2">
          <a:extLst>
            <a:ext uri="{FF2B5EF4-FFF2-40B4-BE49-F238E27FC236}">
              <a16:creationId xmlns:a16="http://schemas.microsoft.com/office/drawing/2014/main" id="{E9A633A3-61EC-4245-A818-C29F33F446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88050" y="311150"/>
          <a:ext cx="1600200" cy="4572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ms.gov/Medicare/Medicare-Fee-for-Service-Payment/ASCPayment/11_Addenda_Updates.html"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122"/>
  <sheetViews>
    <sheetView showGridLines="0" tabSelected="1" zoomScaleNormal="100" workbookViewId="0">
      <selection activeCell="A6" sqref="A6:E6"/>
    </sheetView>
  </sheetViews>
  <sheetFormatPr defaultRowHeight="13" x14ac:dyDescent="0.3"/>
  <cols>
    <col min="1" max="1" width="16.796875" style="15" bestFit="1" customWidth="1"/>
    <col min="2" max="2" width="40.69921875" style="19" customWidth="1"/>
    <col min="3" max="3" width="13.69921875" style="15" bestFit="1" customWidth="1"/>
    <col min="4" max="4" width="13.5" style="15" customWidth="1"/>
    <col min="5" max="5" width="38.296875" style="22" bestFit="1" customWidth="1"/>
    <col min="6" max="6" width="10" style="14" bestFit="1" customWidth="1"/>
    <col min="7" max="16384" width="8.796875" style="14"/>
  </cols>
  <sheetData>
    <row r="1" spans="1:5" ht="20" x14ac:dyDescent="0.3">
      <c r="A1" s="50" t="s">
        <v>7140</v>
      </c>
      <c r="B1" s="51"/>
      <c r="C1" s="52"/>
      <c r="D1" s="52"/>
      <c r="E1" s="53"/>
    </row>
    <row r="2" spans="1:5" ht="15" x14ac:dyDescent="0.3">
      <c r="A2" s="62" t="s">
        <v>0</v>
      </c>
      <c r="B2" s="63"/>
      <c r="C2" s="64"/>
      <c r="D2" s="64"/>
      <c r="E2" s="65"/>
    </row>
    <row r="3" spans="1:5" x14ac:dyDescent="0.3">
      <c r="A3" s="54" t="s">
        <v>1</v>
      </c>
      <c r="B3" s="55"/>
      <c r="C3" s="56"/>
      <c r="D3" s="56"/>
      <c r="E3" s="57"/>
    </row>
    <row r="4" spans="1:5" x14ac:dyDescent="0.3">
      <c r="A4" s="58" t="s">
        <v>2</v>
      </c>
      <c r="B4" s="59"/>
      <c r="C4" s="60"/>
      <c r="D4" s="60"/>
      <c r="E4" s="61"/>
    </row>
    <row r="5" spans="1:5" ht="13" customHeight="1" x14ac:dyDescent="0.3">
      <c r="A5" s="34" t="s">
        <v>3</v>
      </c>
      <c r="B5" s="35"/>
      <c r="C5" s="36"/>
      <c r="D5" s="36"/>
      <c r="E5" s="37"/>
    </row>
    <row r="6" spans="1:5" x14ac:dyDescent="0.3">
      <c r="A6" s="38" t="s">
        <v>4</v>
      </c>
      <c r="B6" s="39"/>
      <c r="C6" s="40"/>
      <c r="D6" s="40"/>
      <c r="E6" s="41"/>
    </row>
    <row r="7" spans="1:5" x14ac:dyDescent="0.3">
      <c r="A7" s="42" t="s">
        <v>7</v>
      </c>
      <c r="B7" s="39"/>
      <c r="C7" s="40"/>
      <c r="D7" s="40"/>
      <c r="E7" s="41"/>
    </row>
    <row r="8" spans="1:5" x14ac:dyDescent="0.3">
      <c r="A8" s="42" t="s">
        <v>5</v>
      </c>
      <c r="B8" s="39"/>
      <c r="C8" s="40"/>
      <c r="D8" s="40"/>
      <c r="E8" s="41"/>
    </row>
    <row r="9" spans="1:5" x14ac:dyDescent="0.3">
      <c r="A9" s="42" t="s">
        <v>6</v>
      </c>
      <c r="B9" s="39"/>
      <c r="C9" s="40"/>
      <c r="D9" s="40"/>
      <c r="E9" s="41"/>
    </row>
    <row r="10" spans="1:5" x14ac:dyDescent="0.3">
      <c r="A10" s="42" t="s">
        <v>8</v>
      </c>
      <c r="B10" s="39"/>
      <c r="C10" s="40"/>
      <c r="D10" s="40"/>
      <c r="E10" s="41"/>
    </row>
    <row r="11" spans="1:5" x14ac:dyDescent="0.3">
      <c r="A11" s="43" t="s">
        <v>9</v>
      </c>
      <c r="B11" s="39"/>
      <c r="C11" s="40"/>
      <c r="D11" s="40"/>
      <c r="E11" s="41"/>
    </row>
    <row r="12" spans="1:5" x14ac:dyDescent="0.3">
      <c r="A12" s="44" t="s">
        <v>7137</v>
      </c>
      <c r="B12" s="45"/>
      <c r="C12" s="45"/>
      <c r="D12" s="45"/>
      <c r="E12" s="46"/>
    </row>
    <row r="13" spans="1:5" x14ac:dyDescent="0.3">
      <c r="A13" s="44"/>
      <c r="B13" s="45"/>
      <c r="C13" s="45"/>
      <c r="D13" s="45"/>
      <c r="E13" s="46"/>
    </row>
    <row r="14" spans="1:5" ht="13.5" thickBot="1" x14ac:dyDescent="0.35">
      <c r="A14" s="47" t="s">
        <v>7136</v>
      </c>
      <c r="B14" s="48"/>
      <c r="C14" s="48"/>
      <c r="D14" s="48"/>
      <c r="E14" s="49"/>
    </row>
    <row r="16" spans="1:5" ht="14.5" x14ac:dyDescent="0.35">
      <c r="A16" s="16" t="s">
        <v>16</v>
      </c>
      <c r="B16" s="20" t="s">
        <v>17</v>
      </c>
      <c r="C16" s="16" t="s">
        <v>10</v>
      </c>
      <c r="D16" s="16" t="s">
        <v>18</v>
      </c>
      <c r="E16" s="23" t="s">
        <v>19</v>
      </c>
    </row>
    <row r="17" spans="1:5" x14ac:dyDescent="0.3">
      <c r="A17" s="17" t="str">
        <f>"00100"</f>
        <v>00100</v>
      </c>
      <c r="B17" s="5" t="s">
        <v>25</v>
      </c>
      <c r="C17" s="17">
        <v>19941213</v>
      </c>
      <c r="D17" s="17">
        <v>22991231</v>
      </c>
      <c r="E17" s="24" t="s">
        <v>7128</v>
      </c>
    </row>
    <row r="18" spans="1:5" x14ac:dyDescent="0.3">
      <c r="A18" s="17" t="str">
        <f>"00102"</f>
        <v>00102</v>
      </c>
      <c r="B18" s="5" t="s">
        <v>26</v>
      </c>
      <c r="C18" s="17">
        <v>19941213</v>
      </c>
      <c r="D18" s="17">
        <v>22991231</v>
      </c>
      <c r="E18" s="24" t="s">
        <v>7128</v>
      </c>
    </row>
    <row r="19" spans="1:5" x14ac:dyDescent="0.3">
      <c r="A19" s="17" t="str">
        <f>"00103"</f>
        <v>00103</v>
      </c>
      <c r="B19" s="5" t="s">
        <v>27</v>
      </c>
      <c r="C19" s="17">
        <v>19941213</v>
      </c>
      <c r="D19" s="17">
        <v>22991231</v>
      </c>
      <c r="E19" s="24" t="s">
        <v>7128</v>
      </c>
    </row>
    <row r="20" spans="1:5" x14ac:dyDescent="0.3">
      <c r="A20" s="17" t="str">
        <f>"00104"</f>
        <v>00104</v>
      </c>
      <c r="B20" s="5" t="s">
        <v>28</v>
      </c>
      <c r="C20" s="17">
        <v>19941213</v>
      </c>
      <c r="D20" s="17">
        <v>22991231</v>
      </c>
      <c r="E20" s="24" t="s">
        <v>7128</v>
      </c>
    </row>
    <row r="21" spans="1:5" ht="26" x14ac:dyDescent="0.3">
      <c r="A21" s="17" t="str">
        <f>"00120"</f>
        <v>00120</v>
      </c>
      <c r="B21" s="5" t="s">
        <v>29</v>
      </c>
      <c r="C21" s="17">
        <v>19941213</v>
      </c>
      <c r="D21" s="17">
        <v>22991231</v>
      </c>
      <c r="E21" s="24" t="s">
        <v>7128</v>
      </c>
    </row>
    <row r="22" spans="1:5" x14ac:dyDescent="0.3">
      <c r="A22" s="17" t="str">
        <f>"00124"</f>
        <v>00124</v>
      </c>
      <c r="B22" s="5" t="s">
        <v>30</v>
      </c>
      <c r="C22" s="17">
        <v>19941213</v>
      </c>
      <c r="D22" s="17">
        <v>22991231</v>
      </c>
      <c r="E22" s="24" t="s">
        <v>7128</v>
      </c>
    </row>
    <row r="23" spans="1:5" x14ac:dyDescent="0.3">
      <c r="A23" s="17" t="str">
        <f>"00126"</f>
        <v>00126</v>
      </c>
      <c r="B23" s="5" t="s">
        <v>31</v>
      </c>
      <c r="C23" s="17">
        <v>19941213</v>
      </c>
      <c r="D23" s="17">
        <v>22991231</v>
      </c>
      <c r="E23" s="24" t="s">
        <v>7128</v>
      </c>
    </row>
    <row r="24" spans="1:5" x14ac:dyDescent="0.3">
      <c r="A24" s="17" t="str">
        <f>"00140"</f>
        <v>00140</v>
      </c>
      <c r="B24" s="5" t="s">
        <v>32</v>
      </c>
      <c r="C24" s="17">
        <v>19941213</v>
      </c>
      <c r="D24" s="17">
        <v>22991231</v>
      </c>
      <c r="E24" s="24" t="s">
        <v>7128</v>
      </c>
    </row>
    <row r="25" spans="1:5" x14ac:dyDescent="0.3">
      <c r="A25" s="17" t="str">
        <f>"00142"</f>
        <v>00142</v>
      </c>
      <c r="B25" s="5" t="s">
        <v>33</v>
      </c>
      <c r="C25" s="17">
        <v>19941213</v>
      </c>
      <c r="D25" s="17">
        <v>22991231</v>
      </c>
      <c r="E25" s="24" t="s">
        <v>7128</v>
      </c>
    </row>
    <row r="26" spans="1:5" ht="26" x14ac:dyDescent="0.3">
      <c r="A26" s="17" t="str">
        <f>"00144"</f>
        <v>00144</v>
      </c>
      <c r="B26" s="5" t="s">
        <v>34</v>
      </c>
      <c r="C26" s="17">
        <v>19941213</v>
      </c>
      <c r="D26" s="17">
        <v>22991231</v>
      </c>
      <c r="E26" s="24" t="s">
        <v>7128</v>
      </c>
    </row>
    <row r="27" spans="1:5" x14ac:dyDescent="0.3">
      <c r="A27" s="17" t="str">
        <f>"00145"</f>
        <v>00145</v>
      </c>
      <c r="B27" s="5" t="s">
        <v>35</v>
      </c>
      <c r="C27" s="17">
        <v>19941213</v>
      </c>
      <c r="D27" s="17">
        <v>22991231</v>
      </c>
      <c r="E27" s="24" t="s">
        <v>7128</v>
      </c>
    </row>
    <row r="28" spans="1:5" ht="26" x14ac:dyDescent="0.3">
      <c r="A28" s="17" t="str">
        <f>"00147"</f>
        <v>00147</v>
      </c>
      <c r="B28" s="5" t="s">
        <v>36</v>
      </c>
      <c r="C28" s="17">
        <v>19941213</v>
      </c>
      <c r="D28" s="17">
        <v>22991231</v>
      </c>
      <c r="E28" s="24" t="s">
        <v>7128</v>
      </c>
    </row>
    <row r="29" spans="1:5" ht="26" x14ac:dyDescent="0.3">
      <c r="A29" s="17" t="str">
        <f>"00148"</f>
        <v>00148</v>
      </c>
      <c r="B29" s="5" t="s">
        <v>37</v>
      </c>
      <c r="C29" s="17">
        <v>19941213</v>
      </c>
      <c r="D29" s="17">
        <v>22991231</v>
      </c>
      <c r="E29" s="24" t="s">
        <v>7128</v>
      </c>
    </row>
    <row r="30" spans="1:5" ht="26" x14ac:dyDescent="0.3">
      <c r="A30" s="17" t="str">
        <f>"00160"</f>
        <v>00160</v>
      </c>
      <c r="B30" s="5" t="s">
        <v>38</v>
      </c>
      <c r="C30" s="17">
        <v>19941213</v>
      </c>
      <c r="D30" s="17">
        <v>22991231</v>
      </c>
      <c r="E30" s="24" t="s">
        <v>7128</v>
      </c>
    </row>
    <row r="31" spans="1:5" ht="26" x14ac:dyDescent="0.3">
      <c r="A31" s="17" t="str">
        <f>"00162"</f>
        <v>00162</v>
      </c>
      <c r="B31" s="5" t="s">
        <v>39</v>
      </c>
      <c r="C31" s="17">
        <v>19941213</v>
      </c>
      <c r="D31" s="17">
        <v>22991231</v>
      </c>
      <c r="E31" s="24" t="s">
        <v>7128</v>
      </c>
    </row>
    <row r="32" spans="1:5" ht="26" x14ac:dyDescent="0.3">
      <c r="A32" s="17" t="str">
        <f>"00164"</f>
        <v>00164</v>
      </c>
      <c r="B32" s="5" t="s">
        <v>40</v>
      </c>
      <c r="C32" s="17">
        <v>19941213</v>
      </c>
      <c r="D32" s="17">
        <v>22991231</v>
      </c>
      <c r="E32" s="24" t="s">
        <v>7128</v>
      </c>
    </row>
    <row r="33" spans="1:5" x14ac:dyDescent="0.3">
      <c r="A33" s="17" t="str">
        <f>"00170"</f>
        <v>00170</v>
      </c>
      <c r="B33" s="5" t="s">
        <v>41</v>
      </c>
      <c r="C33" s="17">
        <v>19941213</v>
      </c>
      <c r="D33" s="17">
        <v>22991231</v>
      </c>
      <c r="E33" s="24" t="s">
        <v>7128</v>
      </c>
    </row>
    <row r="34" spans="1:5" ht="26" x14ac:dyDescent="0.3">
      <c r="A34" s="17" t="str">
        <f>"00172"</f>
        <v>00172</v>
      </c>
      <c r="B34" s="5" t="s">
        <v>42</v>
      </c>
      <c r="C34" s="17">
        <v>19941213</v>
      </c>
      <c r="D34" s="17">
        <v>22991231</v>
      </c>
      <c r="E34" s="24" t="s">
        <v>7128</v>
      </c>
    </row>
    <row r="35" spans="1:5" ht="26" x14ac:dyDescent="0.3">
      <c r="A35" s="17" t="str">
        <f>"00174"</f>
        <v>00174</v>
      </c>
      <c r="B35" s="5" t="s">
        <v>43</v>
      </c>
      <c r="C35" s="17">
        <v>19941213</v>
      </c>
      <c r="D35" s="17">
        <v>22991231</v>
      </c>
      <c r="E35" s="24" t="s">
        <v>7128</v>
      </c>
    </row>
    <row r="36" spans="1:5" ht="26" x14ac:dyDescent="0.3">
      <c r="A36" s="17" t="str">
        <f>"00190"</f>
        <v>00190</v>
      </c>
      <c r="B36" s="5" t="s">
        <v>44</v>
      </c>
      <c r="C36" s="17">
        <v>19941213</v>
      </c>
      <c r="D36" s="17">
        <v>22991231</v>
      </c>
      <c r="E36" s="24" t="s">
        <v>7128</v>
      </c>
    </row>
    <row r="37" spans="1:5" x14ac:dyDescent="0.3">
      <c r="A37" s="17" t="str">
        <f>"00210"</f>
        <v>00210</v>
      </c>
      <c r="B37" s="5" t="s">
        <v>45</v>
      </c>
      <c r="C37" s="17">
        <v>19941213</v>
      </c>
      <c r="D37" s="17">
        <v>22991231</v>
      </c>
      <c r="E37" s="24" t="s">
        <v>7128</v>
      </c>
    </row>
    <row r="38" spans="1:5" x14ac:dyDescent="0.3">
      <c r="A38" s="17" t="str">
        <f>"00212"</f>
        <v>00212</v>
      </c>
      <c r="B38" s="5" t="s">
        <v>46</v>
      </c>
      <c r="C38" s="17">
        <v>19941213</v>
      </c>
      <c r="D38" s="17">
        <v>22991231</v>
      </c>
      <c r="E38" s="24" t="s">
        <v>7128</v>
      </c>
    </row>
    <row r="39" spans="1:5" ht="26" x14ac:dyDescent="0.3">
      <c r="A39" s="17" t="str">
        <f>"00216"</f>
        <v>00216</v>
      </c>
      <c r="B39" s="5" t="s">
        <v>47</v>
      </c>
      <c r="C39" s="17">
        <v>19941213</v>
      </c>
      <c r="D39" s="17">
        <v>22991231</v>
      </c>
      <c r="E39" s="24" t="s">
        <v>7128</v>
      </c>
    </row>
    <row r="40" spans="1:5" ht="26" x14ac:dyDescent="0.3">
      <c r="A40" s="17" t="str">
        <f>"00218"</f>
        <v>00218</v>
      </c>
      <c r="B40" s="5" t="s">
        <v>48</v>
      </c>
      <c r="C40" s="17">
        <v>19941213</v>
      </c>
      <c r="D40" s="17">
        <v>22991231</v>
      </c>
      <c r="E40" s="24" t="s">
        <v>7128</v>
      </c>
    </row>
    <row r="41" spans="1:5" ht="26" x14ac:dyDescent="0.3">
      <c r="A41" s="17" t="str">
        <f>"00220"</f>
        <v>00220</v>
      </c>
      <c r="B41" s="5" t="s">
        <v>49</v>
      </c>
      <c r="C41" s="17">
        <v>19941213</v>
      </c>
      <c r="D41" s="17">
        <v>22991231</v>
      </c>
      <c r="E41" s="24" t="s">
        <v>7128</v>
      </c>
    </row>
    <row r="42" spans="1:5" x14ac:dyDescent="0.3">
      <c r="A42" s="17" t="str">
        <f>"00222"</f>
        <v>00222</v>
      </c>
      <c r="B42" s="5" t="s">
        <v>50</v>
      </c>
      <c r="C42" s="17">
        <v>19941213</v>
      </c>
      <c r="D42" s="17">
        <v>22991231</v>
      </c>
      <c r="E42" s="24" t="s">
        <v>7128</v>
      </c>
    </row>
    <row r="43" spans="1:5" ht="26" x14ac:dyDescent="0.3">
      <c r="A43" s="17" t="str">
        <f>"00300"</f>
        <v>00300</v>
      </c>
      <c r="B43" s="5" t="s">
        <v>51</v>
      </c>
      <c r="C43" s="17">
        <v>19941213</v>
      </c>
      <c r="D43" s="17">
        <v>22991231</v>
      </c>
      <c r="E43" s="24" t="s">
        <v>7128</v>
      </c>
    </row>
    <row r="44" spans="1:5" ht="26" x14ac:dyDescent="0.3">
      <c r="A44" s="17" t="str">
        <f>"00320"</f>
        <v>00320</v>
      </c>
      <c r="B44" s="5" t="s">
        <v>52</v>
      </c>
      <c r="C44" s="17">
        <v>19941213</v>
      </c>
      <c r="D44" s="17">
        <v>22991231</v>
      </c>
      <c r="E44" s="24" t="s">
        <v>7128</v>
      </c>
    </row>
    <row r="45" spans="1:5" x14ac:dyDescent="0.3">
      <c r="A45" s="17" t="str">
        <f>"00322"</f>
        <v>00322</v>
      </c>
      <c r="B45" s="5" t="s">
        <v>53</v>
      </c>
      <c r="C45" s="17">
        <v>19941213</v>
      </c>
      <c r="D45" s="17">
        <v>22991231</v>
      </c>
      <c r="E45" s="24" t="s">
        <v>7128</v>
      </c>
    </row>
    <row r="46" spans="1:5" ht="26" x14ac:dyDescent="0.3">
      <c r="A46" s="17" t="str">
        <f>"00350"</f>
        <v>00350</v>
      </c>
      <c r="B46" s="5" t="s">
        <v>54</v>
      </c>
      <c r="C46" s="17">
        <v>19941213</v>
      </c>
      <c r="D46" s="17">
        <v>22991231</v>
      </c>
      <c r="E46" s="24" t="s">
        <v>7128</v>
      </c>
    </row>
    <row r="47" spans="1:5" x14ac:dyDescent="0.3">
      <c r="A47" s="17" t="str">
        <f>"00352"</f>
        <v>00352</v>
      </c>
      <c r="B47" s="5" t="s">
        <v>55</v>
      </c>
      <c r="C47" s="17">
        <v>19941213</v>
      </c>
      <c r="D47" s="17">
        <v>22991231</v>
      </c>
      <c r="E47" s="24" t="s">
        <v>7128</v>
      </c>
    </row>
    <row r="48" spans="1:5" ht="26" x14ac:dyDescent="0.3">
      <c r="A48" s="17" t="str">
        <f>"00400"</f>
        <v>00400</v>
      </c>
      <c r="B48" s="5" t="s">
        <v>56</v>
      </c>
      <c r="C48" s="17">
        <v>19941213</v>
      </c>
      <c r="D48" s="17">
        <v>22991231</v>
      </c>
      <c r="E48" s="24" t="s">
        <v>7128</v>
      </c>
    </row>
    <row r="49" spans="1:5" x14ac:dyDescent="0.3">
      <c r="A49" s="17" t="str">
        <f>"00402"</f>
        <v>00402</v>
      </c>
      <c r="B49" s="5" t="s">
        <v>57</v>
      </c>
      <c r="C49" s="17">
        <v>19941213</v>
      </c>
      <c r="D49" s="17">
        <v>22991231</v>
      </c>
      <c r="E49" s="24" t="s">
        <v>7128</v>
      </c>
    </row>
    <row r="50" spans="1:5" x14ac:dyDescent="0.3">
      <c r="A50" s="17" t="str">
        <f>"00404"</f>
        <v>00404</v>
      </c>
      <c r="B50" s="5" t="s">
        <v>58</v>
      </c>
      <c r="C50" s="17">
        <v>19941213</v>
      </c>
      <c r="D50" s="17">
        <v>22991231</v>
      </c>
      <c r="E50" s="24" t="s">
        <v>7128</v>
      </c>
    </row>
    <row r="51" spans="1:5" ht="26" x14ac:dyDescent="0.3">
      <c r="A51" s="17" t="str">
        <f>"00406"</f>
        <v>00406</v>
      </c>
      <c r="B51" s="5" t="s">
        <v>59</v>
      </c>
      <c r="C51" s="17">
        <v>19941213</v>
      </c>
      <c r="D51" s="17">
        <v>22991231</v>
      </c>
      <c r="E51" s="24" t="s">
        <v>7128</v>
      </c>
    </row>
    <row r="52" spans="1:5" ht="26" x14ac:dyDescent="0.3">
      <c r="A52" s="17" t="str">
        <f>"00410"</f>
        <v>00410</v>
      </c>
      <c r="B52" s="5" t="s">
        <v>60</v>
      </c>
      <c r="C52" s="17">
        <v>19941213</v>
      </c>
      <c r="D52" s="17">
        <v>22991231</v>
      </c>
      <c r="E52" s="24" t="s">
        <v>7128</v>
      </c>
    </row>
    <row r="53" spans="1:5" ht="26" x14ac:dyDescent="0.3">
      <c r="A53" s="17" t="str">
        <f>"00450"</f>
        <v>00450</v>
      </c>
      <c r="B53" s="5" t="s">
        <v>61</v>
      </c>
      <c r="C53" s="17">
        <v>19941213</v>
      </c>
      <c r="D53" s="17">
        <v>22991231</v>
      </c>
      <c r="E53" s="24" t="s">
        <v>7128</v>
      </c>
    </row>
    <row r="54" spans="1:5" x14ac:dyDescent="0.3">
      <c r="A54" s="17" t="str">
        <f>"00454"</f>
        <v>00454</v>
      </c>
      <c r="B54" s="5" t="s">
        <v>62</v>
      </c>
      <c r="C54" s="17">
        <v>19941213</v>
      </c>
      <c r="D54" s="17">
        <v>22991231</v>
      </c>
      <c r="E54" s="24" t="s">
        <v>7128</v>
      </c>
    </row>
    <row r="55" spans="1:5" x14ac:dyDescent="0.3">
      <c r="A55" s="17" t="str">
        <f>"00470"</f>
        <v>00470</v>
      </c>
      <c r="B55" s="5" t="s">
        <v>63</v>
      </c>
      <c r="C55" s="17">
        <v>19941213</v>
      </c>
      <c r="D55" s="17">
        <v>22991231</v>
      </c>
      <c r="E55" s="24" t="s">
        <v>7128</v>
      </c>
    </row>
    <row r="56" spans="1:5" ht="26" x14ac:dyDescent="0.3">
      <c r="A56" s="17" t="str">
        <f>"00472"</f>
        <v>00472</v>
      </c>
      <c r="B56" s="5" t="s">
        <v>64</v>
      </c>
      <c r="C56" s="17">
        <v>19941213</v>
      </c>
      <c r="D56" s="17">
        <v>22991231</v>
      </c>
      <c r="E56" s="24" t="s">
        <v>7128</v>
      </c>
    </row>
    <row r="57" spans="1:5" x14ac:dyDescent="0.3">
      <c r="A57" s="17" t="str">
        <f>"00500"</f>
        <v>00500</v>
      </c>
      <c r="B57" s="5" t="s">
        <v>65</v>
      </c>
      <c r="C57" s="17">
        <v>19941213</v>
      </c>
      <c r="D57" s="17">
        <v>22991231</v>
      </c>
      <c r="E57" s="24" t="s">
        <v>7128</v>
      </c>
    </row>
    <row r="58" spans="1:5" x14ac:dyDescent="0.3">
      <c r="A58" s="17" t="str">
        <f>"00520"</f>
        <v>00520</v>
      </c>
      <c r="B58" s="5" t="s">
        <v>66</v>
      </c>
      <c r="C58" s="17">
        <v>19941213</v>
      </c>
      <c r="D58" s="17">
        <v>22991231</v>
      </c>
      <c r="E58" s="24" t="s">
        <v>7128</v>
      </c>
    </row>
    <row r="59" spans="1:5" x14ac:dyDescent="0.3">
      <c r="A59" s="17" t="str">
        <f>"00522"</f>
        <v>00522</v>
      </c>
      <c r="B59" s="5" t="s">
        <v>67</v>
      </c>
      <c r="C59" s="17">
        <v>19941213</v>
      </c>
      <c r="D59" s="17">
        <v>22991231</v>
      </c>
      <c r="E59" s="24" t="s">
        <v>7128</v>
      </c>
    </row>
    <row r="60" spans="1:5" ht="26" x14ac:dyDescent="0.3">
      <c r="A60" s="17" t="str">
        <f>"00528"</f>
        <v>00528</v>
      </c>
      <c r="B60" s="5" t="s">
        <v>68</v>
      </c>
      <c r="C60" s="17">
        <v>19941213</v>
      </c>
      <c r="D60" s="17">
        <v>22991231</v>
      </c>
      <c r="E60" s="24" t="s">
        <v>7128</v>
      </c>
    </row>
    <row r="61" spans="1:5" ht="26" x14ac:dyDescent="0.3">
      <c r="A61" s="17" t="str">
        <f>"00530"</f>
        <v>00530</v>
      </c>
      <c r="B61" s="5" t="s">
        <v>69</v>
      </c>
      <c r="C61" s="17">
        <v>19941213</v>
      </c>
      <c r="D61" s="17">
        <v>22991231</v>
      </c>
      <c r="E61" s="24" t="s">
        <v>7128</v>
      </c>
    </row>
    <row r="62" spans="1:5" x14ac:dyDescent="0.3">
      <c r="A62" s="17" t="str">
        <f>"00532"</f>
        <v>00532</v>
      </c>
      <c r="B62" s="5" t="s">
        <v>70</v>
      </c>
      <c r="C62" s="17">
        <v>19941213</v>
      </c>
      <c r="D62" s="17">
        <v>22991231</v>
      </c>
      <c r="E62" s="24" t="s">
        <v>7128</v>
      </c>
    </row>
    <row r="63" spans="1:5" ht="26" x14ac:dyDescent="0.3">
      <c r="A63" s="17" t="str">
        <f>"00534"</f>
        <v>00534</v>
      </c>
      <c r="B63" s="5" t="s">
        <v>71</v>
      </c>
      <c r="C63" s="17">
        <v>19941213</v>
      </c>
      <c r="D63" s="17">
        <v>22991231</v>
      </c>
      <c r="E63" s="24" t="s">
        <v>7128</v>
      </c>
    </row>
    <row r="64" spans="1:5" x14ac:dyDescent="0.3">
      <c r="A64" s="17" t="str">
        <f>"00548"</f>
        <v>00548</v>
      </c>
      <c r="B64" s="5" t="s">
        <v>72</v>
      </c>
      <c r="C64" s="17">
        <v>19941213</v>
      </c>
      <c r="D64" s="17">
        <v>22991231</v>
      </c>
      <c r="E64" s="24" t="s">
        <v>7128</v>
      </c>
    </row>
    <row r="65" spans="1:5" x14ac:dyDescent="0.3">
      <c r="A65" s="17" t="str">
        <f>"00600"</f>
        <v>00600</v>
      </c>
      <c r="B65" s="5" t="s">
        <v>75</v>
      </c>
      <c r="C65" s="17">
        <v>19941213</v>
      </c>
      <c r="D65" s="17">
        <v>22991231</v>
      </c>
      <c r="E65" s="24" t="s">
        <v>7128</v>
      </c>
    </row>
    <row r="66" spans="1:5" x14ac:dyDescent="0.3">
      <c r="A66" s="17" t="str">
        <f>"00620"</f>
        <v>00620</v>
      </c>
      <c r="B66" s="5" t="s">
        <v>76</v>
      </c>
      <c r="C66" s="17">
        <v>19941213</v>
      </c>
      <c r="D66" s="17">
        <v>22991231</v>
      </c>
      <c r="E66" s="24" t="s">
        <v>7128</v>
      </c>
    </row>
    <row r="67" spans="1:5" x14ac:dyDescent="0.3">
      <c r="A67" s="17" t="str">
        <f>"00630"</f>
        <v>00630</v>
      </c>
      <c r="B67" s="5" t="s">
        <v>77</v>
      </c>
      <c r="C67" s="17">
        <v>19941213</v>
      </c>
      <c r="D67" s="17">
        <v>22991231</v>
      </c>
      <c r="E67" s="24" t="s">
        <v>7128</v>
      </c>
    </row>
    <row r="68" spans="1:5" x14ac:dyDescent="0.3">
      <c r="A68" s="17" t="str">
        <f>"00670"</f>
        <v>00670</v>
      </c>
      <c r="B68" s="5" t="s">
        <v>78</v>
      </c>
      <c r="C68" s="17">
        <v>19941213</v>
      </c>
      <c r="D68" s="17">
        <v>22991231</v>
      </c>
      <c r="E68" s="24" t="s">
        <v>7128</v>
      </c>
    </row>
    <row r="69" spans="1:5" ht="26" x14ac:dyDescent="0.3">
      <c r="A69" s="17" t="str">
        <f>"00700"</f>
        <v>00700</v>
      </c>
      <c r="B69" s="5" t="s">
        <v>79</v>
      </c>
      <c r="C69" s="17">
        <v>19941213</v>
      </c>
      <c r="D69" s="17">
        <v>22991231</v>
      </c>
      <c r="E69" s="24" t="s">
        <v>7128</v>
      </c>
    </row>
    <row r="70" spans="1:5" x14ac:dyDescent="0.3">
      <c r="A70" s="17" t="str">
        <f>"00702"</f>
        <v>00702</v>
      </c>
      <c r="B70" s="5" t="s">
        <v>80</v>
      </c>
      <c r="C70" s="17">
        <v>19941213</v>
      </c>
      <c r="D70" s="17">
        <v>22991231</v>
      </c>
      <c r="E70" s="24" t="s">
        <v>7128</v>
      </c>
    </row>
    <row r="71" spans="1:5" x14ac:dyDescent="0.3">
      <c r="A71" s="17" t="str">
        <f>"00730"</f>
        <v>00730</v>
      </c>
      <c r="B71" s="5" t="s">
        <v>81</v>
      </c>
      <c r="C71" s="17">
        <v>19941213</v>
      </c>
      <c r="D71" s="17">
        <v>22991231</v>
      </c>
      <c r="E71" s="24" t="s">
        <v>7128</v>
      </c>
    </row>
    <row r="72" spans="1:5" ht="39" x14ac:dyDescent="0.3">
      <c r="A72" s="17" t="str">
        <f>"00731"</f>
        <v>00731</v>
      </c>
      <c r="B72" s="5" t="s">
        <v>82</v>
      </c>
      <c r="C72" s="17">
        <v>20180101</v>
      </c>
      <c r="D72" s="17">
        <v>22991231</v>
      </c>
      <c r="E72" s="24" t="s">
        <v>7128</v>
      </c>
    </row>
    <row r="73" spans="1:5" ht="26" x14ac:dyDescent="0.3">
      <c r="A73" s="17" t="str">
        <f>"00732"</f>
        <v>00732</v>
      </c>
      <c r="B73" s="5" t="s">
        <v>83</v>
      </c>
      <c r="C73" s="17">
        <v>20180101</v>
      </c>
      <c r="D73" s="17">
        <v>22991231</v>
      </c>
      <c r="E73" s="24" t="s">
        <v>7128</v>
      </c>
    </row>
    <row r="74" spans="1:5" ht="26" x14ac:dyDescent="0.3">
      <c r="A74" s="17" t="str">
        <f>"00750"</f>
        <v>00750</v>
      </c>
      <c r="B74" s="5" t="s">
        <v>84</v>
      </c>
      <c r="C74" s="17">
        <v>19941213</v>
      </c>
      <c r="D74" s="17">
        <v>22991231</v>
      </c>
      <c r="E74" s="24" t="s">
        <v>7128</v>
      </c>
    </row>
    <row r="75" spans="1:5" ht="39" x14ac:dyDescent="0.3">
      <c r="A75" s="17" t="str">
        <f>"00752"</f>
        <v>00752</v>
      </c>
      <c r="B75" s="5" t="s">
        <v>85</v>
      </c>
      <c r="C75" s="17">
        <v>19941213</v>
      </c>
      <c r="D75" s="17">
        <v>22991231</v>
      </c>
      <c r="E75" s="24" t="s">
        <v>7128</v>
      </c>
    </row>
    <row r="76" spans="1:5" ht="26" x14ac:dyDescent="0.3">
      <c r="A76" s="17" t="str">
        <f>"00754"</f>
        <v>00754</v>
      </c>
      <c r="B76" s="5" t="s">
        <v>86</v>
      </c>
      <c r="C76" s="17">
        <v>19941213</v>
      </c>
      <c r="D76" s="17">
        <v>22991231</v>
      </c>
      <c r="E76" s="24" t="s">
        <v>7128</v>
      </c>
    </row>
    <row r="77" spans="1:5" ht="26" x14ac:dyDescent="0.3">
      <c r="A77" s="17" t="str">
        <f>"00756"</f>
        <v>00756</v>
      </c>
      <c r="B77" s="5" t="s">
        <v>87</v>
      </c>
      <c r="C77" s="17">
        <v>19941213</v>
      </c>
      <c r="D77" s="17">
        <v>22991231</v>
      </c>
      <c r="E77" s="24" t="s">
        <v>7128</v>
      </c>
    </row>
    <row r="78" spans="1:5" ht="26" x14ac:dyDescent="0.3">
      <c r="A78" s="17" t="str">
        <f>"00770"</f>
        <v>00770</v>
      </c>
      <c r="B78" s="5" t="s">
        <v>88</v>
      </c>
      <c r="C78" s="17">
        <v>19941213</v>
      </c>
      <c r="D78" s="17">
        <v>22991231</v>
      </c>
      <c r="E78" s="24" t="s">
        <v>7128</v>
      </c>
    </row>
    <row r="79" spans="1:5" ht="26" x14ac:dyDescent="0.3">
      <c r="A79" s="17" t="str">
        <f>"00790"</f>
        <v>00790</v>
      </c>
      <c r="B79" s="5" t="s">
        <v>89</v>
      </c>
      <c r="C79" s="17">
        <v>19941213</v>
      </c>
      <c r="D79" s="17">
        <v>22991231</v>
      </c>
      <c r="E79" s="24" t="s">
        <v>7128</v>
      </c>
    </row>
    <row r="80" spans="1:5" ht="26" x14ac:dyDescent="0.3">
      <c r="A80" s="17" t="str">
        <f>"00800"</f>
        <v>00800</v>
      </c>
      <c r="B80" s="5" t="s">
        <v>90</v>
      </c>
      <c r="C80" s="17">
        <v>19941213</v>
      </c>
      <c r="D80" s="17">
        <v>22991231</v>
      </c>
      <c r="E80" s="24" t="s">
        <v>7128</v>
      </c>
    </row>
    <row r="81" spans="1:5" ht="26" x14ac:dyDescent="0.3">
      <c r="A81" s="17" t="str">
        <f>"00811"</f>
        <v>00811</v>
      </c>
      <c r="B81" s="5" t="s">
        <v>91</v>
      </c>
      <c r="C81" s="17">
        <v>20180101</v>
      </c>
      <c r="D81" s="17">
        <v>22991231</v>
      </c>
      <c r="E81" s="24" t="s">
        <v>7128</v>
      </c>
    </row>
    <row r="82" spans="1:5" ht="26" x14ac:dyDescent="0.3">
      <c r="A82" s="17" t="str">
        <f>"00812"</f>
        <v>00812</v>
      </c>
      <c r="B82" s="5" t="s">
        <v>92</v>
      </c>
      <c r="C82" s="17">
        <v>20180101</v>
      </c>
      <c r="D82" s="17">
        <v>22991231</v>
      </c>
      <c r="E82" s="24" t="s">
        <v>7128</v>
      </c>
    </row>
    <row r="83" spans="1:5" ht="26" x14ac:dyDescent="0.3">
      <c r="A83" s="17" t="str">
        <f>"00813"</f>
        <v>00813</v>
      </c>
      <c r="B83" s="5" t="s">
        <v>93</v>
      </c>
      <c r="C83" s="17">
        <v>20180101</v>
      </c>
      <c r="D83" s="17">
        <v>22991231</v>
      </c>
      <c r="E83" s="24" t="s">
        <v>7128</v>
      </c>
    </row>
    <row r="84" spans="1:5" ht="26" x14ac:dyDescent="0.3">
      <c r="A84" s="17" t="str">
        <f>"00820"</f>
        <v>00820</v>
      </c>
      <c r="B84" s="5" t="s">
        <v>94</v>
      </c>
      <c r="C84" s="17">
        <v>19941213</v>
      </c>
      <c r="D84" s="17">
        <v>22991231</v>
      </c>
      <c r="E84" s="24" t="s">
        <v>7128</v>
      </c>
    </row>
    <row r="85" spans="1:5" ht="26" x14ac:dyDescent="0.3">
      <c r="A85" s="17" t="str">
        <f>"00830"</f>
        <v>00830</v>
      </c>
      <c r="B85" s="5" t="s">
        <v>95</v>
      </c>
      <c r="C85" s="17">
        <v>19941213</v>
      </c>
      <c r="D85" s="17">
        <v>22991231</v>
      </c>
      <c r="E85" s="24" t="s">
        <v>7128</v>
      </c>
    </row>
    <row r="86" spans="1:5" x14ac:dyDescent="0.3">
      <c r="A86" s="17" t="str">
        <f>"00832"</f>
        <v>00832</v>
      </c>
      <c r="B86" s="5" t="s">
        <v>96</v>
      </c>
      <c r="C86" s="17">
        <v>19941213</v>
      </c>
      <c r="D86" s="17">
        <v>22991231</v>
      </c>
      <c r="E86" s="24" t="s">
        <v>7128</v>
      </c>
    </row>
    <row r="87" spans="1:5" ht="26" x14ac:dyDescent="0.3">
      <c r="A87" s="17" t="str">
        <f>"00840"</f>
        <v>00840</v>
      </c>
      <c r="B87" s="5" t="s">
        <v>97</v>
      </c>
      <c r="C87" s="17">
        <v>19941213</v>
      </c>
      <c r="D87" s="17">
        <v>22991231</v>
      </c>
      <c r="E87" s="24" t="s">
        <v>7128</v>
      </c>
    </row>
    <row r="88" spans="1:5" ht="26" x14ac:dyDescent="0.3">
      <c r="A88" s="17" t="str">
        <f>"00842"</f>
        <v>00842</v>
      </c>
      <c r="B88" s="5" t="s">
        <v>98</v>
      </c>
      <c r="C88" s="17">
        <v>19941213</v>
      </c>
      <c r="D88" s="17">
        <v>22991231</v>
      </c>
      <c r="E88" s="24" t="s">
        <v>7128</v>
      </c>
    </row>
    <row r="89" spans="1:5" ht="26" x14ac:dyDescent="0.3">
      <c r="A89" s="17" t="str">
        <f>"00860"</f>
        <v>00860</v>
      </c>
      <c r="B89" s="5" t="s">
        <v>99</v>
      </c>
      <c r="C89" s="17">
        <v>19941213</v>
      </c>
      <c r="D89" s="17">
        <v>22991231</v>
      </c>
      <c r="E89" s="24" t="s">
        <v>7128</v>
      </c>
    </row>
    <row r="90" spans="1:5" ht="26" x14ac:dyDescent="0.3">
      <c r="A90" s="17" t="str">
        <f>"00862"</f>
        <v>00862</v>
      </c>
      <c r="B90" s="5" t="s">
        <v>100</v>
      </c>
      <c r="C90" s="17">
        <v>19941213</v>
      </c>
      <c r="D90" s="17">
        <v>22991231</v>
      </c>
      <c r="E90" s="24" t="s">
        <v>7128</v>
      </c>
    </row>
    <row r="91" spans="1:5" x14ac:dyDescent="0.3">
      <c r="A91" s="17" t="str">
        <f>"00870"</f>
        <v>00870</v>
      </c>
      <c r="B91" s="5" t="s">
        <v>101</v>
      </c>
      <c r="C91" s="17">
        <v>19941213</v>
      </c>
      <c r="D91" s="17">
        <v>22991231</v>
      </c>
      <c r="E91" s="24" t="s">
        <v>7128</v>
      </c>
    </row>
    <row r="92" spans="1:5" ht="26" x14ac:dyDescent="0.3">
      <c r="A92" s="17" t="str">
        <f>"00872"</f>
        <v>00872</v>
      </c>
      <c r="B92" s="5" t="s">
        <v>102</v>
      </c>
      <c r="C92" s="17">
        <v>19941213</v>
      </c>
      <c r="D92" s="17">
        <v>22991231</v>
      </c>
      <c r="E92" s="24" t="s">
        <v>7128</v>
      </c>
    </row>
    <row r="93" spans="1:5" ht="26" x14ac:dyDescent="0.3">
      <c r="A93" s="17" t="str">
        <f>"00873"</f>
        <v>00873</v>
      </c>
      <c r="B93" s="5" t="s">
        <v>103</v>
      </c>
      <c r="C93" s="17">
        <v>19941213</v>
      </c>
      <c r="D93" s="17">
        <v>22991231</v>
      </c>
      <c r="E93" s="24" t="s">
        <v>7128</v>
      </c>
    </row>
    <row r="94" spans="1:5" ht="26" x14ac:dyDescent="0.3">
      <c r="A94" s="17" t="str">
        <f>"00880"</f>
        <v>00880</v>
      </c>
      <c r="B94" s="5" t="s">
        <v>104</v>
      </c>
      <c r="C94" s="17">
        <v>19941213</v>
      </c>
      <c r="D94" s="17">
        <v>22991231</v>
      </c>
      <c r="E94" s="24" t="s">
        <v>7128</v>
      </c>
    </row>
    <row r="95" spans="1:5" x14ac:dyDescent="0.3">
      <c r="A95" s="17" t="str">
        <f>"00902"</f>
        <v>00902</v>
      </c>
      <c r="B95" s="5" t="s">
        <v>105</v>
      </c>
      <c r="C95" s="17">
        <v>19941213</v>
      </c>
      <c r="D95" s="17">
        <v>22991231</v>
      </c>
      <c r="E95" s="24" t="s">
        <v>7128</v>
      </c>
    </row>
    <row r="96" spans="1:5" ht="26" x14ac:dyDescent="0.3">
      <c r="A96" s="17" t="str">
        <f>"00906"</f>
        <v>00906</v>
      </c>
      <c r="B96" s="5" t="s">
        <v>106</v>
      </c>
      <c r="C96" s="17">
        <v>19941213</v>
      </c>
      <c r="D96" s="17">
        <v>22991231</v>
      </c>
      <c r="E96" s="24" t="s">
        <v>7128</v>
      </c>
    </row>
    <row r="97" spans="1:5" ht="26" x14ac:dyDescent="0.3">
      <c r="A97" s="17" t="str">
        <f>"00910"</f>
        <v>00910</v>
      </c>
      <c r="B97" s="5" t="s">
        <v>107</v>
      </c>
      <c r="C97" s="17">
        <v>19941213</v>
      </c>
      <c r="D97" s="17">
        <v>22991231</v>
      </c>
      <c r="E97" s="24" t="s">
        <v>7128</v>
      </c>
    </row>
    <row r="98" spans="1:5" ht="26" x14ac:dyDescent="0.3">
      <c r="A98" s="17" t="str">
        <f>"00912"</f>
        <v>00912</v>
      </c>
      <c r="B98" s="5" t="s">
        <v>108</v>
      </c>
      <c r="C98" s="17">
        <v>19941213</v>
      </c>
      <c r="D98" s="17">
        <v>22991231</v>
      </c>
      <c r="E98" s="24" t="s">
        <v>7128</v>
      </c>
    </row>
    <row r="99" spans="1:5" ht="26" x14ac:dyDescent="0.3">
      <c r="A99" s="17" t="str">
        <f>"00914"</f>
        <v>00914</v>
      </c>
      <c r="B99" s="5" t="s">
        <v>109</v>
      </c>
      <c r="C99" s="17">
        <v>19941213</v>
      </c>
      <c r="D99" s="17">
        <v>22991231</v>
      </c>
      <c r="E99" s="24" t="s">
        <v>7128</v>
      </c>
    </row>
    <row r="100" spans="1:5" ht="26" x14ac:dyDescent="0.3">
      <c r="A100" s="17" t="str">
        <f>"00916"</f>
        <v>00916</v>
      </c>
      <c r="B100" s="5" t="s">
        <v>110</v>
      </c>
      <c r="C100" s="17">
        <v>19941213</v>
      </c>
      <c r="D100" s="17">
        <v>22991231</v>
      </c>
      <c r="E100" s="24" t="s">
        <v>7128</v>
      </c>
    </row>
    <row r="101" spans="1:5" ht="39" x14ac:dyDescent="0.3">
      <c r="A101" s="17" t="str">
        <f>"00918"</f>
        <v>00918</v>
      </c>
      <c r="B101" s="5" t="s">
        <v>111</v>
      </c>
      <c r="C101" s="17">
        <v>19941213</v>
      </c>
      <c r="D101" s="17">
        <v>22991231</v>
      </c>
      <c r="E101" s="24" t="s">
        <v>7128</v>
      </c>
    </row>
    <row r="102" spans="1:5" x14ac:dyDescent="0.3">
      <c r="A102" s="17" t="str">
        <f>"00920"</f>
        <v>00920</v>
      </c>
      <c r="B102" s="5" t="s">
        <v>112</v>
      </c>
      <c r="C102" s="17">
        <v>19941213</v>
      </c>
      <c r="D102" s="17">
        <v>22991231</v>
      </c>
      <c r="E102" s="24" t="s">
        <v>7128</v>
      </c>
    </row>
    <row r="103" spans="1:5" x14ac:dyDescent="0.3">
      <c r="A103" s="17" t="str">
        <f>"00922"</f>
        <v>00922</v>
      </c>
      <c r="B103" s="5" t="s">
        <v>113</v>
      </c>
      <c r="C103" s="17">
        <v>19941213</v>
      </c>
      <c r="D103" s="17">
        <v>22991231</v>
      </c>
      <c r="E103" s="24" t="s">
        <v>7128</v>
      </c>
    </row>
    <row r="104" spans="1:5" ht="26" x14ac:dyDescent="0.3">
      <c r="A104" s="17" t="str">
        <f>"00924"</f>
        <v>00924</v>
      </c>
      <c r="B104" s="5" t="s">
        <v>114</v>
      </c>
      <c r="C104" s="17">
        <v>19941213</v>
      </c>
      <c r="D104" s="17">
        <v>22991231</v>
      </c>
      <c r="E104" s="24" t="s">
        <v>7128</v>
      </c>
    </row>
    <row r="105" spans="1:5" x14ac:dyDescent="0.3">
      <c r="A105" s="17" t="str">
        <f>"00926"</f>
        <v>00926</v>
      </c>
      <c r="B105" s="5" t="s">
        <v>115</v>
      </c>
      <c r="C105" s="17">
        <v>19941213</v>
      </c>
      <c r="D105" s="17">
        <v>22991231</v>
      </c>
      <c r="E105" s="24" t="s">
        <v>7128</v>
      </c>
    </row>
    <row r="106" spans="1:5" ht="26" x14ac:dyDescent="0.3">
      <c r="A106" s="17" t="str">
        <f>"00928"</f>
        <v>00928</v>
      </c>
      <c r="B106" s="5" t="s">
        <v>116</v>
      </c>
      <c r="C106" s="17">
        <v>19941213</v>
      </c>
      <c r="D106" s="17">
        <v>22991231</v>
      </c>
      <c r="E106" s="24" t="s">
        <v>7128</v>
      </c>
    </row>
    <row r="107" spans="1:5" ht="26" x14ac:dyDescent="0.3">
      <c r="A107" s="17" t="str">
        <f>"00930"</f>
        <v>00930</v>
      </c>
      <c r="B107" s="5" t="s">
        <v>117</v>
      </c>
      <c r="C107" s="17">
        <v>19941213</v>
      </c>
      <c r="D107" s="17">
        <v>22991231</v>
      </c>
      <c r="E107" s="24" t="s">
        <v>7128</v>
      </c>
    </row>
    <row r="108" spans="1:5" x14ac:dyDescent="0.3">
      <c r="A108" s="17" t="str">
        <f>"00938"</f>
        <v>00938</v>
      </c>
      <c r="B108" s="5" t="s">
        <v>118</v>
      </c>
      <c r="C108" s="17">
        <v>19941213</v>
      </c>
      <c r="D108" s="17">
        <v>22991231</v>
      </c>
      <c r="E108" s="24" t="s">
        <v>7128</v>
      </c>
    </row>
    <row r="109" spans="1:5" ht="26" x14ac:dyDescent="0.3">
      <c r="A109" s="17" t="str">
        <f>"00940"</f>
        <v>00940</v>
      </c>
      <c r="B109" s="5" t="s">
        <v>119</v>
      </c>
      <c r="C109" s="17">
        <v>19941213</v>
      </c>
      <c r="D109" s="17">
        <v>22991231</v>
      </c>
      <c r="E109" s="24" t="s">
        <v>7128</v>
      </c>
    </row>
    <row r="110" spans="1:5" ht="26" x14ac:dyDescent="0.3">
      <c r="A110" s="17" t="str">
        <f>"00942"</f>
        <v>00942</v>
      </c>
      <c r="B110" s="5" t="s">
        <v>120</v>
      </c>
      <c r="C110" s="17">
        <v>19941213</v>
      </c>
      <c r="D110" s="17">
        <v>22991231</v>
      </c>
      <c r="E110" s="24" t="s">
        <v>7128</v>
      </c>
    </row>
    <row r="111" spans="1:5" x14ac:dyDescent="0.3">
      <c r="A111" s="17" t="str">
        <f>"00948"</f>
        <v>00948</v>
      </c>
      <c r="B111" s="5" t="s">
        <v>121</v>
      </c>
      <c r="C111" s="17">
        <v>19941213</v>
      </c>
      <c r="D111" s="17">
        <v>22991231</v>
      </c>
      <c r="E111" s="24" t="s">
        <v>7128</v>
      </c>
    </row>
    <row r="112" spans="1:5" ht="26" x14ac:dyDescent="0.3">
      <c r="A112" s="17" t="str">
        <f>"00950"</f>
        <v>00950</v>
      </c>
      <c r="B112" s="5" t="s">
        <v>122</v>
      </c>
      <c r="C112" s="17">
        <v>19941213</v>
      </c>
      <c r="D112" s="17">
        <v>22991231</v>
      </c>
      <c r="E112" s="24" t="s">
        <v>7128</v>
      </c>
    </row>
    <row r="113" spans="1:5" ht="26" x14ac:dyDescent="0.3">
      <c r="A113" s="17" t="str">
        <f>"00952"</f>
        <v>00952</v>
      </c>
      <c r="B113" s="5" t="s">
        <v>123</v>
      </c>
      <c r="C113" s="17">
        <v>19941213</v>
      </c>
      <c r="D113" s="17">
        <v>22991231</v>
      </c>
      <c r="E113" s="24" t="s">
        <v>7128</v>
      </c>
    </row>
    <row r="114" spans="1:5" x14ac:dyDescent="0.3">
      <c r="A114" s="17" t="str">
        <f>"01120"</f>
        <v>01120</v>
      </c>
      <c r="B114" s="5" t="s">
        <v>126</v>
      </c>
      <c r="C114" s="17">
        <v>19941213</v>
      </c>
      <c r="D114" s="17">
        <v>22991231</v>
      </c>
      <c r="E114" s="24" t="s">
        <v>7128</v>
      </c>
    </row>
    <row r="115" spans="1:5" ht="26" x14ac:dyDescent="0.3">
      <c r="A115" s="17" t="str">
        <f>"01130"</f>
        <v>01130</v>
      </c>
      <c r="B115" s="5" t="s">
        <v>127</v>
      </c>
      <c r="C115" s="17">
        <v>19941213</v>
      </c>
      <c r="D115" s="17">
        <v>22991231</v>
      </c>
      <c r="E115" s="24" t="s">
        <v>7128</v>
      </c>
    </row>
    <row r="116" spans="1:5" ht="26" x14ac:dyDescent="0.3">
      <c r="A116" s="17" t="str">
        <f>"01160"</f>
        <v>01160</v>
      </c>
      <c r="B116" s="5" t="s">
        <v>128</v>
      </c>
      <c r="C116" s="17">
        <v>19941213</v>
      </c>
      <c r="D116" s="17">
        <v>22991231</v>
      </c>
      <c r="E116" s="24" t="s">
        <v>7128</v>
      </c>
    </row>
    <row r="117" spans="1:5" ht="26" x14ac:dyDescent="0.3">
      <c r="A117" s="17" t="str">
        <f>"01170"</f>
        <v>01170</v>
      </c>
      <c r="B117" s="5" t="s">
        <v>129</v>
      </c>
      <c r="C117" s="17">
        <v>19941213</v>
      </c>
      <c r="D117" s="17">
        <v>22991231</v>
      </c>
      <c r="E117" s="24" t="s">
        <v>7128</v>
      </c>
    </row>
    <row r="118" spans="1:5" x14ac:dyDescent="0.3">
      <c r="A118" s="17" t="str">
        <f>"01200"</f>
        <v>01200</v>
      </c>
      <c r="B118" s="5" t="s">
        <v>130</v>
      </c>
      <c r="C118" s="17">
        <v>19941213</v>
      </c>
      <c r="D118" s="17">
        <v>22991231</v>
      </c>
      <c r="E118" s="24" t="s">
        <v>7128</v>
      </c>
    </row>
    <row r="119" spans="1:5" ht="26" x14ac:dyDescent="0.3">
      <c r="A119" s="17" t="str">
        <f>"01202"</f>
        <v>01202</v>
      </c>
      <c r="B119" s="5" t="s">
        <v>131</v>
      </c>
      <c r="C119" s="17">
        <v>19941213</v>
      </c>
      <c r="D119" s="17">
        <v>22991231</v>
      </c>
      <c r="E119" s="24" t="s">
        <v>7128</v>
      </c>
    </row>
    <row r="120" spans="1:5" x14ac:dyDescent="0.3">
      <c r="A120" s="17" t="str">
        <f>"01210"</f>
        <v>01210</v>
      </c>
      <c r="B120" s="5" t="s">
        <v>132</v>
      </c>
      <c r="C120" s="17">
        <v>19941213</v>
      </c>
      <c r="D120" s="17">
        <v>22991231</v>
      </c>
      <c r="E120" s="24" t="s">
        <v>7128</v>
      </c>
    </row>
    <row r="121" spans="1:5" ht="26" x14ac:dyDescent="0.3">
      <c r="A121" s="17" t="str">
        <f>"01220"</f>
        <v>01220</v>
      </c>
      <c r="B121" s="5" t="s">
        <v>133</v>
      </c>
      <c r="C121" s="17">
        <v>19941213</v>
      </c>
      <c r="D121" s="17">
        <v>22991231</v>
      </c>
      <c r="E121" s="24" t="s">
        <v>7128</v>
      </c>
    </row>
    <row r="122" spans="1:5" ht="26" x14ac:dyDescent="0.3">
      <c r="A122" s="17" t="str">
        <f>"01230"</f>
        <v>01230</v>
      </c>
      <c r="B122" s="5" t="s">
        <v>134</v>
      </c>
      <c r="C122" s="17">
        <v>19941213</v>
      </c>
      <c r="D122" s="17">
        <v>22991231</v>
      </c>
      <c r="E122" s="24" t="s">
        <v>7128</v>
      </c>
    </row>
    <row r="123" spans="1:5" ht="26" x14ac:dyDescent="0.3">
      <c r="A123" s="17" t="str">
        <f>"01250"</f>
        <v>01250</v>
      </c>
      <c r="B123" s="5" t="s">
        <v>135</v>
      </c>
      <c r="C123" s="17">
        <v>19941213</v>
      </c>
      <c r="D123" s="17">
        <v>22991231</v>
      </c>
      <c r="E123" s="24" t="s">
        <v>7128</v>
      </c>
    </row>
    <row r="124" spans="1:5" x14ac:dyDescent="0.3">
      <c r="A124" s="17" t="str">
        <f>"01260"</f>
        <v>01260</v>
      </c>
      <c r="B124" s="5" t="s">
        <v>136</v>
      </c>
      <c r="C124" s="17">
        <v>19941213</v>
      </c>
      <c r="D124" s="17">
        <v>22991231</v>
      </c>
      <c r="E124" s="24" t="s">
        <v>7128</v>
      </c>
    </row>
    <row r="125" spans="1:5" ht="26" x14ac:dyDescent="0.3">
      <c r="A125" s="17" t="str">
        <f>"01270"</f>
        <v>01270</v>
      </c>
      <c r="B125" s="5" t="s">
        <v>137</v>
      </c>
      <c r="C125" s="17">
        <v>19941213</v>
      </c>
      <c r="D125" s="17">
        <v>22991231</v>
      </c>
      <c r="E125" s="24" t="s">
        <v>7128</v>
      </c>
    </row>
    <row r="126" spans="1:5" ht="26" x14ac:dyDescent="0.3">
      <c r="A126" s="17" t="str">
        <f>"01320"</f>
        <v>01320</v>
      </c>
      <c r="B126" s="5" t="s">
        <v>138</v>
      </c>
      <c r="C126" s="17">
        <v>19941213</v>
      </c>
      <c r="D126" s="17">
        <v>22991231</v>
      </c>
      <c r="E126" s="24" t="s">
        <v>7128</v>
      </c>
    </row>
    <row r="127" spans="1:5" ht="26" x14ac:dyDescent="0.3">
      <c r="A127" s="17" t="str">
        <f>"01340"</f>
        <v>01340</v>
      </c>
      <c r="B127" s="5" t="s">
        <v>139</v>
      </c>
      <c r="C127" s="17">
        <v>19941213</v>
      </c>
      <c r="D127" s="17">
        <v>22991231</v>
      </c>
      <c r="E127" s="24" t="s">
        <v>7128</v>
      </c>
    </row>
    <row r="128" spans="1:5" ht="26" x14ac:dyDescent="0.3">
      <c r="A128" s="17" t="str">
        <f>"01360"</f>
        <v>01360</v>
      </c>
      <c r="B128" s="5" t="s">
        <v>140</v>
      </c>
      <c r="C128" s="17">
        <v>19941213</v>
      </c>
      <c r="D128" s="17">
        <v>22991231</v>
      </c>
      <c r="E128" s="24" t="s">
        <v>7128</v>
      </c>
    </row>
    <row r="129" spans="1:5" x14ac:dyDescent="0.3">
      <c r="A129" s="17" t="str">
        <f>"01380"</f>
        <v>01380</v>
      </c>
      <c r="B129" s="5" t="s">
        <v>141</v>
      </c>
      <c r="C129" s="17">
        <v>19941213</v>
      </c>
      <c r="D129" s="17">
        <v>22991231</v>
      </c>
      <c r="E129" s="24" t="s">
        <v>7128</v>
      </c>
    </row>
    <row r="130" spans="1:5" ht="26" x14ac:dyDescent="0.3">
      <c r="A130" s="17" t="str">
        <f>"01382"</f>
        <v>01382</v>
      </c>
      <c r="B130" s="5" t="s">
        <v>142</v>
      </c>
      <c r="C130" s="17">
        <v>19941213</v>
      </c>
      <c r="D130" s="17">
        <v>22991231</v>
      </c>
      <c r="E130" s="24" t="s">
        <v>7128</v>
      </c>
    </row>
    <row r="131" spans="1:5" ht="26" x14ac:dyDescent="0.3">
      <c r="A131" s="17" t="str">
        <f>"01390"</f>
        <v>01390</v>
      </c>
      <c r="B131" s="5" t="s">
        <v>143</v>
      </c>
      <c r="C131" s="17">
        <v>19941213</v>
      </c>
      <c r="D131" s="17">
        <v>22991231</v>
      </c>
      <c r="E131" s="24" t="s">
        <v>7128</v>
      </c>
    </row>
    <row r="132" spans="1:5" ht="26" x14ac:dyDescent="0.3">
      <c r="A132" s="17" t="str">
        <f>"01392"</f>
        <v>01392</v>
      </c>
      <c r="B132" s="5" t="s">
        <v>144</v>
      </c>
      <c r="C132" s="17">
        <v>19941213</v>
      </c>
      <c r="D132" s="17">
        <v>22991231</v>
      </c>
      <c r="E132" s="24" t="s">
        <v>7128</v>
      </c>
    </row>
    <row r="133" spans="1:5" ht="26" x14ac:dyDescent="0.3">
      <c r="A133" s="17" t="str">
        <f>"01400"</f>
        <v>01400</v>
      </c>
      <c r="B133" s="5" t="s">
        <v>145</v>
      </c>
      <c r="C133" s="17">
        <v>19941213</v>
      </c>
      <c r="D133" s="17">
        <v>22991231</v>
      </c>
      <c r="E133" s="24" t="s">
        <v>7128</v>
      </c>
    </row>
    <row r="134" spans="1:5" ht="26" x14ac:dyDescent="0.3">
      <c r="A134" s="17" t="str">
        <f>"01420"</f>
        <v>01420</v>
      </c>
      <c r="B134" s="5" t="s">
        <v>146</v>
      </c>
      <c r="C134" s="17">
        <v>19941213</v>
      </c>
      <c r="D134" s="17">
        <v>22991231</v>
      </c>
      <c r="E134" s="24" t="s">
        <v>7128</v>
      </c>
    </row>
    <row r="135" spans="1:5" x14ac:dyDescent="0.3">
      <c r="A135" s="17" t="str">
        <f>"01430"</f>
        <v>01430</v>
      </c>
      <c r="B135" s="5" t="s">
        <v>147</v>
      </c>
      <c r="C135" s="17">
        <v>19941213</v>
      </c>
      <c r="D135" s="17">
        <v>22991231</v>
      </c>
      <c r="E135" s="24" t="s">
        <v>7128</v>
      </c>
    </row>
    <row r="136" spans="1:5" ht="26" x14ac:dyDescent="0.3">
      <c r="A136" s="17" t="str">
        <f>"01432"</f>
        <v>01432</v>
      </c>
      <c r="B136" s="5" t="s">
        <v>148</v>
      </c>
      <c r="C136" s="17">
        <v>19941213</v>
      </c>
      <c r="D136" s="17">
        <v>22991231</v>
      </c>
      <c r="E136" s="24" t="s">
        <v>7128</v>
      </c>
    </row>
    <row r="137" spans="1:5" x14ac:dyDescent="0.3">
      <c r="A137" s="17" t="str">
        <f>"01440"</f>
        <v>01440</v>
      </c>
      <c r="B137" s="5" t="s">
        <v>149</v>
      </c>
      <c r="C137" s="17">
        <v>19941213</v>
      </c>
      <c r="D137" s="17">
        <v>22991231</v>
      </c>
      <c r="E137" s="24" t="s">
        <v>7128</v>
      </c>
    </row>
    <row r="138" spans="1:5" ht="26" x14ac:dyDescent="0.3">
      <c r="A138" s="17" t="str">
        <f>"01462"</f>
        <v>01462</v>
      </c>
      <c r="B138" s="5" t="s">
        <v>150</v>
      </c>
      <c r="C138" s="17">
        <v>19941213</v>
      </c>
      <c r="D138" s="17">
        <v>22991231</v>
      </c>
      <c r="E138" s="24" t="s">
        <v>7128</v>
      </c>
    </row>
    <row r="139" spans="1:5" ht="26" x14ac:dyDescent="0.3">
      <c r="A139" s="17" t="str">
        <f>"01464"</f>
        <v>01464</v>
      </c>
      <c r="B139" s="5" t="s">
        <v>151</v>
      </c>
      <c r="C139" s="17">
        <v>19941213</v>
      </c>
      <c r="D139" s="17">
        <v>22991231</v>
      </c>
      <c r="E139" s="24" t="s">
        <v>7128</v>
      </c>
    </row>
    <row r="140" spans="1:5" ht="39" x14ac:dyDescent="0.3">
      <c r="A140" s="17" t="str">
        <f>"01470"</f>
        <v>01470</v>
      </c>
      <c r="B140" s="5" t="s">
        <v>152</v>
      </c>
      <c r="C140" s="17">
        <v>19941213</v>
      </c>
      <c r="D140" s="17">
        <v>22991231</v>
      </c>
      <c r="E140" s="24" t="s">
        <v>7128</v>
      </c>
    </row>
    <row r="141" spans="1:5" x14ac:dyDescent="0.3">
      <c r="A141" s="17" t="str">
        <f>"01472"</f>
        <v>01472</v>
      </c>
      <c r="B141" s="5" t="s">
        <v>153</v>
      </c>
      <c r="C141" s="17">
        <v>19941213</v>
      </c>
      <c r="D141" s="17">
        <v>22991231</v>
      </c>
      <c r="E141" s="24" t="s">
        <v>7128</v>
      </c>
    </row>
    <row r="142" spans="1:5" x14ac:dyDescent="0.3">
      <c r="A142" s="17" t="str">
        <f>"01474"</f>
        <v>01474</v>
      </c>
      <c r="B142" s="5" t="s">
        <v>154</v>
      </c>
      <c r="C142" s="17">
        <v>19941213</v>
      </c>
      <c r="D142" s="17">
        <v>22991231</v>
      </c>
      <c r="E142" s="24" t="s">
        <v>7128</v>
      </c>
    </row>
    <row r="143" spans="1:5" ht="26" x14ac:dyDescent="0.3">
      <c r="A143" s="17" t="str">
        <f>"01480"</f>
        <v>01480</v>
      </c>
      <c r="B143" s="5" t="s">
        <v>155</v>
      </c>
      <c r="C143" s="17">
        <v>19941213</v>
      </c>
      <c r="D143" s="17">
        <v>22991231</v>
      </c>
      <c r="E143" s="24" t="s">
        <v>7128</v>
      </c>
    </row>
    <row r="144" spans="1:5" x14ac:dyDescent="0.3">
      <c r="A144" s="17" t="str">
        <f>"01482"</f>
        <v>01482</v>
      </c>
      <c r="B144" s="5" t="s">
        <v>156</v>
      </c>
      <c r="C144" s="17">
        <v>19941213</v>
      </c>
      <c r="D144" s="17">
        <v>22991231</v>
      </c>
      <c r="E144" s="24" t="s">
        <v>7128</v>
      </c>
    </row>
    <row r="145" spans="1:5" ht="26" x14ac:dyDescent="0.3">
      <c r="A145" s="17" t="str">
        <f>"01484"</f>
        <v>01484</v>
      </c>
      <c r="B145" s="5" t="s">
        <v>157</v>
      </c>
      <c r="C145" s="17">
        <v>19941213</v>
      </c>
      <c r="D145" s="17">
        <v>22991231</v>
      </c>
      <c r="E145" s="24" t="s">
        <v>7128</v>
      </c>
    </row>
    <row r="146" spans="1:5" ht="26" x14ac:dyDescent="0.3">
      <c r="A146" s="17" t="str">
        <f>"01490"</f>
        <v>01490</v>
      </c>
      <c r="B146" s="5" t="s">
        <v>158</v>
      </c>
      <c r="C146" s="17">
        <v>19941213</v>
      </c>
      <c r="D146" s="17">
        <v>22991231</v>
      </c>
      <c r="E146" s="24" t="s">
        <v>7128</v>
      </c>
    </row>
    <row r="147" spans="1:5" ht="26" x14ac:dyDescent="0.3">
      <c r="A147" s="17" t="str">
        <f>"01500"</f>
        <v>01500</v>
      </c>
      <c r="B147" s="5" t="s">
        <v>159</v>
      </c>
      <c r="C147" s="17">
        <v>19941213</v>
      </c>
      <c r="D147" s="17">
        <v>22991231</v>
      </c>
      <c r="E147" s="24" t="s">
        <v>7128</v>
      </c>
    </row>
    <row r="148" spans="1:5" ht="26" x14ac:dyDescent="0.3">
      <c r="A148" s="17" t="str">
        <f>"01520"</f>
        <v>01520</v>
      </c>
      <c r="B148" s="5" t="s">
        <v>160</v>
      </c>
      <c r="C148" s="17">
        <v>19941213</v>
      </c>
      <c r="D148" s="17">
        <v>22991231</v>
      </c>
      <c r="E148" s="24" t="s">
        <v>7128</v>
      </c>
    </row>
    <row r="149" spans="1:5" ht="26" x14ac:dyDescent="0.3">
      <c r="A149" s="17" t="str">
        <f>"01522"</f>
        <v>01522</v>
      </c>
      <c r="B149" s="5" t="s">
        <v>161</v>
      </c>
      <c r="C149" s="17">
        <v>19941213</v>
      </c>
      <c r="D149" s="17">
        <v>22991231</v>
      </c>
      <c r="E149" s="24" t="s">
        <v>7128</v>
      </c>
    </row>
    <row r="150" spans="1:5" ht="39" x14ac:dyDescent="0.3">
      <c r="A150" s="17" t="str">
        <f>"01610"</f>
        <v>01610</v>
      </c>
      <c r="B150" s="5" t="s">
        <v>162</v>
      </c>
      <c r="C150" s="17">
        <v>19941213</v>
      </c>
      <c r="D150" s="17">
        <v>22991231</v>
      </c>
      <c r="E150" s="24" t="s">
        <v>7128</v>
      </c>
    </row>
    <row r="151" spans="1:5" ht="26" x14ac:dyDescent="0.3">
      <c r="A151" s="17" t="str">
        <f>"01620"</f>
        <v>01620</v>
      </c>
      <c r="B151" s="5" t="s">
        <v>163</v>
      </c>
      <c r="C151" s="17">
        <v>19941213</v>
      </c>
      <c r="D151" s="17">
        <v>22991231</v>
      </c>
      <c r="E151" s="24" t="s">
        <v>7128</v>
      </c>
    </row>
    <row r="152" spans="1:5" ht="26" x14ac:dyDescent="0.3">
      <c r="A152" s="17" t="str">
        <f>"01622"</f>
        <v>01622</v>
      </c>
      <c r="B152" s="5" t="s">
        <v>164</v>
      </c>
      <c r="C152" s="17">
        <v>19941213</v>
      </c>
      <c r="D152" s="17">
        <v>22991231</v>
      </c>
      <c r="E152" s="24" t="s">
        <v>7128</v>
      </c>
    </row>
    <row r="153" spans="1:5" ht="26" x14ac:dyDescent="0.3">
      <c r="A153" s="17" t="str">
        <f>"01630"</f>
        <v>01630</v>
      </c>
      <c r="B153" s="5" t="s">
        <v>165</v>
      </c>
      <c r="C153" s="17">
        <v>19941213</v>
      </c>
      <c r="D153" s="17">
        <v>22991231</v>
      </c>
      <c r="E153" s="24" t="s">
        <v>7128</v>
      </c>
    </row>
    <row r="154" spans="1:5" ht="26" x14ac:dyDescent="0.3">
      <c r="A154" s="17" t="str">
        <f>"01650"</f>
        <v>01650</v>
      </c>
      <c r="B154" s="5" t="s">
        <v>166</v>
      </c>
      <c r="C154" s="17">
        <v>19941213</v>
      </c>
      <c r="D154" s="17">
        <v>22991231</v>
      </c>
      <c r="E154" s="24" t="s">
        <v>7128</v>
      </c>
    </row>
    <row r="155" spans="1:5" ht="26" x14ac:dyDescent="0.3">
      <c r="A155" s="17" t="str">
        <f>"01670"</f>
        <v>01670</v>
      </c>
      <c r="B155" s="5" t="s">
        <v>167</v>
      </c>
      <c r="C155" s="17">
        <v>19941213</v>
      </c>
      <c r="D155" s="17">
        <v>22991231</v>
      </c>
      <c r="E155" s="24" t="s">
        <v>7128</v>
      </c>
    </row>
    <row r="156" spans="1:5" ht="26" x14ac:dyDescent="0.3">
      <c r="A156" s="17" t="str">
        <f>"01680"</f>
        <v>01680</v>
      </c>
      <c r="B156" s="5" t="s">
        <v>168</v>
      </c>
      <c r="C156" s="17">
        <v>19941213</v>
      </c>
      <c r="D156" s="17">
        <v>22991231</v>
      </c>
      <c r="E156" s="24" t="s">
        <v>7128</v>
      </c>
    </row>
    <row r="157" spans="1:5" ht="39" x14ac:dyDescent="0.3">
      <c r="A157" s="17" t="str">
        <f>"01710"</f>
        <v>01710</v>
      </c>
      <c r="B157" s="5" t="s">
        <v>169</v>
      </c>
      <c r="C157" s="17">
        <v>19941213</v>
      </c>
      <c r="D157" s="17">
        <v>22991231</v>
      </c>
      <c r="E157" s="24" t="s">
        <v>7128</v>
      </c>
    </row>
    <row r="158" spans="1:5" ht="26" x14ac:dyDescent="0.3">
      <c r="A158" s="17" t="str">
        <f>"01712"</f>
        <v>01712</v>
      </c>
      <c r="B158" s="5" t="s">
        <v>170</v>
      </c>
      <c r="C158" s="17">
        <v>19941213</v>
      </c>
      <c r="D158" s="17">
        <v>22991231</v>
      </c>
      <c r="E158" s="24" t="s">
        <v>7128</v>
      </c>
    </row>
    <row r="159" spans="1:5" ht="26" x14ac:dyDescent="0.3">
      <c r="A159" s="17" t="str">
        <f>"01714"</f>
        <v>01714</v>
      </c>
      <c r="B159" s="5" t="s">
        <v>171</v>
      </c>
      <c r="C159" s="17">
        <v>19941213</v>
      </c>
      <c r="D159" s="17">
        <v>22991231</v>
      </c>
      <c r="E159" s="24" t="s">
        <v>7128</v>
      </c>
    </row>
    <row r="160" spans="1:5" ht="26" x14ac:dyDescent="0.3">
      <c r="A160" s="17" t="str">
        <f>"01716"</f>
        <v>01716</v>
      </c>
      <c r="B160" s="5" t="s">
        <v>172</v>
      </c>
      <c r="C160" s="17">
        <v>19941213</v>
      </c>
      <c r="D160" s="17">
        <v>22991231</v>
      </c>
      <c r="E160" s="24" t="s">
        <v>7128</v>
      </c>
    </row>
    <row r="161" spans="1:5" ht="26" x14ac:dyDescent="0.3">
      <c r="A161" s="17" t="str">
        <f>"01730"</f>
        <v>01730</v>
      </c>
      <c r="B161" s="5" t="s">
        <v>173</v>
      </c>
      <c r="C161" s="17">
        <v>19941213</v>
      </c>
      <c r="D161" s="17">
        <v>22991231</v>
      </c>
      <c r="E161" s="24" t="s">
        <v>7128</v>
      </c>
    </row>
    <row r="162" spans="1:5" ht="26" x14ac:dyDescent="0.3">
      <c r="A162" s="17" t="str">
        <f>"01732"</f>
        <v>01732</v>
      </c>
      <c r="B162" s="5" t="s">
        <v>174</v>
      </c>
      <c r="C162" s="17">
        <v>19941213</v>
      </c>
      <c r="D162" s="17">
        <v>22991231</v>
      </c>
      <c r="E162" s="24" t="s">
        <v>7128</v>
      </c>
    </row>
    <row r="163" spans="1:5" x14ac:dyDescent="0.3">
      <c r="A163" s="17" t="str">
        <f>"01740"</f>
        <v>01740</v>
      </c>
      <c r="B163" s="5" t="s">
        <v>175</v>
      </c>
      <c r="C163" s="17">
        <v>19941213</v>
      </c>
      <c r="D163" s="17">
        <v>22991231</v>
      </c>
      <c r="E163" s="24" t="s">
        <v>7128</v>
      </c>
    </row>
    <row r="164" spans="1:5" ht="26" x14ac:dyDescent="0.3">
      <c r="A164" s="17" t="str">
        <f>"01742"</f>
        <v>01742</v>
      </c>
      <c r="B164" s="5" t="s">
        <v>176</v>
      </c>
      <c r="C164" s="17">
        <v>19941213</v>
      </c>
      <c r="D164" s="17">
        <v>22991231</v>
      </c>
      <c r="E164" s="24" t="s">
        <v>7128</v>
      </c>
    </row>
    <row r="165" spans="1:5" ht="26" x14ac:dyDescent="0.3">
      <c r="A165" s="17" t="str">
        <f>"01744"</f>
        <v>01744</v>
      </c>
      <c r="B165" s="5" t="s">
        <v>177</v>
      </c>
      <c r="C165" s="17">
        <v>19941213</v>
      </c>
      <c r="D165" s="17">
        <v>22991231</v>
      </c>
      <c r="E165" s="24" t="s">
        <v>7128</v>
      </c>
    </row>
    <row r="166" spans="1:5" ht="26" x14ac:dyDescent="0.3">
      <c r="A166" s="17" t="str">
        <f>"01758"</f>
        <v>01758</v>
      </c>
      <c r="B166" s="5" t="s">
        <v>178</v>
      </c>
      <c r="C166" s="17">
        <v>19941213</v>
      </c>
      <c r="D166" s="17">
        <v>22991231</v>
      </c>
      <c r="E166" s="24" t="s">
        <v>7128</v>
      </c>
    </row>
    <row r="167" spans="1:5" x14ac:dyDescent="0.3">
      <c r="A167" s="17" t="str">
        <f>"01760"</f>
        <v>01760</v>
      </c>
      <c r="B167" s="5" t="s">
        <v>179</v>
      </c>
      <c r="C167" s="17">
        <v>19941213</v>
      </c>
      <c r="D167" s="17">
        <v>22991231</v>
      </c>
      <c r="E167" s="24" t="s">
        <v>7128</v>
      </c>
    </row>
    <row r="168" spans="1:5" ht="26" x14ac:dyDescent="0.3">
      <c r="A168" s="17" t="str">
        <f>"01770"</f>
        <v>01770</v>
      </c>
      <c r="B168" s="5" t="s">
        <v>180</v>
      </c>
      <c r="C168" s="17">
        <v>19941213</v>
      </c>
      <c r="D168" s="17">
        <v>22991231</v>
      </c>
      <c r="E168" s="24" t="s">
        <v>7128</v>
      </c>
    </row>
    <row r="169" spans="1:5" ht="26" x14ac:dyDescent="0.3">
      <c r="A169" s="17" t="str">
        <f>"01772"</f>
        <v>01772</v>
      </c>
      <c r="B169" s="5" t="s">
        <v>181</v>
      </c>
      <c r="C169" s="17">
        <v>19941213</v>
      </c>
      <c r="D169" s="17">
        <v>22991231</v>
      </c>
      <c r="E169" s="24" t="s">
        <v>7128</v>
      </c>
    </row>
    <row r="170" spans="1:5" ht="26" x14ac:dyDescent="0.3">
      <c r="A170" s="17" t="str">
        <f>"01780"</f>
        <v>01780</v>
      </c>
      <c r="B170" s="5" t="s">
        <v>182</v>
      </c>
      <c r="C170" s="17">
        <v>19941213</v>
      </c>
      <c r="D170" s="17">
        <v>22991231</v>
      </c>
      <c r="E170" s="24" t="s">
        <v>7128</v>
      </c>
    </row>
    <row r="171" spans="1:5" ht="26" x14ac:dyDescent="0.3">
      <c r="A171" s="17" t="str">
        <f>"01782"</f>
        <v>01782</v>
      </c>
      <c r="B171" s="5" t="s">
        <v>183</v>
      </c>
      <c r="C171" s="17">
        <v>19941213</v>
      </c>
      <c r="D171" s="17">
        <v>22991231</v>
      </c>
      <c r="E171" s="24" t="s">
        <v>7128</v>
      </c>
    </row>
    <row r="172" spans="1:5" ht="26" x14ac:dyDescent="0.3">
      <c r="A172" s="17" t="str">
        <f>"01810"</f>
        <v>01810</v>
      </c>
      <c r="B172" s="5" t="s">
        <v>184</v>
      </c>
      <c r="C172" s="17">
        <v>19941213</v>
      </c>
      <c r="D172" s="17">
        <v>22991231</v>
      </c>
      <c r="E172" s="24" t="s">
        <v>7128</v>
      </c>
    </row>
    <row r="173" spans="1:5" ht="26" x14ac:dyDescent="0.3">
      <c r="A173" s="17" t="str">
        <f>"01820"</f>
        <v>01820</v>
      </c>
      <c r="B173" s="5" t="s">
        <v>185</v>
      </c>
      <c r="C173" s="17">
        <v>19941213</v>
      </c>
      <c r="D173" s="17">
        <v>22991231</v>
      </c>
      <c r="E173" s="24" t="s">
        <v>7128</v>
      </c>
    </row>
    <row r="174" spans="1:5" ht="26" x14ac:dyDescent="0.3">
      <c r="A174" s="17" t="str">
        <f>"01830"</f>
        <v>01830</v>
      </c>
      <c r="B174" s="5" t="s">
        <v>186</v>
      </c>
      <c r="C174" s="17">
        <v>19941213</v>
      </c>
      <c r="D174" s="17">
        <v>22991231</v>
      </c>
      <c r="E174" s="24" t="s">
        <v>7128</v>
      </c>
    </row>
    <row r="175" spans="1:5" x14ac:dyDescent="0.3">
      <c r="A175" s="17" t="str">
        <f>"01832"</f>
        <v>01832</v>
      </c>
      <c r="B175" s="5" t="s">
        <v>187</v>
      </c>
      <c r="C175" s="17">
        <v>19941213</v>
      </c>
      <c r="D175" s="17">
        <v>22991231</v>
      </c>
      <c r="E175" s="24" t="s">
        <v>7128</v>
      </c>
    </row>
    <row r="176" spans="1:5" ht="26" x14ac:dyDescent="0.3">
      <c r="A176" s="17" t="str">
        <f>"01840"</f>
        <v>01840</v>
      </c>
      <c r="B176" s="5" t="s">
        <v>188</v>
      </c>
      <c r="C176" s="17">
        <v>19941213</v>
      </c>
      <c r="D176" s="17">
        <v>22991231</v>
      </c>
      <c r="E176" s="24" t="s">
        <v>7128</v>
      </c>
    </row>
    <row r="177" spans="1:5" ht="26" x14ac:dyDescent="0.3">
      <c r="A177" s="17" t="str">
        <f>"01842"</f>
        <v>01842</v>
      </c>
      <c r="B177" s="5" t="s">
        <v>189</v>
      </c>
      <c r="C177" s="17">
        <v>19941213</v>
      </c>
      <c r="D177" s="17">
        <v>22991231</v>
      </c>
      <c r="E177" s="24" t="s">
        <v>7128</v>
      </c>
    </row>
    <row r="178" spans="1:5" ht="26" x14ac:dyDescent="0.3">
      <c r="A178" s="17" t="str">
        <f>"01844"</f>
        <v>01844</v>
      </c>
      <c r="B178" s="5" t="s">
        <v>190</v>
      </c>
      <c r="C178" s="17">
        <v>19941213</v>
      </c>
      <c r="D178" s="17">
        <v>22991231</v>
      </c>
      <c r="E178" s="24" t="s">
        <v>7128</v>
      </c>
    </row>
    <row r="179" spans="1:5" ht="26" x14ac:dyDescent="0.3">
      <c r="A179" s="17" t="str">
        <f>"01850"</f>
        <v>01850</v>
      </c>
      <c r="B179" s="5" t="s">
        <v>191</v>
      </c>
      <c r="C179" s="17">
        <v>19941213</v>
      </c>
      <c r="D179" s="17">
        <v>22991231</v>
      </c>
      <c r="E179" s="24" t="s">
        <v>7128</v>
      </c>
    </row>
    <row r="180" spans="1:5" ht="26" x14ac:dyDescent="0.3">
      <c r="A180" s="17" t="str">
        <f>"01852"</f>
        <v>01852</v>
      </c>
      <c r="B180" s="5" t="s">
        <v>192</v>
      </c>
      <c r="C180" s="17">
        <v>19941213</v>
      </c>
      <c r="D180" s="17">
        <v>22991231</v>
      </c>
      <c r="E180" s="24" t="s">
        <v>7128</v>
      </c>
    </row>
    <row r="181" spans="1:5" ht="26" x14ac:dyDescent="0.3">
      <c r="A181" s="17" t="str">
        <f>"01860"</f>
        <v>01860</v>
      </c>
      <c r="B181" s="5" t="s">
        <v>193</v>
      </c>
      <c r="C181" s="17">
        <v>19941213</v>
      </c>
      <c r="D181" s="17">
        <v>22991231</v>
      </c>
      <c r="E181" s="24" t="s">
        <v>7128</v>
      </c>
    </row>
    <row r="182" spans="1:5" ht="26" x14ac:dyDescent="0.3">
      <c r="A182" s="17" t="str">
        <f>"01916"</f>
        <v>01916</v>
      </c>
      <c r="B182" s="5" t="s">
        <v>194</v>
      </c>
      <c r="C182" s="17">
        <v>19941213</v>
      </c>
      <c r="D182" s="17">
        <v>22991231</v>
      </c>
      <c r="E182" s="24" t="s">
        <v>7128</v>
      </c>
    </row>
    <row r="183" spans="1:5" ht="26" x14ac:dyDescent="0.3">
      <c r="A183" s="17" t="str">
        <f>"01920"</f>
        <v>01920</v>
      </c>
      <c r="B183" s="5" t="s">
        <v>195</v>
      </c>
      <c r="C183" s="17">
        <v>19941213</v>
      </c>
      <c r="D183" s="17">
        <v>22991231</v>
      </c>
      <c r="E183" s="24" t="s">
        <v>7128</v>
      </c>
    </row>
    <row r="184" spans="1:5" x14ac:dyDescent="0.3">
      <c r="A184" s="17" t="str">
        <f>"01922"</f>
        <v>01922</v>
      </c>
      <c r="B184" s="5" t="s">
        <v>196</v>
      </c>
      <c r="C184" s="17">
        <v>19941213</v>
      </c>
      <c r="D184" s="17">
        <v>22991231</v>
      </c>
      <c r="E184" s="24" t="s">
        <v>7128</v>
      </c>
    </row>
    <row r="185" spans="1:5" ht="26" x14ac:dyDescent="0.3">
      <c r="A185" s="17" t="str">
        <f>"01996"</f>
        <v>01996</v>
      </c>
      <c r="B185" s="5" t="s">
        <v>197</v>
      </c>
      <c r="C185" s="17">
        <v>19941213</v>
      </c>
      <c r="D185" s="17">
        <v>22991231</v>
      </c>
      <c r="E185" s="24" t="s">
        <v>7128</v>
      </c>
    </row>
    <row r="186" spans="1:5" x14ac:dyDescent="0.3">
      <c r="A186" s="17" t="str">
        <f>"01999"</f>
        <v>01999</v>
      </c>
      <c r="B186" s="5" t="s">
        <v>198</v>
      </c>
      <c r="C186" s="17">
        <v>19900101</v>
      </c>
      <c r="D186" s="17">
        <v>22991231</v>
      </c>
      <c r="E186" s="24" t="s">
        <v>7128</v>
      </c>
    </row>
    <row r="187" spans="1:5" ht="26" x14ac:dyDescent="0.3">
      <c r="A187" s="17" t="str">
        <f>"10004"</f>
        <v>10004</v>
      </c>
      <c r="B187" s="5" t="s">
        <v>344</v>
      </c>
      <c r="C187" s="17">
        <v>20190101</v>
      </c>
      <c r="D187" s="17">
        <v>22991231</v>
      </c>
      <c r="E187" s="25">
        <v>0</v>
      </c>
    </row>
    <row r="188" spans="1:5" ht="26" x14ac:dyDescent="0.3">
      <c r="A188" s="17" t="str">
        <f>"10005"</f>
        <v>10005</v>
      </c>
      <c r="B188" s="5" t="s">
        <v>345</v>
      </c>
      <c r="C188" s="17">
        <v>20190101</v>
      </c>
      <c r="D188" s="17">
        <v>22991231</v>
      </c>
      <c r="E188" s="25">
        <v>348.6</v>
      </c>
    </row>
    <row r="189" spans="1:5" ht="26" x14ac:dyDescent="0.3">
      <c r="A189" s="17" t="str">
        <f>"10006"</f>
        <v>10006</v>
      </c>
      <c r="B189" s="5" t="s">
        <v>346</v>
      </c>
      <c r="C189" s="17">
        <v>20190101</v>
      </c>
      <c r="D189" s="17">
        <v>22991231</v>
      </c>
      <c r="E189" s="25">
        <v>0</v>
      </c>
    </row>
    <row r="190" spans="1:5" ht="26" x14ac:dyDescent="0.3">
      <c r="A190" s="17" t="str">
        <f>"10007"</f>
        <v>10007</v>
      </c>
      <c r="B190" s="5" t="s">
        <v>347</v>
      </c>
      <c r="C190" s="17">
        <v>20190101</v>
      </c>
      <c r="D190" s="17">
        <v>22991231</v>
      </c>
      <c r="E190" s="25">
        <v>221.43</v>
      </c>
    </row>
    <row r="191" spans="1:5" ht="26" x14ac:dyDescent="0.3">
      <c r="A191" s="17" t="str">
        <f>"10008"</f>
        <v>10008</v>
      </c>
      <c r="B191" s="5" t="s">
        <v>348</v>
      </c>
      <c r="C191" s="17">
        <v>20190101</v>
      </c>
      <c r="D191" s="17">
        <v>22991231</v>
      </c>
      <c r="E191" s="25">
        <v>0</v>
      </c>
    </row>
    <row r="192" spans="1:5" ht="26" x14ac:dyDescent="0.3">
      <c r="A192" s="17" t="str">
        <f>"10009"</f>
        <v>10009</v>
      </c>
      <c r="B192" s="5" t="s">
        <v>349</v>
      </c>
      <c r="C192" s="17">
        <v>20190101</v>
      </c>
      <c r="D192" s="17">
        <v>22991231</v>
      </c>
      <c r="E192" s="25">
        <v>348.6</v>
      </c>
    </row>
    <row r="193" spans="1:5" ht="26" x14ac:dyDescent="0.3">
      <c r="A193" s="17" t="str">
        <f>"10010"</f>
        <v>10010</v>
      </c>
      <c r="B193" s="5" t="s">
        <v>350</v>
      </c>
      <c r="C193" s="17">
        <v>20190101</v>
      </c>
      <c r="D193" s="17">
        <v>22991231</v>
      </c>
      <c r="E193" s="25">
        <v>0</v>
      </c>
    </row>
    <row r="194" spans="1:5" ht="26" x14ac:dyDescent="0.3">
      <c r="A194" s="17" t="str">
        <f>"10011"</f>
        <v>10011</v>
      </c>
      <c r="B194" s="5" t="s">
        <v>351</v>
      </c>
      <c r="C194" s="17">
        <v>20190101</v>
      </c>
      <c r="D194" s="17">
        <v>22991231</v>
      </c>
      <c r="E194" s="25">
        <v>348.6</v>
      </c>
    </row>
    <row r="195" spans="1:5" ht="26" x14ac:dyDescent="0.3">
      <c r="A195" s="17" t="str">
        <f>"10012"</f>
        <v>10012</v>
      </c>
      <c r="B195" s="5" t="s">
        <v>352</v>
      </c>
      <c r="C195" s="17">
        <v>20190101</v>
      </c>
      <c r="D195" s="17">
        <v>22991231</v>
      </c>
      <c r="E195" s="25">
        <v>0</v>
      </c>
    </row>
    <row r="196" spans="1:5" x14ac:dyDescent="0.3">
      <c r="A196" s="17" t="str">
        <f>"10021"</f>
        <v>10021</v>
      </c>
      <c r="B196" s="5" t="s">
        <v>353</v>
      </c>
      <c r="C196" s="17">
        <v>20020101</v>
      </c>
      <c r="D196" s="17">
        <v>22991231</v>
      </c>
      <c r="E196" s="25">
        <v>58.48</v>
      </c>
    </row>
    <row r="197" spans="1:5" ht="26" x14ac:dyDescent="0.3">
      <c r="A197" s="17" t="str">
        <f>"10030"</f>
        <v>10030</v>
      </c>
      <c r="B197" s="5" t="s">
        <v>354</v>
      </c>
      <c r="C197" s="17">
        <v>20230101</v>
      </c>
      <c r="D197" s="17">
        <v>22991231</v>
      </c>
      <c r="E197" s="25">
        <v>348.6</v>
      </c>
    </row>
    <row r="198" spans="1:5" ht="26" x14ac:dyDescent="0.3">
      <c r="A198" s="17" t="str">
        <f>"10035"</f>
        <v>10035</v>
      </c>
      <c r="B198" s="5" t="s">
        <v>355</v>
      </c>
      <c r="C198" s="17">
        <v>20230101</v>
      </c>
      <c r="D198" s="17">
        <v>22991231</v>
      </c>
      <c r="E198" s="25">
        <v>0</v>
      </c>
    </row>
    <row r="199" spans="1:5" ht="26" x14ac:dyDescent="0.3">
      <c r="A199" s="17" t="str">
        <f>"10036"</f>
        <v>10036</v>
      </c>
      <c r="B199" s="5" t="s">
        <v>356</v>
      </c>
      <c r="C199" s="17">
        <v>20230101</v>
      </c>
      <c r="D199" s="17">
        <v>22991231</v>
      </c>
      <c r="E199" s="25">
        <v>0</v>
      </c>
    </row>
    <row r="200" spans="1:5" x14ac:dyDescent="0.3">
      <c r="A200" s="17" t="str">
        <f>"10040"</f>
        <v>10040</v>
      </c>
      <c r="B200" s="5" t="s">
        <v>357</v>
      </c>
      <c r="C200" s="17">
        <v>19900101</v>
      </c>
      <c r="D200" s="17">
        <v>22991231</v>
      </c>
      <c r="E200" s="25">
        <v>0</v>
      </c>
    </row>
    <row r="201" spans="1:5" x14ac:dyDescent="0.3">
      <c r="A201" s="17" t="str">
        <f>"10060"</f>
        <v>10060</v>
      </c>
      <c r="B201" s="5" t="s">
        <v>358</v>
      </c>
      <c r="C201" s="17">
        <v>19900101</v>
      </c>
      <c r="D201" s="17">
        <v>22991231</v>
      </c>
      <c r="E201" s="25">
        <v>77.569999999999993</v>
      </c>
    </row>
    <row r="202" spans="1:5" ht="26" x14ac:dyDescent="0.3">
      <c r="A202" s="17" t="str">
        <f>"10061"</f>
        <v>10061</v>
      </c>
      <c r="B202" s="5" t="s">
        <v>359</v>
      </c>
      <c r="C202" s="17">
        <v>19900101</v>
      </c>
      <c r="D202" s="17">
        <v>22991231</v>
      </c>
      <c r="E202" s="25">
        <v>115.72</v>
      </c>
    </row>
    <row r="203" spans="1:5" x14ac:dyDescent="0.3">
      <c r="A203" s="17" t="str">
        <f>"10080"</f>
        <v>10080</v>
      </c>
      <c r="B203" s="5" t="s">
        <v>360</v>
      </c>
      <c r="C203" s="17">
        <v>19900101</v>
      </c>
      <c r="D203" s="17">
        <v>22991231</v>
      </c>
      <c r="E203" s="25">
        <v>191.4</v>
      </c>
    </row>
    <row r="204" spans="1:5" x14ac:dyDescent="0.3">
      <c r="A204" s="17" t="str">
        <f>"10081"</f>
        <v>10081</v>
      </c>
      <c r="B204" s="5" t="s">
        <v>361</v>
      </c>
      <c r="C204" s="17">
        <v>19900101</v>
      </c>
      <c r="D204" s="17">
        <v>22991231</v>
      </c>
      <c r="E204" s="25">
        <v>230.81</v>
      </c>
    </row>
    <row r="205" spans="1:5" ht="26" x14ac:dyDescent="0.3">
      <c r="A205" s="17" t="str">
        <f>"10120"</f>
        <v>10120</v>
      </c>
      <c r="B205" s="5" t="s">
        <v>362</v>
      </c>
      <c r="C205" s="17">
        <v>19900101</v>
      </c>
      <c r="D205" s="17">
        <v>22991231</v>
      </c>
      <c r="E205" s="25">
        <v>100.71</v>
      </c>
    </row>
    <row r="206" spans="1:5" ht="26" x14ac:dyDescent="0.3">
      <c r="A206" s="17" t="str">
        <f>"10121"</f>
        <v>10121</v>
      </c>
      <c r="B206" s="5" t="s">
        <v>363</v>
      </c>
      <c r="C206" s="17">
        <v>19900101</v>
      </c>
      <c r="D206" s="17">
        <v>22991231</v>
      </c>
      <c r="E206" s="25">
        <v>652.27</v>
      </c>
    </row>
    <row r="207" spans="1:5" x14ac:dyDescent="0.3">
      <c r="A207" s="17" t="str">
        <f>"10140"</f>
        <v>10140</v>
      </c>
      <c r="B207" s="5" t="s">
        <v>364</v>
      </c>
      <c r="C207" s="17">
        <v>19900101</v>
      </c>
      <c r="D207" s="17">
        <v>22991231</v>
      </c>
      <c r="E207" s="25">
        <v>104.15</v>
      </c>
    </row>
    <row r="208" spans="1:5" x14ac:dyDescent="0.3">
      <c r="A208" s="17" t="str">
        <f>"10160"</f>
        <v>10160</v>
      </c>
      <c r="B208" s="5" t="s">
        <v>365</v>
      </c>
      <c r="C208" s="17">
        <v>19900101</v>
      </c>
      <c r="D208" s="17">
        <v>22991231</v>
      </c>
      <c r="E208" s="25">
        <v>78.19</v>
      </c>
    </row>
    <row r="209" spans="1:5" ht="26" x14ac:dyDescent="0.3">
      <c r="A209" s="17" t="str">
        <f>"10180"</f>
        <v>10180</v>
      </c>
      <c r="B209" s="5" t="s">
        <v>366</v>
      </c>
      <c r="C209" s="17">
        <v>19900101</v>
      </c>
      <c r="D209" s="17">
        <v>22991231</v>
      </c>
      <c r="E209" s="25">
        <v>1105.24</v>
      </c>
    </row>
    <row r="210" spans="1:5" ht="26" x14ac:dyDescent="0.3">
      <c r="A210" s="17" t="str">
        <f>"11000"</f>
        <v>11000</v>
      </c>
      <c r="B210" s="5" t="s">
        <v>367</v>
      </c>
      <c r="C210" s="17">
        <v>19900101</v>
      </c>
      <c r="D210" s="17">
        <v>22991231</v>
      </c>
      <c r="E210" s="25">
        <v>35.340000000000003</v>
      </c>
    </row>
    <row r="211" spans="1:5" ht="26" x14ac:dyDescent="0.3">
      <c r="A211" s="17" t="str">
        <f>"11001"</f>
        <v>11001</v>
      </c>
      <c r="B211" s="5" t="s">
        <v>368</v>
      </c>
      <c r="C211" s="17">
        <v>19900101</v>
      </c>
      <c r="D211" s="17">
        <v>22991231</v>
      </c>
      <c r="E211" s="25">
        <v>0</v>
      </c>
    </row>
    <row r="212" spans="1:5" ht="26" x14ac:dyDescent="0.3">
      <c r="A212" s="17" t="str">
        <f>"11010"</f>
        <v>11010</v>
      </c>
      <c r="B212" s="5" t="s">
        <v>369</v>
      </c>
      <c r="C212" s="17">
        <v>19900101</v>
      </c>
      <c r="D212" s="17">
        <v>22991231</v>
      </c>
      <c r="E212" s="25">
        <v>348.6</v>
      </c>
    </row>
    <row r="213" spans="1:5" ht="39" x14ac:dyDescent="0.3">
      <c r="A213" s="17" t="str">
        <f>"11011"</f>
        <v>11011</v>
      </c>
      <c r="B213" s="5" t="s">
        <v>370</v>
      </c>
      <c r="C213" s="17">
        <v>19900101</v>
      </c>
      <c r="D213" s="17">
        <v>22991231</v>
      </c>
      <c r="E213" s="25">
        <v>348.6</v>
      </c>
    </row>
    <row r="214" spans="1:5" ht="39" x14ac:dyDescent="0.3">
      <c r="A214" s="17" t="str">
        <f>"11012"</f>
        <v>11012</v>
      </c>
      <c r="B214" s="5" t="s">
        <v>371</v>
      </c>
      <c r="C214" s="17">
        <v>19900101</v>
      </c>
      <c r="D214" s="17">
        <v>22991231</v>
      </c>
      <c r="E214" s="25">
        <v>1105.24</v>
      </c>
    </row>
    <row r="215" spans="1:5" x14ac:dyDescent="0.3">
      <c r="A215" s="17" t="str">
        <f>"11042"</f>
        <v>11042</v>
      </c>
      <c r="B215" s="5" t="s">
        <v>372</v>
      </c>
      <c r="C215" s="17">
        <v>19900101</v>
      </c>
      <c r="D215" s="17">
        <v>22991231</v>
      </c>
      <c r="E215" s="25">
        <v>197.56</v>
      </c>
    </row>
    <row r="216" spans="1:5" ht="26" x14ac:dyDescent="0.3">
      <c r="A216" s="17" t="str">
        <f>"11043"</f>
        <v>11043</v>
      </c>
      <c r="B216" s="5" t="s">
        <v>373</v>
      </c>
      <c r="C216" s="17">
        <v>19900101</v>
      </c>
      <c r="D216" s="17">
        <v>22991231</v>
      </c>
      <c r="E216" s="25">
        <v>311.18</v>
      </c>
    </row>
    <row r="217" spans="1:5" x14ac:dyDescent="0.3">
      <c r="A217" s="17" t="str">
        <f>"11044"</f>
        <v>11044</v>
      </c>
      <c r="B217" s="5" t="s">
        <v>374</v>
      </c>
      <c r="C217" s="17">
        <v>19970801</v>
      </c>
      <c r="D217" s="17">
        <v>22991231</v>
      </c>
      <c r="E217" s="25">
        <v>652.27</v>
      </c>
    </row>
    <row r="218" spans="1:5" ht="26" x14ac:dyDescent="0.3">
      <c r="A218" s="17" t="str">
        <f>"11045"</f>
        <v>11045</v>
      </c>
      <c r="B218" s="5" t="s">
        <v>375</v>
      </c>
      <c r="C218" s="17">
        <v>20110101</v>
      </c>
      <c r="D218" s="17">
        <v>22991231</v>
      </c>
      <c r="E218" s="25">
        <v>0</v>
      </c>
    </row>
    <row r="219" spans="1:5" ht="26" x14ac:dyDescent="0.3">
      <c r="A219" s="17" t="str">
        <f>"11046"</f>
        <v>11046</v>
      </c>
      <c r="B219" s="5" t="s">
        <v>376</v>
      </c>
      <c r="C219" s="17">
        <v>20110101</v>
      </c>
      <c r="D219" s="17">
        <v>22991231</v>
      </c>
      <c r="E219" s="25">
        <v>0</v>
      </c>
    </row>
    <row r="220" spans="1:5" ht="26" x14ac:dyDescent="0.3">
      <c r="A220" s="17" t="str">
        <f>"11047"</f>
        <v>11047</v>
      </c>
      <c r="B220" s="5" t="s">
        <v>377</v>
      </c>
      <c r="C220" s="17">
        <v>20110101</v>
      </c>
      <c r="D220" s="17">
        <v>22991231</v>
      </c>
      <c r="E220" s="25">
        <v>0</v>
      </c>
    </row>
    <row r="221" spans="1:5" ht="26" x14ac:dyDescent="0.3">
      <c r="A221" s="17" t="str">
        <f>"11055"</f>
        <v>11055</v>
      </c>
      <c r="B221" s="5" t="s">
        <v>378</v>
      </c>
      <c r="C221" s="17">
        <v>19900101</v>
      </c>
      <c r="D221" s="17">
        <v>22991231</v>
      </c>
      <c r="E221" s="25">
        <v>0</v>
      </c>
    </row>
    <row r="222" spans="1:5" ht="26" x14ac:dyDescent="0.3">
      <c r="A222" s="17" t="str">
        <f>"11056"</f>
        <v>11056</v>
      </c>
      <c r="B222" s="5" t="s">
        <v>379</v>
      </c>
      <c r="C222" s="17">
        <v>19900101</v>
      </c>
      <c r="D222" s="17">
        <v>22991231</v>
      </c>
      <c r="E222" s="25">
        <v>0</v>
      </c>
    </row>
    <row r="223" spans="1:5" ht="26" x14ac:dyDescent="0.3">
      <c r="A223" s="17" t="str">
        <f>"11057"</f>
        <v>11057</v>
      </c>
      <c r="B223" s="5" t="s">
        <v>380</v>
      </c>
      <c r="C223" s="17">
        <v>19900101</v>
      </c>
      <c r="D223" s="17">
        <v>22991231</v>
      </c>
      <c r="E223" s="25">
        <v>62.87</v>
      </c>
    </row>
    <row r="224" spans="1:5" x14ac:dyDescent="0.3">
      <c r="A224" s="17" t="str">
        <f>"11102"</f>
        <v>11102</v>
      </c>
      <c r="B224" s="5" t="s">
        <v>381</v>
      </c>
      <c r="C224" s="17">
        <v>20190101</v>
      </c>
      <c r="D224" s="17">
        <v>22991231</v>
      </c>
      <c r="E224" s="25">
        <v>71.62</v>
      </c>
    </row>
    <row r="225" spans="1:5" ht="26" x14ac:dyDescent="0.3">
      <c r="A225" s="17" t="str">
        <f>"11103"</f>
        <v>11103</v>
      </c>
      <c r="B225" s="5" t="s">
        <v>382</v>
      </c>
      <c r="C225" s="17">
        <v>20190101</v>
      </c>
      <c r="D225" s="17">
        <v>22991231</v>
      </c>
      <c r="E225" s="25">
        <v>0</v>
      </c>
    </row>
    <row r="226" spans="1:5" x14ac:dyDescent="0.3">
      <c r="A226" s="17" t="str">
        <f>"11104"</f>
        <v>11104</v>
      </c>
      <c r="B226" s="5" t="s">
        <v>383</v>
      </c>
      <c r="C226" s="17">
        <v>20190101</v>
      </c>
      <c r="D226" s="17">
        <v>22991231</v>
      </c>
      <c r="E226" s="25">
        <v>88.51</v>
      </c>
    </row>
    <row r="227" spans="1:5" x14ac:dyDescent="0.3">
      <c r="A227" s="17" t="str">
        <f>"11105"</f>
        <v>11105</v>
      </c>
      <c r="B227" s="5" t="s">
        <v>384</v>
      </c>
      <c r="C227" s="17">
        <v>20190101</v>
      </c>
      <c r="D227" s="17">
        <v>22991231</v>
      </c>
      <c r="E227" s="25">
        <v>0</v>
      </c>
    </row>
    <row r="228" spans="1:5" x14ac:dyDescent="0.3">
      <c r="A228" s="17" t="str">
        <f>"11106"</f>
        <v>11106</v>
      </c>
      <c r="B228" s="5" t="s">
        <v>385</v>
      </c>
      <c r="C228" s="17">
        <v>20190101</v>
      </c>
      <c r="D228" s="17">
        <v>22991231</v>
      </c>
      <c r="E228" s="25">
        <v>110.41</v>
      </c>
    </row>
    <row r="229" spans="1:5" x14ac:dyDescent="0.3">
      <c r="A229" s="17" t="str">
        <f>"11107"</f>
        <v>11107</v>
      </c>
      <c r="B229" s="5" t="s">
        <v>386</v>
      </c>
      <c r="C229" s="17">
        <v>20190101</v>
      </c>
      <c r="D229" s="17">
        <v>22991231</v>
      </c>
      <c r="E229" s="25">
        <v>0</v>
      </c>
    </row>
    <row r="230" spans="1:5" x14ac:dyDescent="0.3">
      <c r="A230" s="17" t="str">
        <f>"11200"</f>
        <v>11200</v>
      </c>
      <c r="B230" s="5" t="s">
        <v>387</v>
      </c>
      <c r="C230" s="17">
        <v>19900101</v>
      </c>
      <c r="D230" s="17">
        <v>22991231</v>
      </c>
      <c r="E230" s="25">
        <v>0</v>
      </c>
    </row>
    <row r="231" spans="1:5" x14ac:dyDescent="0.3">
      <c r="A231" s="17" t="str">
        <f>"11201"</f>
        <v>11201</v>
      </c>
      <c r="B231" s="5" t="s">
        <v>388</v>
      </c>
      <c r="C231" s="17">
        <v>19900101</v>
      </c>
      <c r="D231" s="17">
        <v>22991231</v>
      </c>
      <c r="E231" s="25">
        <v>0</v>
      </c>
    </row>
    <row r="232" spans="1:5" ht="26" x14ac:dyDescent="0.3">
      <c r="A232" s="17" t="str">
        <f>"11300"</f>
        <v>11300</v>
      </c>
      <c r="B232" s="5" t="s">
        <v>389</v>
      </c>
      <c r="C232" s="17">
        <v>19900101</v>
      </c>
      <c r="D232" s="17">
        <v>22991231</v>
      </c>
      <c r="E232" s="25">
        <v>0</v>
      </c>
    </row>
    <row r="233" spans="1:5" ht="26" x14ac:dyDescent="0.3">
      <c r="A233" s="17" t="str">
        <f>"11301"</f>
        <v>11301</v>
      </c>
      <c r="B233" s="5" t="s">
        <v>390</v>
      </c>
      <c r="C233" s="17">
        <v>19900101</v>
      </c>
      <c r="D233" s="17">
        <v>22991231</v>
      </c>
      <c r="E233" s="25">
        <v>0</v>
      </c>
    </row>
    <row r="234" spans="1:5" ht="26" x14ac:dyDescent="0.3">
      <c r="A234" s="17" t="str">
        <f>"11302"</f>
        <v>11302</v>
      </c>
      <c r="B234" s="5" t="s">
        <v>391</v>
      </c>
      <c r="C234" s="17">
        <v>19900101</v>
      </c>
      <c r="D234" s="17">
        <v>22991231</v>
      </c>
      <c r="E234" s="25">
        <v>0</v>
      </c>
    </row>
    <row r="235" spans="1:5" ht="26" x14ac:dyDescent="0.3">
      <c r="A235" s="17" t="str">
        <f>"11303"</f>
        <v>11303</v>
      </c>
      <c r="B235" s="5" t="s">
        <v>392</v>
      </c>
      <c r="C235" s="17">
        <v>19900101</v>
      </c>
      <c r="D235" s="17">
        <v>22991231</v>
      </c>
      <c r="E235" s="25">
        <v>0</v>
      </c>
    </row>
    <row r="236" spans="1:5" ht="26" x14ac:dyDescent="0.3">
      <c r="A236" s="17" t="str">
        <f>"11305"</f>
        <v>11305</v>
      </c>
      <c r="B236" s="5" t="s">
        <v>393</v>
      </c>
      <c r="C236" s="17">
        <v>19900101</v>
      </c>
      <c r="D236" s="17">
        <v>22991231</v>
      </c>
      <c r="E236" s="25">
        <v>0</v>
      </c>
    </row>
    <row r="237" spans="1:5" ht="26" x14ac:dyDescent="0.3">
      <c r="A237" s="17" t="str">
        <f>"11306"</f>
        <v>11306</v>
      </c>
      <c r="B237" s="5" t="s">
        <v>394</v>
      </c>
      <c r="C237" s="17">
        <v>19900101</v>
      </c>
      <c r="D237" s="17">
        <v>22991231</v>
      </c>
      <c r="E237" s="25">
        <v>0</v>
      </c>
    </row>
    <row r="238" spans="1:5" ht="26" x14ac:dyDescent="0.3">
      <c r="A238" s="17" t="str">
        <f>"11307"</f>
        <v>11307</v>
      </c>
      <c r="B238" s="5" t="s">
        <v>395</v>
      </c>
      <c r="C238" s="17">
        <v>19900101</v>
      </c>
      <c r="D238" s="17">
        <v>22991231</v>
      </c>
      <c r="E238" s="25">
        <v>88.82</v>
      </c>
    </row>
    <row r="239" spans="1:5" ht="26" x14ac:dyDescent="0.3">
      <c r="A239" s="17" t="str">
        <f>"11308"</f>
        <v>11308</v>
      </c>
      <c r="B239" s="5" t="s">
        <v>396</v>
      </c>
      <c r="C239" s="17">
        <v>19900101</v>
      </c>
      <c r="D239" s="17">
        <v>22991231</v>
      </c>
      <c r="E239" s="25">
        <v>0</v>
      </c>
    </row>
    <row r="240" spans="1:5" ht="26" x14ac:dyDescent="0.3">
      <c r="A240" s="17" t="str">
        <f>"11310"</f>
        <v>11310</v>
      </c>
      <c r="B240" s="5" t="s">
        <v>397</v>
      </c>
      <c r="C240" s="17">
        <v>19900101</v>
      </c>
      <c r="D240" s="17">
        <v>22991231</v>
      </c>
      <c r="E240" s="25">
        <v>81.010000000000005</v>
      </c>
    </row>
    <row r="241" spans="1:5" ht="26" x14ac:dyDescent="0.3">
      <c r="A241" s="17" t="str">
        <f>"11311"</f>
        <v>11311</v>
      </c>
      <c r="B241" s="5" t="s">
        <v>398</v>
      </c>
      <c r="C241" s="17">
        <v>19900101</v>
      </c>
      <c r="D241" s="17">
        <v>22991231</v>
      </c>
      <c r="E241" s="25">
        <v>90.39</v>
      </c>
    </row>
    <row r="242" spans="1:5" ht="26" x14ac:dyDescent="0.3">
      <c r="A242" s="17" t="str">
        <f>"11312"</f>
        <v>11312</v>
      </c>
      <c r="B242" s="5" t="s">
        <v>399</v>
      </c>
      <c r="C242" s="17">
        <v>19900101</v>
      </c>
      <c r="D242" s="17">
        <v>22991231</v>
      </c>
      <c r="E242" s="25">
        <v>101.02</v>
      </c>
    </row>
    <row r="243" spans="1:5" ht="26" x14ac:dyDescent="0.3">
      <c r="A243" s="17" t="str">
        <f>"11313"</f>
        <v>11313</v>
      </c>
      <c r="B243" s="5" t="s">
        <v>400</v>
      </c>
      <c r="C243" s="17">
        <v>19900101</v>
      </c>
      <c r="D243" s="17">
        <v>22991231</v>
      </c>
      <c r="E243" s="25">
        <v>111.66</v>
      </c>
    </row>
    <row r="244" spans="1:5" ht="26" x14ac:dyDescent="0.3">
      <c r="A244" s="17" t="str">
        <f>"11400"</f>
        <v>11400</v>
      </c>
      <c r="B244" s="5" t="s">
        <v>401</v>
      </c>
      <c r="C244" s="17">
        <v>19900101</v>
      </c>
      <c r="D244" s="17">
        <v>22991231</v>
      </c>
      <c r="E244" s="25">
        <v>89.13</v>
      </c>
    </row>
    <row r="245" spans="1:5" ht="26" x14ac:dyDescent="0.3">
      <c r="A245" s="17" t="str">
        <f>"11401"</f>
        <v>11401</v>
      </c>
      <c r="B245" s="5" t="s">
        <v>402</v>
      </c>
      <c r="C245" s="17">
        <v>19900101</v>
      </c>
      <c r="D245" s="17">
        <v>22991231</v>
      </c>
      <c r="E245" s="25">
        <v>102.27</v>
      </c>
    </row>
    <row r="246" spans="1:5" ht="26" x14ac:dyDescent="0.3">
      <c r="A246" s="17" t="str">
        <f>"11402"</f>
        <v>11402</v>
      </c>
      <c r="B246" s="5" t="s">
        <v>403</v>
      </c>
      <c r="C246" s="17">
        <v>19900101</v>
      </c>
      <c r="D246" s="17">
        <v>22991231</v>
      </c>
      <c r="E246" s="25">
        <v>111.03</v>
      </c>
    </row>
    <row r="247" spans="1:5" ht="26" x14ac:dyDescent="0.3">
      <c r="A247" s="17" t="str">
        <f>"11403"</f>
        <v>11403</v>
      </c>
      <c r="B247" s="5" t="s">
        <v>404</v>
      </c>
      <c r="C247" s="17">
        <v>19900101</v>
      </c>
      <c r="D247" s="17">
        <v>22991231</v>
      </c>
      <c r="E247" s="25">
        <v>121.04</v>
      </c>
    </row>
    <row r="248" spans="1:5" ht="26" x14ac:dyDescent="0.3">
      <c r="A248" s="17" t="str">
        <f>"11404"</f>
        <v>11404</v>
      </c>
      <c r="B248" s="5" t="s">
        <v>405</v>
      </c>
      <c r="C248" s="17">
        <v>19900101</v>
      </c>
      <c r="D248" s="17">
        <v>22991231</v>
      </c>
      <c r="E248" s="25">
        <v>652.27</v>
      </c>
    </row>
    <row r="249" spans="1:5" ht="26" x14ac:dyDescent="0.3">
      <c r="A249" s="17" t="str">
        <f>"11406"</f>
        <v>11406</v>
      </c>
      <c r="B249" s="5" t="s">
        <v>406</v>
      </c>
      <c r="C249" s="17">
        <v>19900101</v>
      </c>
      <c r="D249" s="17">
        <v>22991231</v>
      </c>
      <c r="E249" s="25">
        <v>652.27</v>
      </c>
    </row>
    <row r="250" spans="1:5" ht="26" x14ac:dyDescent="0.3">
      <c r="A250" s="17" t="str">
        <f>"11420"</f>
        <v>11420</v>
      </c>
      <c r="B250" s="5" t="s">
        <v>407</v>
      </c>
      <c r="C250" s="17">
        <v>19900101</v>
      </c>
      <c r="D250" s="17">
        <v>22991231</v>
      </c>
      <c r="E250" s="25">
        <v>84.13</v>
      </c>
    </row>
    <row r="251" spans="1:5" ht="26" x14ac:dyDescent="0.3">
      <c r="A251" s="17" t="str">
        <f>"11421"</f>
        <v>11421</v>
      </c>
      <c r="B251" s="5" t="s">
        <v>408</v>
      </c>
      <c r="C251" s="17">
        <v>19900101</v>
      </c>
      <c r="D251" s="17">
        <v>22991231</v>
      </c>
      <c r="E251" s="25">
        <v>99.46</v>
      </c>
    </row>
    <row r="252" spans="1:5" ht="26" x14ac:dyDescent="0.3">
      <c r="A252" s="17" t="str">
        <f>"11422"</f>
        <v>11422</v>
      </c>
      <c r="B252" s="5" t="s">
        <v>409</v>
      </c>
      <c r="C252" s="17">
        <v>19900101</v>
      </c>
      <c r="D252" s="17">
        <v>22991231</v>
      </c>
      <c r="E252" s="25">
        <v>110.09</v>
      </c>
    </row>
    <row r="253" spans="1:5" ht="26" x14ac:dyDescent="0.3">
      <c r="A253" s="17" t="str">
        <f>"11423"</f>
        <v>11423</v>
      </c>
      <c r="B253" s="5" t="s">
        <v>410</v>
      </c>
      <c r="C253" s="17">
        <v>19900101</v>
      </c>
      <c r="D253" s="17">
        <v>22991231</v>
      </c>
      <c r="E253" s="25">
        <v>121.04</v>
      </c>
    </row>
    <row r="254" spans="1:5" ht="26" x14ac:dyDescent="0.3">
      <c r="A254" s="17" t="str">
        <f>"11424"</f>
        <v>11424</v>
      </c>
      <c r="B254" s="5" t="s">
        <v>411</v>
      </c>
      <c r="C254" s="17">
        <v>19900101</v>
      </c>
      <c r="D254" s="17">
        <v>22991231</v>
      </c>
      <c r="E254" s="25">
        <v>652.27</v>
      </c>
    </row>
    <row r="255" spans="1:5" ht="26" x14ac:dyDescent="0.3">
      <c r="A255" s="17" t="str">
        <f>"11426"</f>
        <v>11426</v>
      </c>
      <c r="B255" s="5" t="s">
        <v>412</v>
      </c>
      <c r="C255" s="17">
        <v>19900101</v>
      </c>
      <c r="D255" s="17">
        <v>22991231</v>
      </c>
      <c r="E255" s="25">
        <v>1105.24</v>
      </c>
    </row>
    <row r="256" spans="1:5" ht="26" x14ac:dyDescent="0.3">
      <c r="A256" s="17" t="str">
        <f>"11440"</f>
        <v>11440</v>
      </c>
      <c r="B256" s="5" t="s">
        <v>413</v>
      </c>
      <c r="C256" s="17">
        <v>19900101</v>
      </c>
      <c r="D256" s="17">
        <v>22991231</v>
      </c>
      <c r="E256" s="25">
        <v>99.14</v>
      </c>
    </row>
    <row r="257" spans="1:5" ht="26" x14ac:dyDescent="0.3">
      <c r="A257" s="17" t="str">
        <f>"11441"</f>
        <v>11441</v>
      </c>
      <c r="B257" s="5" t="s">
        <v>414</v>
      </c>
      <c r="C257" s="17">
        <v>19900101</v>
      </c>
      <c r="D257" s="17">
        <v>22991231</v>
      </c>
      <c r="E257" s="25">
        <v>110.41</v>
      </c>
    </row>
    <row r="258" spans="1:5" ht="26" x14ac:dyDescent="0.3">
      <c r="A258" s="17" t="str">
        <f>"11442"</f>
        <v>11442</v>
      </c>
      <c r="B258" s="5" t="s">
        <v>415</v>
      </c>
      <c r="C258" s="17">
        <v>19900101</v>
      </c>
      <c r="D258" s="17">
        <v>22991231</v>
      </c>
      <c r="E258" s="25">
        <v>119.79</v>
      </c>
    </row>
    <row r="259" spans="1:5" ht="26" x14ac:dyDescent="0.3">
      <c r="A259" s="17" t="str">
        <f>"11443"</f>
        <v>11443</v>
      </c>
      <c r="B259" s="5" t="s">
        <v>416</v>
      </c>
      <c r="C259" s="17">
        <v>19900101</v>
      </c>
      <c r="D259" s="17">
        <v>22991231</v>
      </c>
      <c r="E259" s="25">
        <v>131.97999999999999</v>
      </c>
    </row>
    <row r="260" spans="1:5" ht="26" x14ac:dyDescent="0.3">
      <c r="A260" s="17" t="str">
        <f>"11444"</f>
        <v>11444</v>
      </c>
      <c r="B260" s="5" t="s">
        <v>417</v>
      </c>
      <c r="C260" s="17">
        <v>19900101</v>
      </c>
      <c r="D260" s="17">
        <v>22991231</v>
      </c>
      <c r="E260" s="25">
        <v>652.27</v>
      </c>
    </row>
    <row r="261" spans="1:5" ht="26" x14ac:dyDescent="0.3">
      <c r="A261" s="17" t="str">
        <f>"11446"</f>
        <v>11446</v>
      </c>
      <c r="B261" s="5" t="s">
        <v>418</v>
      </c>
      <c r="C261" s="17">
        <v>19900101</v>
      </c>
      <c r="D261" s="17">
        <v>22991231</v>
      </c>
      <c r="E261" s="25">
        <v>1105.24</v>
      </c>
    </row>
    <row r="262" spans="1:5" ht="39" x14ac:dyDescent="0.3">
      <c r="A262" s="17" t="str">
        <f>"11450"</f>
        <v>11450</v>
      </c>
      <c r="B262" s="5" t="s">
        <v>419</v>
      </c>
      <c r="C262" s="17">
        <v>19900101</v>
      </c>
      <c r="D262" s="17">
        <v>22991231</v>
      </c>
      <c r="E262" s="25">
        <v>1105.24</v>
      </c>
    </row>
    <row r="263" spans="1:5" ht="26" x14ac:dyDescent="0.3">
      <c r="A263" s="17" t="str">
        <f>"11451"</f>
        <v>11451</v>
      </c>
      <c r="B263" s="5" t="s">
        <v>420</v>
      </c>
      <c r="C263" s="17">
        <v>19900101</v>
      </c>
      <c r="D263" s="17">
        <v>22991231</v>
      </c>
      <c r="E263" s="25">
        <v>1105.24</v>
      </c>
    </row>
    <row r="264" spans="1:5" ht="26" x14ac:dyDescent="0.3">
      <c r="A264" s="17" t="str">
        <f>"11462"</f>
        <v>11462</v>
      </c>
      <c r="B264" s="5" t="s">
        <v>421</v>
      </c>
      <c r="C264" s="17">
        <v>19900101</v>
      </c>
      <c r="D264" s="17">
        <v>22991231</v>
      </c>
      <c r="E264" s="25">
        <v>1105.24</v>
      </c>
    </row>
    <row r="265" spans="1:5" ht="26" x14ac:dyDescent="0.3">
      <c r="A265" s="17" t="str">
        <f>"11463"</f>
        <v>11463</v>
      </c>
      <c r="B265" s="5" t="s">
        <v>422</v>
      </c>
      <c r="C265" s="17">
        <v>19900101</v>
      </c>
      <c r="D265" s="17">
        <v>22991231</v>
      </c>
      <c r="E265" s="25">
        <v>1105.24</v>
      </c>
    </row>
    <row r="266" spans="1:5" ht="39" x14ac:dyDescent="0.3">
      <c r="A266" s="17" t="str">
        <f>"11470"</f>
        <v>11470</v>
      </c>
      <c r="B266" s="5" t="s">
        <v>423</v>
      </c>
      <c r="C266" s="17">
        <v>19900101</v>
      </c>
      <c r="D266" s="17">
        <v>22991231</v>
      </c>
      <c r="E266" s="25">
        <v>1105.24</v>
      </c>
    </row>
    <row r="267" spans="1:5" ht="26" x14ac:dyDescent="0.3">
      <c r="A267" s="17" t="str">
        <f>"11471"</f>
        <v>11471</v>
      </c>
      <c r="B267" s="5" t="s">
        <v>424</v>
      </c>
      <c r="C267" s="17">
        <v>19900101</v>
      </c>
      <c r="D267" s="17">
        <v>22991231</v>
      </c>
      <c r="E267" s="25">
        <v>1105.24</v>
      </c>
    </row>
    <row r="268" spans="1:5" ht="26" x14ac:dyDescent="0.3">
      <c r="A268" s="17" t="str">
        <f>"11600"</f>
        <v>11600</v>
      </c>
      <c r="B268" s="5" t="s">
        <v>425</v>
      </c>
      <c r="C268" s="17">
        <v>19900101</v>
      </c>
      <c r="D268" s="17">
        <v>22991231</v>
      </c>
      <c r="E268" s="25">
        <v>128.22999999999999</v>
      </c>
    </row>
    <row r="269" spans="1:5" ht="26" x14ac:dyDescent="0.3">
      <c r="A269" s="17" t="str">
        <f>"11601"</f>
        <v>11601</v>
      </c>
      <c r="B269" s="5" t="s">
        <v>426</v>
      </c>
      <c r="C269" s="17">
        <v>19900101</v>
      </c>
      <c r="D269" s="17">
        <v>22991231</v>
      </c>
      <c r="E269" s="25">
        <v>142.93</v>
      </c>
    </row>
    <row r="270" spans="1:5" ht="26" x14ac:dyDescent="0.3">
      <c r="A270" s="17" t="str">
        <f>"11602"</f>
        <v>11602</v>
      </c>
      <c r="B270" s="5" t="s">
        <v>427</v>
      </c>
      <c r="C270" s="17">
        <v>19900101</v>
      </c>
      <c r="D270" s="17">
        <v>22991231</v>
      </c>
      <c r="E270" s="25">
        <v>151.69</v>
      </c>
    </row>
    <row r="271" spans="1:5" ht="26" x14ac:dyDescent="0.3">
      <c r="A271" s="17" t="str">
        <f>"11603"</f>
        <v>11603</v>
      </c>
      <c r="B271" s="5" t="s">
        <v>428</v>
      </c>
      <c r="C271" s="17">
        <v>19900101</v>
      </c>
      <c r="D271" s="17">
        <v>22991231</v>
      </c>
      <c r="E271" s="25">
        <v>163.57</v>
      </c>
    </row>
    <row r="272" spans="1:5" ht="26" x14ac:dyDescent="0.3">
      <c r="A272" s="17" t="str">
        <f>"11604"</f>
        <v>11604</v>
      </c>
      <c r="B272" s="5" t="s">
        <v>429</v>
      </c>
      <c r="C272" s="17">
        <v>19900101</v>
      </c>
      <c r="D272" s="17">
        <v>22991231</v>
      </c>
      <c r="E272" s="25">
        <v>348.6</v>
      </c>
    </row>
    <row r="273" spans="1:5" ht="26" x14ac:dyDescent="0.3">
      <c r="A273" s="17" t="str">
        <f>"11606"</f>
        <v>11606</v>
      </c>
      <c r="B273" s="5" t="s">
        <v>430</v>
      </c>
      <c r="C273" s="17">
        <v>19900101</v>
      </c>
      <c r="D273" s="17">
        <v>22991231</v>
      </c>
      <c r="E273" s="25">
        <v>652.27</v>
      </c>
    </row>
    <row r="274" spans="1:5" ht="26" x14ac:dyDescent="0.3">
      <c r="A274" s="17" t="str">
        <f>"11620"</f>
        <v>11620</v>
      </c>
      <c r="B274" s="5" t="s">
        <v>431</v>
      </c>
      <c r="C274" s="17">
        <v>19900101</v>
      </c>
      <c r="D274" s="17">
        <v>22991231</v>
      </c>
      <c r="E274" s="25">
        <v>128.54</v>
      </c>
    </row>
    <row r="275" spans="1:5" ht="26" x14ac:dyDescent="0.3">
      <c r="A275" s="17" t="str">
        <f>"11621"</f>
        <v>11621</v>
      </c>
      <c r="B275" s="5" t="s">
        <v>432</v>
      </c>
      <c r="C275" s="17">
        <v>19900101</v>
      </c>
      <c r="D275" s="17">
        <v>22991231</v>
      </c>
      <c r="E275" s="25">
        <v>142.93</v>
      </c>
    </row>
    <row r="276" spans="1:5" ht="26" x14ac:dyDescent="0.3">
      <c r="A276" s="17" t="str">
        <f>"11622"</f>
        <v>11622</v>
      </c>
      <c r="B276" s="5" t="s">
        <v>433</v>
      </c>
      <c r="C276" s="17">
        <v>19900101</v>
      </c>
      <c r="D276" s="17">
        <v>22991231</v>
      </c>
      <c r="E276" s="25">
        <v>154.19</v>
      </c>
    </row>
    <row r="277" spans="1:5" ht="26" x14ac:dyDescent="0.3">
      <c r="A277" s="17" t="str">
        <f>"11623"</f>
        <v>11623</v>
      </c>
      <c r="B277" s="5" t="s">
        <v>434</v>
      </c>
      <c r="C277" s="17">
        <v>19900101</v>
      </c>
      <c r="D277" s="17">
        <v>22991231</v>
      </c>
      <c r="E277" s="25">
        <v>168.89</v>
      </c>
    </row>
    <row r="278" spans="1:5" ht="26" x14ac:dyDescent="0.3">
      <c r="A278" s="17" t="str">
        <f>"11624"</f>
        <v>11624</v>
      </c>
      <c r="B278" s="5" t="s">
        <v>435</v>
      </c>
      <c r="C278" s="17">
        <v>19900101</v>
      </c>
      <c r="D278" s="17">
        <v>22991231</v>
      </c>
      <c r="E278" s="25">
        <v>652.27</v>
      </c>
    </row>
    <row r="279" spans="1:5" ht="26" x14ac:dyDescent="0.3">
      <c r="A279" s="17" t="str">
        <f>"11626"</f>
        <v>11626</v>
      </c>
      <c r="B279" s="5" t="s">
        <v>436</v>
      </c>
      <c r="C279" s="17">
        <v>19900101</v>
      </c>
      <c r="D279" s="17">
        <v>22991231</v>
      </c>
      <c r="E279" s="25">
        <v>1105.24</v>
      </c>
    </row>
    <row r="280" spans="1:5" ht="26" x14ac:dyDescent="0.3">
      <c r="A280" s="17" t="str">
        <f>"11640"</f>
        <v>11640</v>
      </c>
      <c r="B280" s="5" t="s">
        <v>437</v>
      </c>
      <c r="C280" s="17">
        <v>19900101</v>
      </c>
      <c r="D280" s="17">
        <v>22991231</v>
      </c>
      <c r="E280" s="25">
        <v>132.91999999999999</v>
      </c>
    </row>
    <row r="281" spans="1:5" ht="26" x14ac:dyDescent="0.3">
      <c r="A281" s="17" t="str">
        <f>"11641"</f>
        <v>11641</v>
      </c>
      <c r="B281" s="5" t="s">
        <v>438</v>
      </c>
      <c r="C281" s="17">
        <v>19900101</v>
      </c>
      <c r="D281" s="17">
        <v>22991231</v>
      </c>
      <c r="E281" s="25">
        <v>147</v>
      </c>
    </row>
    <row r="282" spans="1:5" ht="26" x14ac:dyDescent="0.3">
      <c r="A282" s="17" t="str">
        <f>"11642"</f>
        <v>11642</v>
      </c>
      <c r="B282" s="5" t="s">
        <v>439</v>
      </c>
      <c r="C282" s="17">
        <v>19900101</v>
      </c>
      <c r="D282" s="17">
        <v>22991231</v>
      </c>
      <c r="E282" s="25">
        <v>160.13</v>
      </c>
    </row>
    <row r="283" spans="1:5" ht="26" x14ac:dyDescent="0.3">
      <c r="A283" s="17" t="str">
        <f>"11643"</f>
        <v>11643</v>
      </c>
      <c r="B283" s="5" t="s">
        <v>440</v>
      </c>
      <c r="C283" s="17">
        <v>19900101</v>
      </c>
      <c r="D283" s="17">
        <v>22991231</v>
      </c>
      <c r="E283" s="25">
        <v>175.15</v>
      </c>
    </row>
    <row r="284" spans="1:5" ht="26" x14ac:dyDescent="0.3">
      <c r="A284" s="17" t="str">
        <f>"11644"</f>
        <v>11644</v>
      </c>
      <c r="B284" s="5" t="s">
        <v>441</v>
      </c>
      <c r="C284" s="17">
        <v>19900101</v>
      </c>
      <c r="D284" s="17">
        <v>22991231</v>
      </c>
      <c r="E284" s="25">
        <v>652.27</v>
      </c>
    </row>
    <row r="285" spans="1:5" ht="26" x14ac:dyDescent="0.3">
      <c r="A285" s="17" t="str">
        <f>"11646"</f>
        <v>11646</v>
      </c>
      <c r="B285" s="5" t="s">
        <v>442</v>
      </c>
      <c r="C285" s="17">
        <v>19900101</v>
      </c>
      <c r="D285" s="17">
        <v>22991231</v>
      </c>
      <c r="E285" s="25">
        <v>1105.24</v>
      </c>
    </row>
    <row r="286" spans="1:5" x14ac:dyDescent="0.3">
      <c r="A286" s="17" t="str">
        <f>"11719"</f>
        <v>11719</v>
      </c>
      <c r="B286" s="5" t="s">
        <v>443</v>
      </c>
      <c r="C286" s="17">
        <v>19980101</v>
      </c>
      <c r="D286" s="17">
        <v>22991231</v>
      </c>
      <c r="E286" s="25">
        <v>0</v>
      </c>
    </row>
    <row r="287" spans="1:5" x14ac:dyDescent="0.3">
      <c r="A287" s="17" t="str">
        <f>"11720"</f>
        <v>11720</v>
      </c>
      <c r="B287" s="5" t="s">
        <v>444</v>
      </c>
      <c r="C287" s="17">
        <v>19970101</v>
      </c>
      <c r="D287" s="17">
        <v>22991231</v>
      </c>
      <c r="E287" s="25">
        <v>0</v>
      </c>
    </row>
    <row r="288" spans="1:5" ht="26" x14ac:dyDescent="0.3">
      <c r="A288" s="17" t="str">
        <f>"11721"</f>
        <v>11721</v>
      </c>
      <c r="B288" s="5" t="s">
        <v>445</v>
      </c>
      <c r="C288" s="17">
        <v>19970101</v>
      </c>
      <c r="D288" s="17">
        <v>22991231</v>
      </c>
      <c r="E288" s="25">
        <v>0</v>
      </c>
    </row>
    <row r="289" spans="1:5" ht="26" x14ac:dyDescent="0.3">
      <c r="A289" s="17" t="str">
        <f>"11730"</f>
        <v>11730</v>
      </c>
      <c r="B289" s="5" t="s">
        <v>446</v>
      </c>
      <c r="C289" s="17">
        <v>19900101</v>
      </c>
      <c r="D289" s="17">
        <v>22991231</v>
      </c>
      <c r="E289" s="25">
        <v>0</v>
      </c>
    </row>
    <row r="290" spans="1:5" ht="26" x14ac:dyDescent="0.3">
      <c r="A290" s="17" t="str">
        <f>"11732"</f>
        <v>11732</v>
      </c>
      <c r="B290" s="5" t="s">
        <v>447</v>
      </c>
      <c r="C290" s="17">
        <v>19900101</v>
      </c>
      <c r="D290" s="17">
        <v>22991231</v>
      </c>
      <c r="E290" s="25">
        <v>0</v>
      </c>
    </row>
    <row r="291" spans="1:5" ht="26" x14ac:dyDescent="0.3">
      <c r="A291" s="17" t="str">
        <f>"11740"</f>
        <v>11740</v>
      </c>
      <c r="B291" s="5" t="s">
        <v>448</v>
      </c>
      <c r="C291" s="17">
        <v>19900101</v>
      </c>
      <c r="D291" s="17">
        <v>22991231</v>
      </c>
      <c r="E291" s="25">
        <v>0</v>
      </c>
    </row>
    <row r="292" spans="1:5" x14ac:dyDescent="0.3">
      <c r="A292" s="17" t="str">
        <f>"11750"</f>
        <v>11750</v>
      </c>
      <c r="B292" s="5" t="s">
        <v>449</v>
      </c>
      <c r="C292" s="17">
        <v>19900101</v>
      </c>
      <c r="D292" s="17">
        <v>22991231</v>
      </c>
      <c r="E292" s="25">
        <v>97.89</v>
      </c>
    </row>
    <row r="293" spans="1:5" x14ac:dyDescent="0.3">
      <c r="A293" s="17" t="str">
        <f>"11755"</f>
        <v>11755</v>
      </c>
      <c r="B293" s="5" t="s">
        <v>450</v>
      </c>
      <c r="C293" s="17">
        <v>19940101</v>
      </c>
      <c r="D293" s="17">
        <v>22991231</v>
      </c>
      <c r="E293" s="25">
        <v>72.56</v>
      </c>
    </row>
    <row r="294" spans="1:5" x14ac:dyDescent="0.3">
      <c r="A294" s="17" t="str">
        <f>"11760"</f>
        <v>11760</v>
      </c>
      <c r="B294" s="5" t="s">
        <v>451</v>
      </c>
      <c r="C294" s="17">
        <v>19900101</v>
      </c>
      <c r="D294" s="17">
        <v>22991231</v>
      </c>
      <c r="E294" s="25">
        <v>116.97</v>
      </c>
    </row>
    <row r="295" spans="1:5" x14ac:dyDescent="0.3">
      <c r="A295" s="17" t="str">
        <f>"11762"</f>
        <v>11762</v>
      </c>
      <c r="B295" s="5" t="s">
        <v>452</v>
      </c>
      <c r="C295" s="17">
        <v>19900101</v>
      </c>
      <c r="D295" s="17">
        <v>22991231</v>
      </c>
      <c r="E295" s="25">
        <v>168.57</v>
      </c>
    </row>
    <row r="296" spans="1:5" x14ac:dyDescent="0.3">
      <c r="A296" s="17" t="str">
        <f>"11765"</f>
        <v>11765</v>
      </c>
      <c r="B296" s="5" t="s">
        <v>453</v>
      </c>
      <c r="C296" s="17">
        <v>19900101</v>
      </c>
      <c r="D296" s="17">
        <v>22991231</v>
      </c>
      <c r="E296" s="25">
        <v>0</v>
      </c>
    </row>
    <row r="297" spans="1:5" x14ac:dyDescent="0.3">
      <c r="A297" s="17" t="str">
        <f>"11770"</f>
        <v>11770</v>
      </c>
      <c r="B297" s="5" t="s">
        <v>454</v>
      </c>
      <c r="C297" s="17">
        <v>19900101</v>
      </c>
      <c r="D297" s="17">
        <v>22991231</v>
      </c>
      <c r="E297" s="25">
        <v>1105.24</v>
      </c>
    </row>
    <row r="298" spans="1:5" x14ac:dyDescent="0.3">
      <c r="A298" s="17" t="str">
        <f>"11771"</f>
        <v>11771</v>
      </c>
      <c r="B298" s="5" t="s">
        <v>455</v>
      </c>
      <c r="C298" s="17">
        <v>19900101</v>
      </c>
      <c r="D298" s="17">
        <v>22991231</v>
      </c>
      <c r="E298" s="25">
        <v>1105.24</v>
      </c>
    </row>
    <row r="299" spans="1:5" x14ac:dyDescent="0.3">
      <c r="A299" s="17" t="str">
        <f>"11772"</f>
        <v>11772</v>
      </c>
      <c r="B299" s="5" t="s">
        <v>456</v>
      </c>
      <c r="C299" s="17">
        <v>19900101</v>
      </c>
      <c r="D299" s="17">
        <v>22991231</v>
      </c>
      <c r="E299" s="25">
        <v>1105.24</v>
      </c>
    </row>
    <row r="300" spans="1:5" x14ac:dyDescent="0.3">
      <c r="A300" s="17" t="str">
        <f>"11900"</f>
        <v>11900</v>
      </c>
      <c r="B300" s="5" t="s">
        <v>457</v>
      </c>
      <c r="C300" s="17">
        <v>20230101</v>
      </c>
      <c r="D300" s="17">
        <v>22991231</v>
      </c>
      <c r="E300" s="25">
        <v>0</v>
      </c>
    </row>
    <row r="301" spans="1:5" x14ac:dyDescent="0.3">
      <c r="A301" s="17" t="str">
        <f>"11901"</f>
        <v>11901</v>
      </c>
      <c r="B301" s="5" t="s">
        <v>458</v>
      </c>
      <c r="C301" s="17">
        <v>20230101</v>
      </c>
      <c r="D301" s="17">
        <v>22991231</v>
      </c>
      <c r="E301" s="25">
        <v>0</v>
      </c>
    </row>
    <row r="302" spans="1:5" ht="26" x14ac:dyDescent="0.3">
      <c r="A302" s="17" t="str">
        <f>"11920"</f>
        <v>11920</v>
      </c>
      <c r="B302" s="5" t="s">
        <v>459</v>
      </c>
      <c r="C302" s="17">
        <v>20100101</v>
      </c>
      <c r="D302" s="17">
        <v>22991231</v>
      </c>
      <c r="E302" s="25">
        <v>129.16</v>
      </c>
    </row>
    <row r="303" spans="1:5" ht="26" x14ac:dyDescent="0.3">
      <c r="A303" s="17" t="str">
        <f>"11921"</f>
        <v>11921</v>
      </c>
      <c r="B303" s="5" t="s">
        <v>460</v>
      </c>
      <c r="C303" s="17">
        <v>20230101</v>
      </c>
      <c r="D303" s="17">
        <v>22991231</v>
      </c>
      <c r="E303" s="25">
        <v>137.30000000000001</v>
      </c>
    </row>
    <row r="304" spans="1:5" ht="26" x14ac:dyDescent="0.3">
      <c r="A304" s="17" t="str">
        <f>"11922"</f>
        <v>11922</v>
      </c>
      <c r="B304" s="5" t="s">
        <v>461</v>
      </c>
      <c r="C304" s="17">
        <v>20230101</v>
      </c>
      <c r="D304" s="17">
        <v>22991231</v>
      </c>
      <c r="E304" s="25">
        <v>0</v>
      </c>
    </row>
    <row r="305" spans="1:5" ht="26" x14ac:dyDescent="0.3">
      <c r="A305" s="17" t="str">
        <f>"11950"</f>
        <v>11950</v>
      </c>
      <c r="B305" s="5" t="s">
        <v>462</v>
      </c>
      <c r="C305" s="17">
        <v>20230101</v>
      </c>
      <c r="D305" s="17">
        <v>22991231</v>
      </c>
      <c r="E305" s="25">
        <v>45.67</v>
      </c>
    </row>
    <row r="306" spans="1:5" ht="26" x14ac:dyDescent="0.3">
      <c r="A306" s="17" t="str">
        <f>"11951"</f>
        <v>11951</v>
      </c>
      <c r="B306" s="5" t="s">
        <v>463</v>
      </c>
      <c r="C306" s="17">
        <v>20230101</v>
      </c>
      <c r="D306" s="17">
        <v>22991231</v>
      </c>
      <c r="E306" s="25">
        <v>58.17</v>
      </c>
    </row>
    <row r="307" spans="1:5" ht="26" x14ac:dyDescent="0.3">
      <c r="A307" s="17" t="str">
        <f>"11952"</f>
        <v>11952</v>
      </c>
      <c r="B307" s="5" t="s">
        <v>464</v>
      </c>
      <c r="C307" s="17">
        <v>20230101</v>
      </c>
      <c r="D307" s="17">
        <v>22991231</v>
      </c>
      <c r="E307" s="25">
        <v>74.12</v>
      </c>
    </row>
    <row r="308" spans="1:5" ht="26" x14ac:dyDescent="0.3">
      <c r="A308" s="17" t="str">
        <f>"11954"</f>
        <v>11954</v>
      </c>
      <c r="B308" s="5" t="s">
        <v>465</v>
      </c>
      <c r="C308" s="17">
        <v>19970801</v>
      </c>
      <c r="D308" s="17">
        <v>22991231</v>
      </c>
      <c r="E308" s="25">
        <v>81.94</v>
      </c>
    </row>
    <row r="309" spans="1:5" x14ac:dyDescent="0.3">
      <c r="A309" s="17" t="str">
        <f>"11960"</f>
        <v>11960</v>
      </c>
      <c r="B309" s="5" t="s">
        <v>466</v>
      </c>
      <c r="C309" s="17">
        <v>19900101</v>
      </c>
      <c r="D309" s="17">
        <v>22991231</v>
      </c>
      <c r="E309" s="25">
        <v>1777.55</v>
      </c>
    </row>
    <row r="310" spans="1:5" ht="26" x14ac:dyDescent="0.3">
      <c r="A310" s="17" t="str">
        <f>"11970"</f>
        <v>11970</v>
      </c>
      <c r="B310" s="5" t="s">
        <v>467</v>
      </c>
      <c r="C310" s="17">
        <v>19900101</v>
      </c>
      <c r="D310" s="17">
        <v>22991231</v>
      </c>
      <c r="E310" s="25">
        <v>3240.75</v>
      </c>
    </row>
    <row r="311" spans="1:5" x14ac:dyDescent="0.3">
      <c r="A311" s="17" t="str">
        <f>"11971"</f>
        <v>11971</v>
      </c>
      <c r="B311" s="5" t="s">
        <v>468</v>
      </c>
      <c r="C311" s="17">
        <v>19900101</v>
      </c>
      <c r="D311" s="17">
        <v>22991231</v>
      </c>
      <c r="E311" s="25">
        <v>1105.24</v>
      </c>
    </row>
    <row r="312" spans="1:5" x14ac:dyDescent="0.3">
      <c r="A312" s="17" t="str">
        <f>"11976"</f>
        <v>11976</v>
      </c>
      <c r="B312" s="5" t="s">
        <v>469</v>
      </c>
      <c r="C312" s="17">
        <v>19910701</v>
      </c>
      <c r="D312" s="17">
        <v>22991231</v>
      </c>
      <c r="E312" s="25">
        <v>71.62</v>
      </c>
    </row>
    <row r="313" spans="1:5" x14ac:dyDescent="0.3">
      <c r="A313" s="17" t="str">
        <f>"11980"</f>
        <v>11980</v>
      </c>
      <c r="B313" s="5" t="s">
        <v>470</v>
      </c>
      <c r="C313" s="17">
        <v>20000101</v>
      </c>
      <c r="D313" s="17">
        <v>22991231</v>
      </c>
      <c r="E313" s="25">
        <v>0</v>
      </c>
    </row>
    <row r="314" spans="1:5" x14ac:dyDescent="0.3">
      <c r="A314" s="17" t="str">
        <f>"11981"</f>
        <v>11981</v>
      </c>
      <c r="B314" s="5" t="s">
        <v>471</v>
      </c>
      <c r="C314" s="17">
        <v>20230101</v>
      </c>
      <c r="D314" s="17">
        <v>22991231</v>
      </c>
      <c r="E314" s="25">
        <v>0</v>
      </c>
    </row>
    <row r="315" spans="1:5" x14ac:dyDescent="0.3">
      <c r="A315" s="17" t="str">
        <f>"11982"</f>
        <v>11982</v>
      </c>
      <c r="B315" s="5" t="s">
        <v>472</v>
      </c>
      <c r="C315" s="17">
        <v>20230101</v>
      </c>
      <c r="D315" s="17">
        <v>22991231</v>
      </c>
      <c r="E315" s="25">
        <v>0</v>
      </c>
    </row>
    <row r="316" spans="1:5" ht="26" x14ac:dyDescent="0.3">
      <c r="A316" s="17" t="str">
        <f>"11983"</f>
        <v>11983</v>
      </c>
      <c r="B316" s="5" t="s">
        <v>473</v>
      </c>
      <c r="C316" s="17">
        <v>20230101</v>
      </c>
      <c r="D316" s="17">
        <v>22991231</v>
      </c>
      <c r="E316" s="25">
        <v>0</v>
      </c>
    </row>
    <row r="317" spans="1:5" ht="26" x14ac:dyDescent="0.3">
      <c r="A317" s="17" t="str">
        <f>"12001"</f>
        <v>12001</v>
      </c>
      <c r="B317" s="5" t="s">
        <v>474</v>
      </c>
      <c r="C317" s="17">
        <v>19900101</v>
      </c>
      <c r="D317" s="17">
        <v>22991231</v>
      </c>
      <c r="E317" s="25">
        <v>0</v>
      </c>
    </row>
    <row r="318" spans="1:5" ht="26" x14ac:dyDescent="0.3">
      <c r="A318" s="17" t="str">
        <f>"12002"</f>
        <v>12002</v>
      </c>
      <c r="B318" s="5" t="s">
        <v>475</v>
      </c>
      <c r="C318" s="17">
        <v>19900101</v>
      </c>
      <c r="D318" s="17">
        <v>22991231</v>
      </c>
      <c r="E318" s="25">
        <v>0</v>
      </c>
    </row>
    <row r="319" spans="1:5" ht="26" x14ac:dyDescent="0.3">
      <c r="A319" s="17" t="str">
        <f>"12004"</f>
        <v>12004</v>
      </c>
      <c r="B319" s="5" t="s">
        <v>476</v>
      </c>
      <c r="C319" s="17">
        <v>19900101</v>
      </c>
      <c r="D319" s="17">
        <v>22991231</v>
      </c>
      <c r="E319" s="25">
        <v>0</v>
      </c>
    </row>
    <row r="320" spans="1:5" ht="26" x14ac:dyDescent="0.3">
      <c r="A320" s="17" t="str">
        <f>"12005"</f>
        <v>12005</v>
      </c>
      <c r="B320" s="5" t="s">
        <v>477</v>
      </c>
      <c r="C320" s="17">
        <v>19900101</v>
      </c>
      <c r="D320" s="17">
        <v>22991231</v>
      </c>
      <c r="E320" s="25">
        <v>197.56</v>
      </c>
    </row>
    <row r="321" spans="1:5" ht="26" x14ac:dyDescent="0.3">
      <c r="A321" s="17" t="str">
        <f>"12006"</f>
        <v>12006</v>
      </c>
      <c r="B321" s="5" t="s">
        <v>478</v>
      </c>
      <c r="C321" s="17">
        <v>19900101</v>
      </c>
      <c r="D321" s="17">
        <v>22991231</v>
      </c>
      <c r="E321" s="25">
        <v>197.56</v>
      </c>
    </row>
    <row r="322" spans="1:5" ht="39" x14ac:dyDescent="0.3">
      <c r="A322" s="17" t="str">
        <f>"12007"</f>
        <v>12007</v>
      </c>
      <c r="B322" s="5" t="s">
        <v>479</v>
      </c>
      <c r="C322" s="17">
        <v>19900101</v>
      </c>
      <c r="D322" s="17">
        <v>22991231</v>
      </c>
      <c r="E322" s="25">
        <v>99.19</v>
      </c>
    </row>
    <row r="323" spans="1:5" ht="26" x14ac:dyDescent="0.3">
      <c r="A323" s="17" t="str">
        <f>"12011"</f>
        <v>12011</v>
      </c>
      <c r="B323" s="5" t="s">
        <v>480</v>
      </c>
      <c r="C323" s="17">
        <v>19900101</v>
      </c>
      <c r="D323" s="17">
        <v>22991231</v>
      </c>
      <c r="E323" s="25">
        <v>0</v>
      </c>
    </row>
    <row r="324" spans="1:5" ht="26" x14ac:dyDescent="0.3">
      <c r="A324" s="17" t="str">
        <f>"12013"</f>
        <v>12013</v>
      </c>
      <c r="B324" s="5" t="s">
        <v>481</v>
      </c>
      <c r="C324" s="17">
        <v>19900101</v>
      </c>
      <c r="D324" s="17">
        <v>22991231</v>
      </c>
      <c r="E324" s="25">
        <v>0</v>
      </c>
    </row>
    <row r="325" spans="1:5" ht="26" x14ac:dyDescent="0.3">
      <c r="A325" s="17" t="str">
        <f>"12014"</f>
        <v>12014</v>
      </c>
      <c r="B325" s="5" t="s">
        <v>482</v>
      </c>
      <c r="C325" s="17">
        <v>19900101</v>
      </c>
      <c r="D325" s="17">
        <v>22991231</v>
      </c>
      <c r="E325" s="25">
        <v>0</v>
      </c>
    </row>
    <row r="326" spans="1:5" ht="26" x14ac:dyDescent="0.3">
      <c r="A326" s="17" t="str">
        <f>"12015"</f>
        <v>12015</v>
      </c>
      <c r="B326" s="5" t="s">
        <v>483</v>
      </c>
      <c r="C326" s="17">
        <v>19900101</v>
      </c>
      <c r="D326" s="17">
        <v>22991231</v>
      </c>
      <c r="E326" s="25">
        <v>99.19</v>
      </c>
    </row>
    <row r="327" spans="1:5" ht="26" x14ac:dyDescent="0.3">
      <c r="A327" s="17" t="str">
        <f>"12016"</f>
        <v>12016</v>
      </c>
      <c r="B327" s="5" t="s">
        <v>484</v>
      </c>
      <c r="C327" s="17">
        <v>19900101</v>
      </c>
      <c r="D327" s="17">
        <v>22991231</v>
      </c>
      <c r="E327" s="25">
        <v>197.56</v>
      </c>
    </row>
    <row r="328" spans="1:5" ht="26" x14ac:dyDescent="0.3">
      <c r="A328" s="17" t="str">
        <f>"12017"</f>
        <v>12017</v>
      </c>
      <c r="B328" s="5" t="s">
        <v>485</v>
      </c>
      <c r="C328" s="17">
        <v>19900101</v>
      </c>
      <c r="D328" s="17">
        <v>22991231</v>
      </c>
      <c r="E328" s="25">
        <v>197.56</v>
      </c>
    </row>
    <row r="329" spans="1:5" ht="26" x14ac:dyDescent="0.3">
      <c r="A329" s="17" t="str">
        <f>"12018"</f>
        <v>12018</v>
      </c>
      <c r="B329" s="5" t="s">
        <v>486</v>
      </c>
      <c r="C329" s="17">
        <v>19900101</v>
      </c>
      <c r="D329" s="17">
        <v>22991231</v>
      </c>
      <c r="E329" s="25">
        <v>99.19</v>
      </c>
    </row>
    <row r="330" spans="1:5" x14ac:dyDescent="0.3">
      <c r="A330" s="17" t="str">
        <f>"12020"</f>
        <v>12020</v>
      </c>
      <c r="B330" s="5" t="s">
        <v>487</v>
      </c>
      <c r="C330" s="17">
        <v>19900101</v>
      </c>
      <c r="D330" s="17">
        <v>22991231</v>
      </c>
      <c r="E330" s="25">
        <v>311.18</v>
      </c>
    </row>
    <row r="331" spans="1:5" ht="26" x14ac:dyDescent="0.3">
      <c r="A331" s="17" t="str">
        <f>"12021"</f>
        <v>12021</v>
      </c>
      <c r="B331" s="5" t="s">
        <v>488</v>
      </c>
      <c r="C331" s="17">
        <v>19900101</v>
      </c>
      <c r="D331" s="17">
        <v>22991231</v>
      </c>
      <c r="E331" s="25">
        <v>197.56</v>
      </c>
    </row>
    <row r="332" spans="1:5" ht="26" x14ac:dyDescent="0.3">
      <c r="A332" s="17" t="str">
        <f>"12031"</f>
        <v>12031</v>
      </c>
      <c r="B332" s="5" t="s">
        <v>489</v>
      </c>
      <c r="C332" s="17">
        <v>19900101</v>
      </c>
      <c r="D332" s="17">
        <v>22991231</v>
      </c>
      <c r="E332" s="25">
        <v>177.02</v>
      </c>
    </row>
    <row r="333" spans="1:5" ht="26" x14ac:dyDescent="0.3">
      <c r="A333" s="17" t="str">
        <f>"12032"</f>
        <v>12032</v>
      </c>
      <c r="B333" s="5" t="s">
        <v>490</v>
      </c>
      <c r="C333" s="17">
        <v>19900101</v>
      </c>
      <c r="D333" s="17">
        <v>22991231</v>
      </c>
      <c r="E333" s="25">
        <v>197.56</v>
      </c>
    </row>
    <row r="334" spans="1:5" ht="26" x14ac:dyDescent="0.3">
      <c r="A334" s="17" t="str">
        <f>"12034"</f>
        <v>12034</v>
      </c>
      <c r="B334" s="5" t="s">
        <v>491</v>
      </c>
      <c r="C334" s="17">
        <v>19900101</v>
      </c>
      <c r="D334" s="17">
        <v>22991231</v>
      </c>
      <c r="E334" s="25">
        <v>197.56</v>
      </c>
    </row>
    <row r="335" spans="1:5" ht="26" x14ac:dyDescent="0.3">
      <c r="A335" s="17" t="str">
        <f>"12035"</f>
        <v>12035</v>
      </c>
      <c r="B335" s="5" t="s">
        <v>492</v>
      </c>
      <c r="C335" s="17">
        <v>19900101</v>
      </c>
      <c r="D335" s="17">
        <v>22991231</v>
      </c>
      <c r="E335" s="25">
        <v>197.56</v>
      </c>
    </row>
    <row r="336" spans="1:5" ht="26" x14ac:dyDescent="0.3">
      <c r="A336" s="17" t="str">
        <f>"12036"</f>
        <v>12036</v>
      </c>
      <c r="B336" s="5" t="s">
        <v>493</v>
      </c>
      <c r="C336" s="17">
        <v>19900101</v>
      </c>
      <c r="D336" s="17">
        <v>22991231</v>
      </c>
      <c r="E336" s="25">
        <v>311.18</v>
      </c>
    </row>
    <row r="337" spans="1:5" ht="39" x14ac:dyDescent="0.3">
      <c r="A337" s="17" t="str">
        <f>"12037"</f>
        <v>12037</v>
      </c>
      <c r="B337" s="5" t="s">
        <v>494</v>
      </c>
      <c r="C337" s="17">
        <v>19900101</v>
      </c>
      <c r="D337" s="17">
        <v>22991231</v>
      </c>
      <c r="E337" s="25">
        <v>903.54</v>
      </c>
    </row>
    <row r="338" spans="1:5" ht="26" x14ac:dyDescent="0.3">
      <c r="A338" s="17" t="str">
        <f>"12041"</f>
        <v>12041</v>
      </c>
      <c r="B338" s="5" t="s">
        <v>495</v>
      </c>
      <c r="C338" s="17">
        <v>19900101</v>
      </c>
      <c r="D338" s="17">
        <v>22991231</v>
      </c>
      <c r="E338" s="25">
        <v>174.21</v>
      </c>
    </row>
    <row r="339" spans="1:5" ht="26" x14ac:dyDescent="0.3">
      <c r="A339" s="17" t="str">
        <f>"12042"</f>
        <v>12042</v>
      </c>
      <c r="B339" s="5" t="s">
        <v>496</v>
      </c>
      <c r="C339" s="17">
        <v>19900101</v>
      </c>
      <c r="D339" s="17">
        <v>22991231</v>
      </c>
      <c r="E339" s="25">
        <v>194.22</v>
      </c>
    </row>
    <row r="340" spans="1:5" ht="26" x14ac:dyDescent="0.3">
      <c r="A340" s="17" t="str">
        <f>"12044"</f>
        <v>12044</v>
      </c>
      <c r="B340" s="5" t="s">
        <v>497</v>
      </c>
      <c r="C340" s="17">
        <v>19900101</v>
      </c>
      <c r="D340" s="17">
        <v>22991231</v>
      </c>
      <c r="E340" s="25">
        <v>311.18</v>
      </c>
    </row>
    <row r="341" spans="1:5" ht="26" x14ac:dyDescent="0.3">
      <c r="A341" s="17" t="str">
        <f>"12045"</f>
        <v>12045</v>
      </c>
      <c r="B341" s="5" t="s">
        <v>498</v>
      </c>
      <c r="C341" s="17">
        <v>19900101</v>
      </c>
      <c r="D341" s="17">
        <v>22991231</v>
      </c>
      <c r="E341" s="25">
        <v>311.18</v>
      </c>
    </row>
    <row r="342" spans="1:5" ht="26" x14ac:dyDescent="0.3">
      <c r="A342" s="17" t="str">
        <f>"12046"</f>
        <v>12046</v>
      </c>
      <c r="B342" s="5" t="s">
        <v>499</v>
      </c>
      <c r="C342" s="17">
        <v>19900101</v>
      </c>
      <c r="D342" s="17">
        <v>22991231</v>
      </c>
      <c r="E342" s="25">
        <v>311.18</v>
      </c>
    </row>
    <row r="343" spans="1:5" ht="26" x14ac:dyDescent="0.3">
      <c r="A343" s="17" t="str">
        <f>"12047"</f>
        <v>12047</v>
      </c>
      <c r="B343" s="5" t="s">
        <v>500</v>
      </c>
      <c r="C343" s="17">
        <v>19900701</v>
      </c>
      <c r="D343" s="17">
        <v>22991231</v>
      </c>
      <c r="E343" s="25">
        <v>903.54</v>
      </c>
    </row>
    <row r="344" spans="1:5" ht="26" x14ac:dyDescent="0.3">
      <c r="A344" s="17" t="str">
        <f>"12051"</f>
        <v>12051</v>
      </c>
      <c r="B344" s="5" t="s">
        <v>501</v>
      </c>
      <c r="C344" s="17">
        <v>19900101</v>
      </c>
      <c r="D344" s="17">
        <v>22991231</v>
      </c>
      <c r="E344" s="25">
        <v>184.21</v>
      </c>
    </row>
    <row r="345" spans="1:5" ht="26" x14ac:dyDescent="0.3">
      <c r="A345" s="17" t="str">
        <f>"12052"</f>
        <v>12052</v>
      </c>
      <c r="B345" s="5" t="s">
        <v>502</v>
      </c>
      <c r="C345" s="17">
        <v>19900101</v>
      </c>
      <c r="D345" s="17">
        <v>22991231</v>
      </c>
      <c r="E345" s="25">
        <v>196.1</v>
      </c>
    </row>
    <row r="346" spans="1:5" ht="26" x14ac:dyDescent="0.3">
      <c r="A346" s="17" t="str">
        <f>"12053"</f>
        <v>12053</v>
      </c>
      <c r="B346" s="5" t="s">
        <v>503</v>
      </c>
      <c r="C346" s="17">
        <v>19900101</v>
      </c>
      <c r="D346" s="17">
        <v>22991231</v>
      </c>
      <c r="E346" s="25">
        <v>197.56</v>
      </c>
    </row>
    <row r="347" spans="1:5" ht="26" x14ac:dyDescent="0.3">
      <c r="A347" s="17" t="str">
        <f>"12054"</f>
        <v>12054</v>
      </c>
      <c r="B347" s="5" t="s">
        <v>504</v>
      </c>
      <c r="C347" s="17">
        <v>19900101</v>
      </c>
      <c r="D347" s="17">
        <v>22991231</v>
      </c>
      <c r="E347" s="25">
        <v>197.56</v>
      </c>
    </row>
    <row r="348" spans="1:5" ht="26" x14ac:dyDescent="0.3">
      <c r="A348" s="17" t="str">
        <f>"12055"</f>
        <v>12055</v>
      </c>
      <c r="B348" s="5" t="s">
        <v>505</v>
      </c>
      <c r="C348" s="17">
        <v>19900101</v>
      </c>
      <c r="D348" s="17">
        <v>22991231</v>
      </c>
      <c r="E348" s="25">
        <v>197.56</v>
      </c>
    </row>
    <row r="349" spans="1:5" ht="26" x14ac:dyDescent="0.3">
      <c r="A349" s="17" t="str">
        <f>"12056"</f>
        <v>12056</v>
      </c>
      <c r="B349" s="5" t="s">
        <v>506</v>
      </c>
      <c r="C349" s="17">
        <v>19900101</v>
      </c>
      <c r="D349" s="17">
        <v>22991231</v>
      </c>
      <c r="E349" s="25">
        <v>197.56</v>
      </c>
    </row>
    <row r="350" spans="1:5" ht="26" x14ac:dyDescent="0.3">
      <c r="A350" s="17" t="str">
        <f>"12057"</f>
        <v>12057</v>
      </c>
      <c r="B350" s="5" t="s">
        <v>507</v>
      </c>
      <c r="C350" s="17">
        <v>19900101</v>
      </c>
      <c r="D350" s="17">
        <v>22991231</v>
      </c>
      <c r="E350" s="25">
        <v>197.56</v>
      </c>
    </row>
    <row r="351" spans="1:5" ht="26" x14ac:dyDescent="0.3">
      <c r="A351" s="17" t="str">
        <f>"13100"</f>
        <v>13100</v>
      </c>
      <c r="B351" s="5" t="s">
        <v>508</v>
      </c>
      <c r="C351" s="17">
        <v>19900101</v>
      </c>
      <c r="D351" s="17">
        <v>22991231</v>
      </c>
      <c r="E351" s="25">
        <v>311.18</v>
      </c>
    </row>
    <row r="352" spans="1:5" ht="26" x14ac:dyDescent="0.3">
      <c r="A352" s="17" t="str">
        <f>"13101"</f>
        <v>13101</v>
      </c>
      <c r="B352" s="5" t="s">
        <v>509</v>
      </c>
      <c r="C352" s="17">
        <v>19900101</v>
      </c>
      <c r="D352" s="17">
        <v>22991231</v>
      </c>
      <c r="E352" s="25">
        <v>311.18</v>
      </c>
    </row>
    <row r="353" spans="1:5" ht="26" x14ac:dyDescent="0.3">
      <c r="A353" s="17" t="str">
        <f>"13102"</f>
        <v>13102</v>
      </c>
      <c r="B353" s="5" t="s">
        <v>510</v>
      </c>
      <c r="C353" s="17">
        <v>20000101</v>
      </c>
      <c r="D353" s="17">
        <v>22991231</v>
      </c>
      <c r="E353" s="25">
        <v>0</v>
      </c>
    </row>
    <row r="354" spans="1:5" ht="26" x14ac:dyDescent="0.3">
      <c r="A354" s="17" t="str">
        <f>"13120"</f>
        <v>13120</v>
      </c>
      <c r="B354" s="5" t="s">
        <v>511</v>
      </c>
      <c r="C354" s="17">
        <v>19900101</v>
      </c>
      <c r="D354" s="17">
        <v>22991231</v>
      </c>
      <c r="E354" s="25">
        <v>311.18</v>
      </c>
    </row>
    <row r="355" spans="1:5" ht="26" x14ac:dyDescent="0.3">
      <c r="A355" s="17" t="str">
        <f>"13121"</f>
        <v>13121</v>
      </c>
      <c r="B355" s="5" t="s">
        <v>512</v>
      </c>
      <c r="C355" s="17">
        <v>19900101</v>
      </c>
      <c r="D355" s="17">
        <v>22991231</v>
      </c>
      <c r="E355" s="25">
        <v>311.18</v>
      </c>
    </row>
    <row r="356" spans="1:5" ht="26" x14ac:dyDescent="0.3">
      <c r="A356" s="17" t="str">
        <f>"13122"</f>
        <v>13122</v>
      </c>
      <c r="B356" s="5" t="s">
        <v>513</v>
      </c>
      <c r="C356" s="17">
        <v>20000101</v>
      </c>
      <c r="D356" s="17">
        <v>22991231</v>
      </c>
      <c r="E356" s="25">
        <v>0</v>
      </c>
    </row>
    <row r="357" spans="1:5" ht="39" x14ac:dyDescent="0.3">
      <c r="A357" s="17" t="str">
        <f>"13131"</f>
        <v>13131</v>
      </c>
      <c r="B357" s="5" t="s">
        <v>514</v>
      </c>
      <c r="C357" s="17">
        <v>19900101</v>
      </c>
      <c r="D357" s="17">
        <v>22991231</v>
      </c>
      <c r="E357" s="25">
        <v>197.56</v>
      </c>
    </row>
    <row r="358" spans="1:5" ht="39" x14ac:dyDescent="0.3">
      <c r="A358" s="17" t="str">
        <f>"13132"</f>
        <v>13132</v>
      </c>
      <c r="B358" s="5" t="s">
        <v>515</v>
      </c>
      <c r="C358" s="17">
        <v>19900101</v>
      </c>
      <c r="D358" s="17">
        <v>22991231</v>
      </c>
      <c r="E358" s="25">
        <v>311.18</v>
      </c>
    </row>
    <row r="359" spans="1:5" ht="39" x14ac:dyDescent="0.3">
      <c r="A359" s="17" t="str">
        <f>"13133"</f>
        <v>13133</v>
      </c>
      <c r="B359" s="5" t="s">
        <v>516</v>
      </c>
      <c r="C359" s="17">
        <v>20000101</v>
      </c>
      <c r="D359" s="17">
        <v>22991231</v>
      </c>
      <c r="E359" s="25">
        <v>0</v>
      </c>
    </row>
    <row r="360" spans="1:5" ht="26" x14ac:dyDescent="0.3">
      <c r="A360" s="17" t="str">
        <f>"13151"</f>
        <v>13151</v>
      </c>
      <c r="B360" s="5" t="s">
        <v>517</v>
      </c>
      <c r="C360" s="17">
        <v>19900101</v>
      </c>
      <c r="D360" s="17">
        <v>22991231</v>
      </c>
      <c r="E360" s="25">
        <v>311.18</v>
      </c>
    </row>
    <row r="361" spans="1:5" ht="26" x14ac:dyDescent="0.3">
      <c r="A361" s="17" t="str">
        <f>"13152"</f>
        <v>13152</v>
      </c>
      <c r="B361" s="5" t="s">
        <v>518</v>
      </c>
      <c r="C361" s="17">
        <v>19900101</v>
      </c>
      <c r="D361" s="17">
        <v>22991231</v>
      </c>
      <c r="E361" s="25">
        <v>311.18</v>
      </c>
    </row>
    <row r="362" spans="1:5" ht="26" x14ac:dyDescent="0.3">
      <c r="A362" s="17" t="str">
        <f>"13153"</f>
        <v>13153</v>
      </c>
      <c r="B362" s="5" t="s">
        <v>519</v>
      </c>
      <c r="C362" s="17">
        <v>20000101</v>
      </c>
      <c r="D362" s="17">
        <v>22991231</v>
      </c>
      <c r="E362" s="25">
        <v>0</v>
      </c>
    </row>
    <row r="363" spans="1:5" ht="26" x14ac:dyDescent="0.3">
      <c r="A363" s="17" t="str">
        <f>"13160"</f>
        <v>13160</v>
      </c>
      <c r="B363" s="5" t="s">
        <v>520</v>
      </c>
      <c r="C363" s="17">
        <v>19900101</v>
      </c>
      <c r="D363" s="17">
        <v>22991231</v>
      </c>
      <c r="E363" s="25">
        <v>903.54</v>
      </c>
    </row>
    <row r="364" spans="1:5" ht="26" x14ac:dyDescent="0.3">
      <c r="A364" s="17" t="str">
        <f>"14000"</f>
        <v>14000</v>
      </c>
      <c r="B364" s="5" t="s">
        <v>521</v>
      </c>
      <c r="C364" s="17">
        <v>19900101</v>
      </c>
      <c r="D364" s="17">
        <v>22991231</v>
      </c>
      <c r="E364" s="25">
        <v>903.54</v>
      </c>
    </row>
    <row r="365" spans="1:5" ht="26" x14ac:dyDescent="0.3">
      <c r="A365" s="17" t="str">
        <f>"14001"</f>
        <v>14001</v>
      </c>
      <c r="B365" s="5" t="s">
        <v>522</v>
      </c>
      <c r="C365" s="17">
        <v>19900101</v>
      </c>
      <c r="D365" s="17">
        <v>22991231</v>
      </c>
      <c r="E365" s="25">
        <v>903.54</v>
      </c>
    </row>
    <row r="366" spans="1:5" ht="26" x14ac:dyDescent="0.3">
      <c r="A366" s="17" t="str">
        <f>"14020"</f>
        <v>14020</v>
      </c>
      <c r="B366" s="5" t="s">
        <v>523</v>
      </c>
      <c r="C366" s="17">
        <v>19900101</v>
      </c>
      <c r="D366" s="17">
        <v>22991231</v>
      </c>
      <c r="E366" s="25">
        <v>903.54</v>
      </c>
    </row>
    <row r="367" spans="1:5" ht="26" x14ac:dyDescent="0.3">
      <c r="A367" s="17" t="str">
        <f>"14021"</f>
        <v>14021</v>
      </c>
      <c r="B367" s="5" t="s">
        <v>524</v>
      </c>
      <c r="C367" s="17">
        <v>19900101</v>
      </c>
      <c r="D367" s="17">
        <v>22991231</v>
      </c>
      <c r="E367" s="25">
        <v>903.54</v>
      </c>
    </row>
    <row r="368" spans="1:5" ht="39" x14ac:dyDescent="0.3">
      <c r="A368" s="17" t="str">
        <f>"14040"</f>
        <v>14040</v>
      </c>
      <c r="B368" s="5" t="s">
        <v>525</v>
      </c>
      <c r="C368" s="17">
        <v>19900101</v>
      </c>
      <c r="D368" s="17">
        <v>22991231</v>
      </c>
      <c r="E368" s="25">
        <v>903.54</v>
      </c>
    </row>
    <row r="369" spans="1:5" ht="39" x14ac:dyDescent="0.3">
      <c r="A369" s="17" t="str">
        <f>"14041"</f>
        <v>14041</v>
      </c>
      <c r="B369" s="5" t="s">
        <v>526</v>
      </c>
      <c r="C369" s="17">
        <v>19900101</v>
      </c>
      <c r="D369" s="17">
        <v>22991231</v>
      </c>
      <c r="E369" s="25">
        <v>903.54</v>
      </c>
    </row>
    <row r="370" spans="1:5" ht="26" x14ac:dyDescent="0.3">
      <c r="A370" s="17" t="str">
        <f>"14060"</f>
        <v>14060</v>
      </c>
      <c r="B370" s="5" t="s">
        <v>527</v>
      </c>
      <c r="C370" s="17">
        <v>19900101</v>
      </c>
      <c r="D370" s="17">
        <v>22991231</v>
      </c>
      <c r="E370" s="25">
        <v>903.54</v>
      </c>
    </row>
    <row r="371" spans="1:5" ht="26" x14ac:dyDescent="0.3">
      <c r="A371" s="17" t="str">
        <f>"14061"</f>
        <v>14061</v>
      </c>
      <c r="B371" s="5" t="s">
        <v>528</v>
      </c>
      <c r="C371" s="17">
        <v>19900101</v>
      </c>
      <c r="D371" s="17">
        <v>22991231</v>
      </c>
      <c r="E371" s="25">
        <v>903.54</v>
      </c>
    </row>
    <row r="372" spans="1:5" ht="26" x14ac:dyDescent="0.3">
      <c r="A372" s="17" t="str">
        <f>"14301"</f>
        <v>14301</v>
      </c>
      <c r="B372" s="5" t="s">
        <v>529</v>
      </c>
      <c r="C372" s="17">
        <v>20100101</v>
      </c>
      <c r="D372" s="17">
        <v>22991231</v>
      </c>
      <c r="E372" s="25">
        <v>1777.55</v>
      </c>
    </row>
    <row r="373" spans="1:5" ht="26" x14ac:dyDescent="0.3">
      <c r="A373" s="17" t="str">
        <f>"14302"</f>
        <v>14302</v>
      </c>
      <c r="B373" s="5" t="s">
        <v>530</v>
      </c>
      <c r="C373" s="17">
        <v>20100101</v>
      </c>
      <c r="D373" s="17">
        <v>22991231</v>
      </c>
      <c r="E373" s="25">
        <v>0</v>
      </c>
    </row>
    <row r="374" spans="1:5" x14ac:dyDescent="0.3">
      <c r="A374" s="17" t="str">
        <f>"14350"</f>
        <v>14350</v>
      </c>
      <c r="B374" s="5" t="s">
        <v>531</v>
      </c>
      <c r="C374" s="17">
        <v>19900101</v>
      </c>
      <c r="D374" s="17">
        <v>22991231</v>
      </c>
      <c r="E374" s="25">
        <v>903.54</v>
      </c>
    </row>
    <row r="375" spans="1:5" ht="39" x14ac:dyDescent="0.3">
      <c r="A375" s="17" t="str">
        <f>"15002"</f>
        <v>15002</v>
      </c>
      <c r="B375" s="5" t="s">
        <v>532</v>
      </c>
      <c r="C375" s="17">
        <v>20070101</v>
      </c>
      <c r="D375" s="17">
        <v>22991231</v>
      </c>
      <c r="E375" s="25">
        <v>903.54</v>
      </c>
    </row>
    <row r="376" spans="1:5" ht="39" x14ac:dyDescent="0.3">
      <c r="A376" s="17" t="str">
        <f>"15003"</f>
        <v>15003</v>
      </c>
      <c r="B376" s="5" t="s">
        <v>533</v>
      </c>
      <c r="C376" s="17">
        <v>20230101</v>
      </c>
      <c r="D376" s="17">
        <v>22991231</v>
      </c>
      <c r="E376" s="25">
        <v>0</v>
      </c>
    </row>
    <row r="377" spans="1:5" ht="52" x14ac:dyDescent="0.3">
      <c r="A377" s="17" t="str">
        <f>"15004"</f>
        <v>15004</v>
      </c>
      <c r="B377" s="5" t="s">
        <v>534</v>
      </c>
      <c r="C377" s="17">
        <v>20070101</v>
      </c>
      <c r="D377" s="17">
        <v>22991231</v>
      </c>
      <c r="E377" s="25">
        <v>311.18</v>
      </c>
    </row>
    <row r="378" spans="1:5" ht="65" x14ac:dyDescent="0.3">
      <c r="A378" s="17" t="str">
        <f>"15005"</f>
        <v>15005</v>
      </c>
      <c r="B378" s="5" t="s">
        <v>535</v>
      </c>
      <c r="C378" s="17">
        <v>20230101</v>
      </c>
      <c r="D378" s="17">
        <v>22991231</v>
      </c>
      <c r="E378" s="25">
        <v>0</v>
      </c>
    </row>
    <row r="379" spans="1:5" ht="26" x14ac:dyDescent="0.3">
      <c r="A379" s="17" t="str">
        <f>"15040"</f>
        <v>15040</v>
      </c>
      <c r="B379" s="5" t="s">
        <v>536</v>
      </c>
      <c r="C379" s="17">
        <v>20230101</v>
      </c>
      <c r="D379" s="17">
        <v>22991231</v>
      </c>
      <c r="E379" s="25">
        <v>903.54</v>
      </c>
    </row>
    <row r="380" spans="1:5" x14ac:dyDescent="0.3">
      <c r="A380" s="17" t="str">
        <f>"15050"</f>
        <v>15050</v>
      </c>
      <c r="B380" s="5" t="s">
        <v>537</v>
      </c>
      <c r="C380" s="17">
        <v>19900101</v>
      </c>
      <c r="D380" s="17">
        <v>22991231</v>
      </c>
      <c r="E380" s="25">
        <v>311.18</v>
      </c>
    </row>
    <row r="381" spans="1:5" ht="39" x14ac:dyDescent="0.3">
      <c r="A381" s="17" t="str">
        <f>"15100"</f>
        <v>15100</v>
      </c>
      <c r="B381" s="5" t="s">
        <v>538</v>
      </c>
      <c r="C381" s="17">
        <v>19900101</v>
      </c>
      <c r="D381" s="17">
        <v>22991231</v>
      </c>
      <c r="E381" s="25">
        <v>903.54</v>
      </c>
    </row>
    <row r="382" spans="1:5" ht="39" x14ac:dyDescent="0.3">
      <c r="A382" s="17" t="str">
        <f>"15101"</f>
        <v>15101</v>
      </c>
      <c r="B382" s="5" t="s">
        <v>539</v>
      </c>
      <c r="C382" s="17">
        <v>19900101</v>
      </c>
      <c r="D382" s="17">
        <v>22991231</v>
      </c>
      <c r="E382" s="25">
        <v>0</v>
      </c>
    </row>
    <row r="383" spans="1:5" ht="39" x14ac:dyDescent="0.3">
      <c r="A383" s="17" t="str">
        <f>"15110"</f>
        <v>15110</v>
      </c>
      <c r="B383" s="5" t="s">
        <v>540</v>
      </c>
      <c r="C383" s="17">
        <v>20051001</v>
      </c>
      <c r="D383" s="17">
        <v>22991231</v>
      </c>
      <c r="E383" s="25">
        <v>903.54</v>
      </c>
    </row>
    <row r="384" spans="1:5" ht="39" x14ac:dyDescent="0.3">
      <c r="A384" s="17" t="str">
        <f>"15111"</f>
        <v>15111</v>
      </c>
      <c r="B384" s="5" t="s">
        <v>541</v>
      </c>
      <c r="C384" s="17">
        <v>20051001</v>
      </c>
      <c r="D384" s="17">
        <v>22991231</v>
      </c>
      <c r="E384" s="25">
        <v>0</v>
      </c>
    </row>
    <row r="385" spans="1:5" ht="52" x14ac:dyDescent="0.3">
      <c r="A385" s="17" t="str">
        <f>"15115"</f>
        <v>15115</v>
      </c>
      <c r="B385" s="5" t="s">
        <v>542</v>
      </c>
      <c r="C385" s="17">
        <v>20051001</v>
      </c>
      <c r="D385" s="17">
        <v>22991231</v>
      </c>
      <c r="E385" s="25">
        <v>903.54</v>
      </c>
    </row>
    <row r="386" spans="1:5" ht="52" x14ac:dyDescent="0.3">
      <c r="A386" s="17" t="str">
        <f>"15116"</f>
        <v>15116</v>
      </c>
      <c r="B386" s="5" t="s">
        <v>543</v>
      </c>
      <c r="C386" s="17">
        <v>20051001</v>
      </c>
      <c r="D386" s="17">
        <v>22991231</v>
      </c>
      <c r="E386" s="25">
        <v>0</v>
      </c>
    </row>
    <row r="387" spans="1:5" ht="52" x14ac:dyDescent="0.3">
      <c r="A387" s="17" t="str">
        <f>"15120"</f>
        <v>15120</v>
      </c>
      <c r="B387" s="5" t="s">
        <v>544</v>
      </c>
      <c r="C387" s="17">
        <v>19900101</v>
      </c>
      <c r="D387" s="17">
        <v>22991231</v>
      </c>
      <c r="E387" s="25">
        <v>1777.55</v>
      </c>
    </row>
    <row r="388" spans="1:5" ht="65" x14ac:dyDescent="0.3">
      <c r="A388" s="17" t="str">
        <f>"15121"</f>
        <v>15121</v>
      </c>
      <c r="B388" s="5" t="s">
        <v>545</v>
      </c>
      <c r="C388" s="17">
        <v>19900101</v>
      </c>
      <c r="D388" s="17">
        <v>22991231</v>
      </c>
      <c r="E388" s="25">
        <v>0</v>
      </c>
    </row>
    <row r="389" spans="1:5" ht="39" x14ac:dyDescent="0.3">
      <c r="A389" s="17" t="str">
        <f>"15130"</f>
        <v>15130</v>
      </c>
      <c r="B389" s="5" t="s">
        <v>546</v>
      </c>
      <c r="C389" s="17">
        <v>20051001</v>
      </c>
      <c r="D389" s="17">
        <v>22991231</v>
      </c>
      <c r="E389" s="25">
        <v>903.54</v>
      </c>
    </row>
    <row r="390" spans="1:5" ht="39" x14ac:dyDescent="0.3">
      <c r="A390" s="17" t="str">
        <f>"15131"</f>
        <v>15131</v>
      </c>
      <c r="B390" s="5" t="s">
        <v>547</v>
      </c>
      <c r="C390" s="17">
        <v>20051001</v>
      </c>
      <c r="D390" s="17">
        <v>22991231</v>
      </c>
      <c r="E390" s="25">
        <v>0</v>
      </c>
    </row>
    <row r="391" spans="1:5" ht="52" x14ac:dyDescent="0.3">
      <c r="A391" s="17" t="str">
        <f>"15135"</f>
        <v>15135</v>
      </c>
      <c r="B391" s="5" t="s">
        <v>548</v>
      </c>
      <c r="C391" s="17">
        <v>20051001</v>
      </c>
      <c r="D391" s="17">
        <v>22991231</v>
      </c>
      <c r="E391" s="25">
        <v>1777.55</v>
      </c>
    </row>
    <row r="392" spans="1:5" ht="52" x14ac:dyDescent="0.3">
      <c r="A392" s="17" t="str">
        <f>"15136"</f>
        <v>15136</v>
      </c>
      <c r="B392" s="5" t="s">
        <v>549</v>
      </c>
      <c r="C392" s="17">
        <v>20230101</v>
      </c>
      <c r="D392" s="17">
        <v>22991231</v>
      </c>
      <c r="E392" s="25">
        <v>0</v>
      </c>
    </row>
    <row r="393" spans="1:5" ht="26" x14ac:dyDescent="0.3">
      <c r="A393" s="17" t="str">
        <f>"15150"</f>
        <v>15150</v>
      </c>
      <c r="B393" s="5" t="s">
        <v>550</v>
      </c>
      <c r="C393" s="17">
        <v>20051001</v>
      </c>
      <c r="D393" s="17">
        <v>22991231</v>
      </c>
      <c r="E393" s="25">
        <v>903.54</v>
      </c>
    </row>
    <row r="394" spans="1:5" ht="26" x14ac:dyDescent="0.3">
      <c r="A394" s="17" t="str">
        <f>"15151"</f>
        <v>15151</v>
      </c>
      <c r="B394" s="5" t="s">
        <v>551</v>
      </c>
      <c r="C394" s="17">
        <v>20051001</v>
      </c>
      <c r="D394" s="17">
        <v>22991231</v>
      </c>
      <c r="E394" s="25">
        <v>0</v>
      </c>
    </row>
    <row r="395" spans="1:5" ht="39" x14ac:dyDescent="0.3">
      <c r="A395" s="17" t="str">
        <f>"15152"</f>
        <v>15152</v>
      </c>
      <c r="B395" s="5" t="s">
        <v>552</v>
      </c>
      <c r="C395" s="17">
        <v>20051001</v>
      </c>
      <c r="D395" s="17">
        <v>22991231</v>
      </c>
      <c r="E395" s="25">
        <v>0</v>
      </c>
    </row>
    <row r="396" spans="1:5" ht="39" x14ac:dyDescent="0.3">
      <c r="A396" s="17" t="str">
        <f>"15155"</f>
        <v>15155</v>
      </c>
      <c r="B396" s="5" t="s">
        <v>553</v>
      </c>
      <c r="C396" s="17">
        <v>20051001</v>
      </c>
      <c r="D396" s="17">
        <v>22991231</v>
      </c>
      <c r="E396" s="25">
        <v>1777.55</v>
      </c>
    </row>
    <row r="397" spans="1:5" ht="52" x14ac:dyDescent="0.3">
      <c r="A397" s="17" t="str">
        <f>"15156"</f>
        <v>15156</v>
      </c>
      <c r="B397" s="5" t="s">
        <v>554</v>
      </c>
      <c r="C397" s="17">
        <v>20051001</v>
      </c>
      <c r="D397" s="17">
        <v>22991231</v>
      </c>
      <c r="E397" s="25">
        <v>0</v>
      </c>
    </row>
    <row r="398" spans="1:5" ht="65" x14ac:dyDescent="0.3">
      <c r="A398" s="17" t="str">
        <f>"15157"</f>
        <v>15157</v>
      </c>
      <c r="B398" s="5" t="s">
        <v>555</v>
      </c>
      <c r="C398" s="17">
        <v>20051001</v>
      </c>
      <c r="D398" s="17">
        <v>22991231</v>
      </c>
      <c r="E398" s="25">
        <v>0</v>
      </c>
    </row>
    <row r="399" spans="1:5" ht="26" x14ac:dyDescent="0.3">
      <c r="A399" s="17" t="str">
        <f>"15200"</f>
        <v>15200</v>
      </c>
      <c r="B399" s="5" t="s">
        <v>556</v>
      </c>
      <c r="C399" s="17">
        <v>19900101</v>
      </c>
      <c r="D399" s="17">
        <v>22991231</v>
      </c>
      <c r="E399" s="25">
        <v>903.54</v>
      </c>
    </row>
    <row r="400" spans="1:5" ht="26" x14ac:dyDescent="0.3">
      <c r="A400" s="17" t="str">
        <f>"15201"</f>
        <v>15201</v>
      </c>
      <c r="B400" s="5" t="s">
        <v>557</v>
      </c>
      <c r="C400" s="17">
        <v>19900101</v>
      </c>
      <c r="D400" s="17">
        <v>22991231</v>
      </c>
      <c r="E400" s="25">
        <v>0</v>
      </c>
    </row>
    <row r="401" spans="1:5" ht="26" x14ac:dyDescent="0.3">
      <c r="A401" s="17" t="str">
        <f>"15220"</f>
        <v>15220</v>
      </c>
      <c r="B401" s="5" t="s">
        <v>558</v>
      </c>
      <c r="C401" s="17">
        <v>19900101</v>
      </c>
      <c r="D401" s="17">
        <v>22991231</v>
      </c>
      <c r="E401" s="25">
        <v>903.54</v>
      </c>
    </row>
    <row r="402" spans="1:5" ht="26" x14ac:dyDescent="0.3">
      <c r="A402" s="17" t="str">
        <f>"15221"</f>
        <v>15221</v>
      </c>
      <c r="B402" s="5" t="s">
        <v>559</v>
      </c>
      <c r="C402" s="17">
        <v>19900101</v>
      </c>
      <c r="D402" s="17">
        <v>22991231</v>
      </c>
      <c r="E402" s="25">
        <v>0</v>
      </c>
    </row>
    <row r="403" spans="1:5" ht="39" x14ac:dyDescent="0.3">
      <c r="A403" s="17" t="str">
        <f>"15240"</f>
        <v>15240</v>
      </c>
      <c r="B403" s="5" t="s">
        <v>560</v>
      </c>
      <c r="C403" s="17">
        <v>19900101</v>
      </c>
      <c r="D403" s="17">
        <v>22991231</v>
      </c>
      <c r="E403" s="25">
        <v>903.54</v>
      </c>
    </row>
    <row r="404" spans="1:5" ht="39" x14ac:dyDescent="0.3">
      <c r="A404" s="17" t="str">
        <f>"15241"</f>
        <v>15241</v>
      </c>
      <c r="B404" s="5" t="s">
        <v>561</v>
      </c>
      <c r="C404" s="17">
        <v>19900101</v>
      </c>
      <c r="D404" s="17">
        <v>22991231</v>
      </c>
      <c r="E404" s="25">
        <v>0</v>
      </c>
    </row>
    <row r="405" spans="1:5" ht="26" x14ac:dyDescent="0.3">
      <c r="A405" s="17" t="str">
        <f>"15260"</f>
        <v>15260</v>
      </c>
      <c r="B405" s="5" t="s">
        <v>562</v>
      </c>
      <c r="C405" s="17">
        <v>19900101</v>
      </c>
      <c r="D405" s="17">
        <v>22991231</v>
      </c>
      <c r="E405" s="25">
        <v>903.54</v>
      </c>
    </row>
    <row r="406" spans="1:5" ht="26" x14ac:dyDescent="0.3">
      <c r="A406" s="17" t="str">
        <f>"15261"</f>
        <v>15261</v>
      </c>
      <c r="B406" s="5" t="s">
        <v>563</v>
      </c>
      <c r="C406" s="17">
        <v>19900101</v>
      </c>
      <c r="D406" s="17">
        <v>22991231</v>
      </c>
      <c r="E406" s="25">
        <v>0</v>
      </c>
    </row>
    <row r="407" spans="1:5" ht="39" x14ac:dyDescent="0.3">
      <c r="A407" s="17" t="str">
        <f>"15271"</f>
        <v>15271</v>
      </c>
      <c r="B407" s="5" t="s">
        <v>564</v>
      </c>
      <c r="C407" s="17">
        <v>20120101</v>
      </c>
      <c r="D407" s="17">
        <v>22991231</v>
      </c>
      <c r="E407" s="25">
        <v>903.54</v>
      </c>
    </row>
    <row r="408" spans="1:5" ht="39" x14ac:dyDescent="0.3">
      <c r="A408" s="17" t="str">
        <f>"15272"</f>
        <v>15272</v>
      </c>
      <c r="B408" s="5" t="s">
        <v>565</v>
      </c>
      <c r="C408" s="17">
        <v>20120101</v>
      </c>
      <c r="D408" s="17">
        <v>22991231</v>
      </c>
      <c r="E408" s="25">
        <v>0</v>
      </c>
    </row>
    <row r="409" spans="1:5" ht="39" x14ac:dyDescent="0.3">
      <c r="A409" s="17" t="str">
        <f>"15273"</f>
        <v>15273</v>
      </c>
      <c r="B409" s="5" t="s">
        <v>566</v>
      </c>
      <c r="C409" s="17">
        <v>20120101</v>
      </c>
      <c r="D409" s="17">
        <v>22991231</v>
      </c>
      <c r="E409" s="25">
        <v>1777.55</v>
      </c>
    </row>
    <row r="410" spans="1:5" ht="52" x14ac:dyDescent="0.3">
      <c r="A410" s="17" t="str">
        <f>"15274"</f>
        <v>15274</v>
      </c>
      <c r="B410" s="5" t="s">
        <v>567</v>
      </c>
      <c r="C410" s="17">
        <v>20120101</v>
      </c>
      <c r="D410" s="17">
        <v>22991231</v>
      </c>
      <c r="E410" s="25">
        <v>0</v>
      </c>
    </row>
    <row r="411" spans="1:5" ht="52" x14ac:dyDescent="0.3">
      <c r="A411" s="17" t="str">
        <f>"15275"</f>
        <v>15275</v>
      </c>
      <c r="B411" s="5" t="s">
        <v>568</v>
      </c>
      <c r="C411" s="17">
        <v>20120101</v>
      </c>
      <c r="D411" s="17">
        <v>22991231</v>
      </c>
      <c r="E411" s="25">
        <v>86.01</v>
      </c>
    </row>
    <row r="412" spans="1:5" ht="65" x14ac:dyDescent="0.3">
      <c r="A412" s="17" t="str">
        <f>"15276"</f>
        <v>15276</v>
      </c>
      <c r="B412" s="5" t="s">
        <v>569</v>
      </c>
      <c r="C412" s="17">
        <v>20120101</v>
      </c>
      <c r="D412" s="17">
        <v>22991231</v>
      </c>
      <c r="E412" s="25">
        <v>0</v>
      </c>
    </row>
    <row r="413" spans="1:5" ht="65" x14ac:dyDescent="0.3">
      <c r="A413" s="17" t="str">
        <f>"15277"</f>
        <v>15277</v>
      </c>
      <c r="B413" s="5" t="s">
        <v>570</v>
      </c>
      <c r="C413" s="17">
        <v>20120101</v>
      </c>
      <c r="D413" s="17">
        <v>22991231</v>
      </c>
      <c r="E413" s="25">
        <v>903.54</v>
      </c>
    </row>
    <row r="414" spans="1:5" ht="65" x14ac:dyDescent="0.3">
      <c r="A414" s="17" t="str">
        <f>"15278"</f>
        <v>15278</v>
      </c>
      <c r="B414" s="5" t="s">
        <v>571</v>
      </c>
      <c r="C414" s="17">
        <v>20120101</v>
      </c>
      <c r="D414" s="17">
        <v>22991231</v>
      </c>
      <c r="E414" s="25">
        <v>0</v>
      </c>
    </row>
    <row r="415" spans="1:5" x14ac:dyDescent="0.3">
      <c r="A415" s="17" t="str">
        <f>"15570"</f>
        <v>15570</v>
      </c>
      <c r="B415" s="5" t="s">
        <v>572</v>
      </c>
      <c r="C415" s="17">
        <v>19920115</v>
      </c>
      <c r="D415" s="17">
        <v>22991231</v>
      </c>
      <c r="E415" s="25">
        <v>903.54</v>
      </c>
    </row>
    <row r="416" spans="1:5" x14ac:dyDescent="0.3">
      <c r="A416" s="17" t="str">
        <f>"15572"</f>
        <v>15572</v>
      </c>
      <c r="B416" s="5" t="s">
        <v>573</v>
      </c>
      <c r="C416" s="17">
        <v>19920115</v>
      </c>
      <c r="D416" s="17">
        <v>22991231</v>
      </c>
      <c r="E416" s="25">
        <v>1777.55</v>
      </c>
    </row>
    <row r="417" spans="1:5" ht="26" x14ac:dyDescent="0.3">
      <c r="A417" s="17" t="str">
        <f>"15574"</f>
        <v>15574</v>
      </c>
      <c r="B417" s="5" t="s">
        <v>574</v>
      </c>
      <c r="C417" s="17">
        <v>19920115</v>
      </c>
      <c r="D417" s="17">
        <v>22991231</v>
      </c>
      <c r="E417" s="25">
        <v>903.54</v>
      </c>
    </row>
    <row r="418" spans="1:5" ht="26" x14ac:dyDescent="0.3">
      <c r="A418" s="17" t="str">
        <f>"15576"</f>
        <v>15576</v>
      </c>
      <c r="B418" s="5" t="s">
        <v>575</v>
      </c>
      <c r="C418" s="17">
        <v>19920115</v>
      </c>
      <c r="D418" s="17">
        <v>22991231</v>
      </c>
      <c r="E418" s="25">
        <v>903.54</v>
      </c>
    </row>
    <row r="419" spans="1:5" x14ac:dyDescent="0.3">
      <c r="A419" s="17" t="str">
        <f>"15600"</f>
        <v>15600</v>
      </c>
      <c r="B419" s="5" t="s">
        <v>576</v>
      </c>
      <c r="C419" s="17">
        <v>19900101</v>
      </c>
      <c r="D419" s="17">
        <v>22991231</v>
      </c>
      <c r="E419" s="25">
        <v>1777.55</v>
      </c>
    </row>
    <row r="420" spans="1:5" x14ac:dyDescent="0.3">
      <c r="A420" s="17" t="str">
        <f>"15610"</f>
        <v>15610</v>
      </c>
      <c r="B420" s="5" t="s">
        <v>577</v>
      </c>
      <c r="C420" s="17">
        <v>19900101</v>
      </c>
      <c r="D420" s="17">
        <v>22991231</v>
      </c>
      <c r="E420" s="25">
        <v>903.54</v>
      </c>
    </row>
    <row r="421" spans="1:5" ht="26" x14ac:dyDescent="0.3">
      <c r="A421" s="17" t="str">
        <f>"15620"</f>
        <v>15620</v>
      </c>
      <c r="B421" s="5" t="s">
        <v>578</v>
      </c>
      <c r="C421" s="17">
        <v>19900101</v>
      </c>
      <c r="D421" s="17">
        <v>22991231</v>
      </c>
      <c r="E421" s="25">
        <v>903.54</v>
      </c>
    </row>
    <row r="422" spans="1:5" ht="26" x14ac:dyDescent="0.3">
      <c r="A422" s="17" t="str">
        <f>"15630"</f>
        <v>15630</v>
      </c>
      <c r="B422" s="5" t="s">
        <v>579</v>
      </c>
      <c r="C422" s="17">
        <v>19900101</v>
      </c>
      <c r="D422" s="17">
        <v>22991231</v>
      </c>
      <c r="E422" s="25">
        <v>903.54</v>
      </c>
    </row>
    <row r="423" spans="1:5" x14ac:dyDescent="0.3">
      <c r="A423" s="17" t="str">
        <f>"15650"</f>
        <v>15650</v>
      </c>
      <c r="B423" s="5" t="s">
        <v>580</v>
      </c>
      <c r="C423" s="17">
        <v>19900101</v>
      </c>
      <c r="D423" s="17">
        <v>22991231</v>
      </c>
      <c r="E423" s="25">
        <v>903.54</v>
      </c>
    </row>
    <row r="424" spans="1:5" x14ac:dyDescent="0.3">
      <c r="A424" s="17" t="str">
        <f>"15730"</f>
        <v>15730</v>
      </c>
      <c r="B424" s="5" t="s">
        <v>581</v>
      </c>
      <c r="C424" s="17">
        <v>20180101</v>
      </c>
      <c r="D424" s="17">
        <v>22991231</v>
      </c>
      <c r="E424" s="25">
        <v>1777.55</v>
      </c>
    </row>
    <row r="425" spans="1:5" ht="26" x14ac:dyDescent="0.3">
      <c r="A425" s="17" t="str">
        <f>"15731"</f>
        <v>15731</v>
      </c>
      <c r="B425" s="5" t="s">
        <v>582</v>
      </c>
      <c r="C425" s="17">
        <v>20070101</v>
      </c>
      <c r="D425" s="17">
        <v>22991231</v>
      </c>
      <c r="E425" s="25">
        <v>1777.55</v>
      </c>
    </row>
    <row r="426" spans="1:5" x14ac:dyDescent="0.3">
      <c r="A426" s="17" t="str">
        <f>"15733"</f>
        <v>15733</v>
      </c>
      <c r="B426" s="5" t="s">
        <v>583</v>
      </c>
      <c r="C426" s="17">
        <v>20180101</v>
      </c>
      <c r="D426" s="17">
        <v>22991231</v>
      </c>
      <c r="E426" s="25">
        <v>1777.55</v>
      </c>
    </row>
    <row r="427" spans="1:5" x14ac:dyDescent="0.3">
      <c r="A427" s="17" t="str">
        <f>"15734"</f>
        <v>15734</v>
      </c>
      <c r="B427" s="5" t="s">
        <v>584</v>
      </c>
      <c r="C427" s="17">
        <v>19900401</v>
      </c>
      <c r="D427" s="17">
        <v>22991231</v>
      </c>
      <c r="E427" s="25">
        <v>1777.55</v>
      </c>
    </row>
    <row r="428" spans="1:5" x14ac:dyDescent="0.3">
      <c r="A428" s="17" t="str">
        <f>"15736"</f>
        <v>15736</v>
      </c>
      <c r="B428" s="5" t="s">
        <v>585</v>
      </c>
      <c r="C428" s="17">
        <v>19900401</v>
      </c>
      <c r="D428" s="17">
        <v>22991231</v>
      </c>
      <c r="E428" s="25">
        <v>903.54</v>
      </c>
    </row>
    <row r="429" spans="1:5" x14ac:dyDescent="0.3">
      <c r="A429" s="17" t="str">
        <f>"15738"</f>
        <v>15738</v>
      </c>
      <c r="B429" s="5" t="s">
        <v>586</v>
      </c>
      <c r="C429" s="17">
        <v>19900401</v>
      </c>
      <c r="D429" s="17">
        <v>22991231</v>
      </c>
      <c r="E429" s="25">
        <v>1777.55</v>
      </c>
    </row>
    <row r="430" spans="1:5" x14ac:dyDescent="0.3">
      <c r="A430" s="17" t="str">
        <f>"15740"</f>
        <v>15740</v>
      </c>
      <c r="B430" s="5" t="s">
        <v>587</v>
      </c>
      <c r="C430" s="17">
        <v>19900101</v>
      </c>
      <c r="D430" s="17">
        <v>22991231</v>
      </c>
      <c r="E430" s="25">
        <v>903.54</v>
      </c>
    </row>
    <row r="431" spans="1:5" x14ac:dyDescent="0.3">
      <c r="A431" s="17" t="str">
        <f>"15750"</f>
        <v>15750</v>
      </c>
      <c r="B431" s="5" t="s">
        <v>588</v>
      </c>
      <c r="C431" s="17">
        <v>19900101</v>
      </c>
      <c r="D431" s="17">
        <v>22991231</v>
      </c>
      <c r="E431" s="25">
        <v>1777.55</v>
      </c>
    </row>
    <row r="432" spans="1:5" x14ac:dyDescent="0.3">
      <c r="A432" s="17" t="str">
        <f>"15760"</f>
        <v>15760</v>
      </c>
      <c r="B432" s="5" t="s">
        <v>589</v>
      </c>
      <c r="C432" s="17">
        <v>19900101</v>
      </c>
      <c r="D432" s="17">
        <v>22991231</v>
      </c>
      <c r="E432" s="25">
        <v>903.54</v>
      </c>
    </row>
    <row r="433" spans="1:5" x14ac:dyDescent="0.3">
      <c r="A433" s="17" t="str">
        <f>"15769"</f>
        <v>15769</v>
      </c>
      <c r="B433" s="5" t="s">
        <v>590</v>
      </c>
      <c r="C433" s="17">
        <v>20200101</v>
      </c>
      <c r="D433" s="17">
        <v>22991231</v>
      </c>
      <c r="E433" s="25">
        <v>1777.55</v>
      </c>
    </row>
    <row r="434" spans="1:5" x14ac:dyDescent="0.3">
      <c r="A434" s="17" t="str">
        <f>"15770"</f>
        <v>15770</v>
      </c>
      <c r="B434" s="5" t="s">
        <v>591</v>
      </c>
      <c r="C434" s="17">
        <v>19900101</v>
      </c>
      <c r="D434" s="17">
        <v>22991231</v>
      </c>
      <c r="E434" s="25">
        <v>1777.55</v>
      </c>
    </row>
    <row r="435" spans="1:5" ht="39" x14ac:dyDescent="0.3">
      <c r="A435" s="17" t="str">
        <f>"15771"</f>
        <v>15771</v>
      </c>
      <c r="B435" s="5" t="s">
        <v>592</v>
      </c>
      <c r="C435" s="17">
        <v>20200101</v>
      </c>
      <c r="D435" s="17">
        <v>22991231</v>
      </c>
      <c r="E435" s="25">
        <v>1777.55</v>
      </c>
    </row>
    <row r="436" spans="1:5" ht="39" x14ac:dyDescent="0.3">
      <c r="A436" s="17" t="str">
        <f>"15772"</f>
        <v>15772</v>
      </c>
      <c r="B436" s="5" t="s">
        <v>593</v>
      </c>
      <c r="C436" s="17">
        <v>20200101</v>
      </c>
      <c r="D436" s="17">
        <v>22991231</v>
      </c>
      <c r="E436" s="24" t="s">
        <v>7128</v>
      </c>
    </row>
    <row r="437" spans="1:5" ht="52" x14ac:dyDescent="0.3">
      <c r="A437" s="17" t="str">
        <f>"15773"</f>
        <v>15773</v>
      </c>
      <c r="B437" s="5" t="s">
        <v>594</v>
      </c>
      <c r="C437" s="17">
        <v>20200101</v>
      </c>
      <c r="D437" s="17">
        <v>22991231</v>
      </c>
      <c r="E437" s="25">
        <v>903.54</v>
      </c>
    </row>
    <row r="438" spans="1:5" ht="52" x14ac:dyDescent="0.3">
      <c r="A438" s="17" t="str">
        <f>"15774"</f>
        <v>15774</v>
      </c>
      <c r="B438" s="5" t="s">
        <v>595</v>
      </c>
      <c r="C438" s="17">
        <v>20200101</v>
      </c>
      <c r="D438" s="17">
        <v>22991231</v>
      </c>
      <c r="E438" s="24" t="s">
        <v>7128</v>
      </c>
    </row>
    <row r="439" spans="1:5" x14ac:dyDescent="0.3">
      <c r="A439" s="17" t="str">
        <f>"15775"</f>
        <v>15775</v>
      </c>
      <c r="B439" s="5" t="s">
        <v>596</v>
      </c>
      <c r="C439" s="17">
        <v>20240101</v>
      </c>
      <c r="D439" s="17">
        <v>22991231</v>
      </c>
      <c r="E439" s="25">
        <v>197.56</v>
      </c>
    </row>
    <row r="440" spans="1:5" x14ac:dyDescent="0.3">
      <c r="A440" s="17" t="str">
        <f>"15776"</f>
        <v>15776</v>
      </c>
      <c r="B440" s="5" t="s">
        <v>597</v>
      </c>
      <c r="C440" s="17">
        <v>20230101</v>
      </c>
      <c r="D440" s="17">
        <v>22991231</v>
      </c>
      <c r="E440" s="25">
        <v>197.56</v>
      </c>
    </row>
    <row r="441" spans="1:5" x14ac:dyDescent="0.3">
      <c r="A441" s="17" t="str">
        <f>"15777"</f>
        <v>15777</v>
      </c>
      <c r="B441" s="5" t="s">
        <v>598</v>
      </c>
      <c r="C441" s="17">
        <v>20120101</v>
      </c>
      <c r="D441" s="17">
        <v>22991231</v>
      </c>
      <c r="E441" s="25">
        <v>0</v>
      </c>
    </row>
    <row r="442" spans="1:5" x14ac:dyDescent="0.3">
      <c r="A442" s="17" t="str">
        <f>"15780"</f>
        <v>15780</v>
      </c>
      <c r="B442" s="5" t="s">
        <v>599</v>
      </c>
      <c r="C442" s="17">
        <v>19900101</v>
      </c>
      <c r="D442" s="17">
        <v>22991231</v>
      </c>
      <c r="E442" s="25">
        <v>495.72</v>
      </c>
    </row>
    <row r="443" spans="1:5" x14ac:dyDescent="0.3">
      <c r="A443" s="17" t="str">
        <f>"15781"</f>
        <v>15781</v>
      </c>
      <c r="B443" s="5" t="s">
        <v>600</v>
      </c>
      <c r="C443" s="17">
        <v>19900701</v>
      </c>
      <c r="D443" s="17">
        <v>22991231</v>
      </c>
      <c r="E443" s="25">
        <v>323.39</v>
      </c>
    </row>
    <row r="444" spans="1:5" x14ac:dyDescent="0.3">
      <c r="A444" s="17">
        <v>15782</v>
      </c>
      <c r="B444" s="5" t="s">
        <v>601</v>
      </c>
      <c r="C444" s="17">
        <v>20171231</v>
      </c>
      <c r="D444" s="17">
        <v>22991231</v>
      </c>
      <c r="E444" s="25">
        <v>304.63</v>
      </c>
    </row>
    <row r="445" spans="1:5" ht="26" x14ac:dyDescent="0.3">
      <c r="A445" s="17" t="str">
        <f>"15783"</f>
        <v>15783</v>
      </c>
      <c r="B445" s="5" t="s">
        <v>602</v>
      </c>
      <c r="C445" s="17">
        <v>19900101</v>
      </c>
      <c r="D445" s="17">
        <v>22991231</v>
      </c>
      <c r="E445" s="25">
        <v>197.56</v>
      </c>
    </row>
    <row r="446" spans="1:5" x14ac:dyDescent="0.3">
      <c r="A446" s="17" t="str">
        <f>"15786"</f>
        <v>15786</v>
      </c>
      <c r="B446" s="5" t="s">
        <v>603</v>
      </c>
      <c r="C446" s="17">
        <v>19900101</v>
      </c>
      <c r="D446" s="17">
        <v>22991231</v>
      </c>
      <c r="E446" s="25">
        <v>0</v>
      </c>
    </row>
    <row r="447" spans="1:5" ht="26" x14ac:dyDescent="0.3">
      <c r="A447" s="17" t="str">
        <f>"15787"</f>
        <v>15787</v>
      </c>
      <c r="B447" s="5" t="s">
        <v>604</v>
      </c>
      <c r="C447" s="17">
        <v>19900101</v>
      </c>
      <c r="D447" s="17">
        <v>22991231</v>
      </c>
      <c r="E447" s="25">
        <v>0</v>
      </c>
    </row>
    <row r="448" spans="1:5" x14ac:dyDescent="0.3">
      <c r="A448" s="17" t="str">
        <f>"15788"</f>
        <v>15788</v>
      </c>
      <c r="B448" s="5" t="s">
        <v>605</v>
      </c>
      <c r="C448" s="17">
        <v>19940101</v>
      </c>
      <c r="D448" s="17">
        <v>22991231</v>
      </c>
      <c r="E448" s="25">
        <v>0</v>
      </c>
    </row>
    <row r="449" spans="1:5" x14ac:dyDescent="0.3">
      <c r="A449" s="17" t="str">
        <f>"15789"</f>
        <v>15789</v>
      </c>
      <c r="B449" s="5" t="s">
        <v>606</v>
      </c>
      <c r="C449" s="17">
        <v>19940101</v>
      </c>
      <c r="D449" s="17">
        <v>22991231</v>
      </c>
      <c r="E449" s="25">
        <v>311.18</v>
      </c>
    </row>
    <row r="450" spans="1:5" x14ac:dyDescent="0.3">
      <c r="A450" s="17" t="str">
        <f>"15792"</f>
        <v>15792</v>
      </c>
      <c r="B450" s="5" t="s">
        <v>607</v>
      </c>
      <c r="C450" s="17">
        <v>19940101</v>
      </c>
      <c r="D450" s="17">
        <v>22991231</v>
      </c>
      <c r="E450" s="25">
        <v>0</v>
      </c>
    </row>
    <row r="451" spans="1:5" x14ac:dyDescent="0.3">
      <c r="A451" s="17" t="str">
        <f>"15793"</f>
        <v>15793</v>
      </c>
      <c r="B451" s="5" t="s">
        <v>608</v>
      </c>
      <c r="C451" s="17">
        <v>19940101</v>
      </c>
      <c r="D451" s="17">
        <v>22991231</v>
      </c>
      <c r="E451" s="25">
        <v>0</v>
      </c>
    </row>
    <row r="452" spans="1:5" x14ac:dyDescent="0.3">
      <c r="A452" s="17" t="str">
        <f>"15819"</f>
        <v>15819</v>
      </c>
      <c r="B452" s="5" t="s">
        <v>609</v>
      </c>
      <c r="C452" s="17">
        <v>19900101</v>
      </c>
      <c r="D452" s="17">
        <v>22991231</v>
      </c>
      <c r="E452" s="25">
        <v>903.54</v>
      </c>
    </row>
    <row r="453" spans="1:5" x14ac:dyDescent="0.3">
      <c r="A453" s="17" t="str">
        <f>"15820"</f>
        <v>15820</v>
      </c>
      <c r="B453" s="5" t="s">
        <v>610</v>
      </c>
      <c r="C453" s="17">
        <v>19900101</v>
      </c>
      <c r="D453" s="17">
        <v>22991231</v>
      </c>
      <c r="E453" s="25">
        <v>903.54</v>
      </c>
    </row>
    <row r="454" spans="1:5" ht="26" x14ac:dyDescent="0.3">
      <c r="A454" s="17" t="str">
        <f>"15821"</f>
        <v>15821</v>
      </c>
      <c r="B454" s="5" t="s">
        <v>611</v>
      </c>
      <c r="C454" s="17">
        <v>19900101</v>
      </c>
      <c r="D454" s="17">
        <v>22991231</v>
      </c>
      <c r="E454" s="25">
        <v>903.54</v>
      </c>
    </row>
    <row r="455" spans="1:5" x14ac:dyDescent="0.3">
      <c r="A455" s="17" t="str">
        <f>"15822"</f>
        <v>15822</v>
      </c>
      <c r="B455" s="5" t="s">
        <v>612</v>
      </c>
      <c r="C455" s="17">
        <v>19900101</v>
      </c>
      <c r="D455" s="17">
        <v>22991231</v>
      </c>
      <c r="E455" s="25">
        <v>903.54</v>
      </c>
    </row>
    <row r="456" spans="1:5" ht="26" x14ac:dyDescent="0.3">
      <c r="A456" s="17" t="str">
        <f>"15823"</f>
        <v>15823</v>
      </c>
      <c r="B456" s="5" t="s">
        <v>613</v>
      </c>
      <c r="C456" s="17">
        <v>19900101</v>
      </c>
      <c r="D456" s="17">
        <v>22991231</v>
      </c>
      <c r="E456" s="25">
        <v>903.54</v>
      </c>
    </row>
    <row r="457" spans="1:5" x14ac:dyDescent="0.3">
      <c r="A457" s="17" t="str">
        <f>"15824"</f>
        <v>15824</v>
      </c>
      <c r="B457" s="5" t="s">
        <v>614</v>
      </c>
      <c r="C457" s="17">
        <v>19900101</v>
      </c>
      <c r="D457" s="17">
        <v>22991231</v>
      </c>
      <c r="E457" s="25">
        <v>903.54</v>
      </c>
    </row>
    <row r="458" spans="1:5" x14ac:dyDescent="0.3">
      <c r="A458" s="17" t="str">
        <f>"15825"</f>
        <v>15825</v>
      </c>
      <c r="B458" s="5" t="s">
        <v>615</v>
      </c>
      <c r="C458" s="17">
        <v>19900101</v>
      </c>
      <c r="D458" s="17">
        <v>22991231</v>
      </c>
      <c r="E458" s="25">
        <v>1777.55</v>
      </c>
    </row>
    <row r="459" spans="1:5" ht="26" x14ac:dyDescent="0.3">
      <c r="A459" s="17" t="str">
        <f>"15826"</f>
        <v>15826</v>
      </c>
      <c r="B459" s="5" t="s">
        <v>616</v>
      </c>
      <c r="C459" s="17">
        <v>19900101</v>
      </c>
      <c r="D459" s="17">
        <v>22991231</v>
      </c>
      <c r="E459" s="25">
        <v>1777.55</v>
      </c>
    </row>
    <row r="460" spans="1:5" ht="26" x14ac:dyDescent="0.3">
      <c r="A460" s="17" t="str">
        <f>"15828"</f>
        <v>15828</v>
      </c>
      <c r="B460" s="5" t="s">
        <v>617</v>
      </c>
      <c r="C460" s="17">
        <v>19900101</v>
      </c>
      <c r="D460" s="17">
        <v>22991231</v>
      </c>
      <c r="E460" s="25">
        <v>1777.55</v>
      </c>
    </row>
    <row r="461" spans="1:5" ht="26" x14ac:dyDescent="0.3">
      <c r="A461" s="17" t="str">
        <f>"15829"</f>
        <v>15829</v>
      </c>
      <c r="B461" s="5" t="s">
        <v>618</v>
      </c>
      <c r="C461" s="17">
        <v>19900101</v>
      </c>
      <c r="D461" s="17">
        <v>22991231</v>
      </c>
      <c r="E461" s="25">
        <v>1777.55</v>
      </c>
    </row>
    <row r="462" spans="1:5" x14ac:dyDescent="0.3">
      <c r="A462" s="17" t="str">
        <f>"15830"</f>
        <v>15830</v>
      </c>
      <c r="B462" s="5" t="s">
        <v>619</v>
      </c>
      <c r="C462" s="17">
        <v>20070101</v>
      </c>
      <c r="D462" s="17">
        <v>22991231</v>
      </c>
      <c r="E462" s="25">
        <v>2422.23</v>
      </c>
    </row>
    <row r="463" spans="1:5" x14ac:dyDescent="0.3">
      <c r="A463" s="17" t="str">
        <f>"15832"</f>
        <v>15832</v>
      </c>
      <c r="B463" s="5" t="s">
        <v>620</v>
      </c>
      <c r="C463" s="17">
        <v>19900101</v>
      </c>
      <c r="D463" s="17">
        <v>22991231</v>
      </c>
      <c r="E463" s="25">
        <v>1105.24</v>
      </c>
    </row>
    <row r="464" spans="1:5" x14ac:dyDescent="0.3">
      <c r="A464" s="17" t="str">
        <f>"15833"</f>
        <v>15833</v>
      </c>
      <c r="B464" s="5" t="s">
        <v>621</v>
      </c>
      <c r="C464" s="17">
        <v>19900101</v>
      </c>
      <c r="D464" s="17">
        <v>22991231</v>
      </c>
      <c r="E464" s="25">
        <v>1105.24</v>
      </c>
    </row>
    <row r="465" spans="1:5" x14ac:dyDescent="0.3">
      <c r="A465" s="17" t="str">
        <f>"15834"</f>
        <v>15834</v>
      </c>
      <c r="B465" s="5" t="s">
        <v>622</v>
      </c>
      <c r="C465" s="17">
        <v>19900101</v>
      </c>
      <c r="D465" s="17">
        <v>22991231</v>
      </c>
      <c r="E465" s="25">
        <v>1105.24</v>
      </c>
    </row>
    <row r="466" spans="1:5" x14ac:dyDescent="0.3">
      <c r="A466" s="17" t="str">
        <f>"15835"</f>
        <v>15835</v>
      </c>
      <c r="B466" s="5" t="s">
        <v>623</v>
      </c>
      <c r="C466" s="17">
        <v>19900101</v>
      </c>
      <c r="D466" s="17">
        <v>22991231</v>
      </c>
      <c r="E466" s="25">
        <v>1105.24</v>
      </c>
    </row>
    <row r="467" spans="1:5" x14ac:dyDescent="0.3">
      <c r="A467" s="17" t="str">
        <f>"15836"</f>
        <v>15836</v>
      </c>
      <c r="B467" s="5" t="s">
        <v>624</v>
      </c>
      <c r="C467" s="17">
        <v>19900101</v>
      </c>
      <c r="D467" s="17">
        <v>22991231</v>
      </c>
      <c r="E467" s="25">
        <v>1105.24</v>
      </c>
    </row>
    <row r="468" spans="1:5" ht="26" x14ac:dyDescent="0.3">
      <c r="A468" s="17" t="str">
        <f>"15837"</f>
        <v>15837</v>
      </c>
      <c r="B468" s="5" t="s">
        <v>625</v>
      </c>
      <c r="C468" s="17">
        <v>19900101</v>
      </c>
      <c r="D468" s="17">
        <v>22991231</v>
      </c>
      <c r="E468" s="25">
        <v>1105.24</v>
      </c>
    </row>
    <row r="469" spans="1:5" x14ac:dyDescent="0.3">
      <c r="A469" s="17" t="str">
        <f>"15838"</f>
        <v>15838</v>
      </c>
      <c r="B469" s="5" t="s">
        <v>626</v>
      </c>
      <c r="C469" s="17">
        <v>19900101</v>
      </c>
      <c r="D469" s="17">
        <v>22991231</v>
      </c>
      <c r="E469" s="25">
        <v>1105.24</v>
      </c>
    </row>
    <row r="470" spans="1:5" x14ac:dyDescent="0.3">
      <c r="A470" s="17" t="str">
        <f>"15839"</f>
        <v>15839</v>
      </c>
      <c r="B470" s="5" t="s">
        <v>627</v>
      </c>
      <c r="C470" s="17">
        <v>19900101</v>
      </c>
      <c r="D470" s="17">
        <v>22991231</v>
      </c>
      <c r="E470" s="25">
        <v>1105.24</v>
      </c>
    </row>
    <row r="471" spans="1:5" x14ac:dyDescent="0.3">
      <c r="A471" s="17" t="str">
        <f>"15840"</f>
        <v>15840</v>
      </c>
      <c r="B471" s="5" t="s">
        <v>628</v>
      </c>
      <c r="C471" s="17">
        <v>19900101</v>
      </c>
      <c r="D471" s="17">
        <v>22991231</v>
      </c>
      <c r="E471" s="25">
        <v>1777.55</v>
      </c>
    </row>
    <row r="472" spans="1:5" x14ac:dyDescent="0.3">
      <c r="A472" s="17" t="str">
        <f>"15841"</f>
        <v>15841</v>
      </c>
      <c r="B472" s="5" t="s">
        <v>629</v>
      </c>
      <c r="C472" s="17">
        <v>19900101</v>
      </c>
      <c r="D472" s="17">
        <v>22991231</v>
      </c>
      <c r="E472" s="25">
        <v>1777.55</v>
      </c>
    </row>
    <row r="473" spans="1:5" ht="26" x14ac:dyDescent="0.3">
      <c r="A473" s="17" t="str">
        <f>"15842"</f>
        <v>15842</v>
      </c>
      <c r="B473" s="5" t="s">
        <v>630</v>
      </c>
      <c r="C473" s="17">
        <v>19900101</v>
      </c>
      <c r="D473" s="17">
        <v>22991231</v>
      </c>
      <c r="E473" s="25">
        <v>903.54</v>
      </c>
    </row>
    <row r="474" spans="1:5" x14ac:dyDescent="0.3">
      <c r="A474" s="17" t="str">
        <f>"15845"</f>
        <v>15845</v>
      </c>
      <c r="B474" s="5" t="s">
        <v>631</v>
      </c>
      <c r="C474" s="17">
        <v>19900101</v>
      </c>
      <c r="D474" s="17">
        <v>22991231</v>
      </c>
      <c r="E474" s="25">
        <v>1777.55</v>
      </c>
    </row>
    <row r="475" spans="1:5" ht="26" x14ac:dyDescent="0.3">
      <c r="A475" s="17" t="str">
        <f>"15847"</f>
        <v>15847</v>
      </c>
      <c r="B475" s="5" t="s">
        <v>632</v>
      </c>
      <c r="C475" s="17">
        <v>20070101</v>
      </c>
      <c r="D475" s="17">
        <v>22991231</v>
      </c>
      <c r="E475" s="25">
        <v>0</v>
      </c>
    </row>
    <row r="476" spans="1:5" x14ac:dyDescent="0.3">
      <c r="A476" s="17" t="str">
        <f>"15851"</f>
        <v>15851</v>
      </c>
      <c r="B476" s="5" t="s">
        <v>633</v>
      </c>
      <c r="C476" s="17">
        <v>19900101</v>
      </c>
      <c r="D476" s="17">
        <v>22991231</v>
      </c>
      <c r="E476" s="25">
        <v>15.01</v>
      </c>
    </row>
    <row r="477" spans="1:5" x14ac:dyDescent="0.3">
      <c r="A477" s="17" t="str">
        <f>"15852"</f>
        <v>15852</v>
      </c>
      <c r="B477" s="5" t="s">
        <v>634</v>
      </c>
      <c r="C477" s="17">
        <v>19900101</v>
      </c>
      <c r="D477" s="17">
        <v>22991231</v>
      </c>
      <c r="E477" s="25">
        <v>0</v>
      </c>
    </row>
    <row r="478" spans="1:5" ht="26" x14ac:dyDescent="0.3">
      <c r="A478" s="17" t="str">
        <f>"15860"</f>
        <v>15860</v>
      </c>
      <c r="B478" s="5" t="s">
        <v>635</v>
      </c>
      <c r="C478" s="17">
        <v>19900101</v>
      </c>
      <c r="D478" s="17">
        <v>22991231</v>
      </c>
      <c r="E478" s="25">
        <v>0</v>
      </c>
    </row>
    <row r="479" spans="1:5" x14ac:dyDescent="0.3">
      <c r="A479" s="17" t="str">
        <f>"15876"</f>
        <v>15876</v>
      </c>
      <c r="B479" s="5" t="s">
        <v>636</v>
      </c>
      <c r="C479" s="17">
        <v>20030401</v>
      </c>
      <c r="D479" s="17">
        <v>22991231</v>
      </c>
      <c r="E479" s="25">
        <v>1777.55</v>
      </c>
    </row>
    <row r="480" spans="1:5" x14ac:dyDescent="0.3">
      <c r="A480" s="17" t="str">
        <f>"15877"</f>
        <v>15877</v>
      </c>
      <c r="B480" s="5" t="s">
        <v>637</v>
      </c>
      <c r="C480" s="17">
        <v>20030401</v>
      </c>
      <c r="D480" s="17">
        <v>22991231</v>
      </c>
      <c r="E480" s="25">
        <v>1777.55</v>
      </c>
    </row>
    <row r="481" spans="1:5" x14ac:dyDescent="0.3">
      <c r="A481" s="17" t="str">
        <f>"15878"</f>
        <v>15878</v>
      </c>
      <c r="B481" s="5" t="s">
        <v>638</v>
      </c>
      <c r="C481" s="17">
        <v>20030401</v>
      </c>
      <c r="D481" s="17">
        <v>22991231</v>
      </c>
      <c r="E481" s="25">
        <v>903.54</v>
      </c>
    </row>
    <row r="482" spans="1:5" x14ac:dyDescent="0.3">
      <c r="A482" s="17" t="str">
        <f>"15879"</f>
        <v>15879</v>
      </c>
      <c r="B482" s="5" t="s">
        <v>639</v>
      </c>
      <c r="C482" s="17">
        <v>20030401</v>
      </c>
      <c r="D482" s="17">
        <v>22991231</v>
      </c>
      <c r="E482" s="25">
        <v>1777.55</v>
      </c>
    </row>
    <row r="483" spans="1:5" ht="26" x14ac:dyDescent="0.3">
      <c r="A483" s="17" t="str">
        <f>"15920"</f>
        <v>15920</v>
      </c>
      <c r="B483" s="5" t="s">
        <v>640</v>
      </c>
      <c r="C483" s="17">
        <v>19900101</v>
      </c>
      <c r="D483" s="17">
        <v>22991231</v>
      </c>
      <c r="E483" s="25">
        <v>1105.24</v>
      </c>
    </row>
    <row r="484" spans="1:5" ht="26" x14ac:dyDescent="0.3">
      <c r="A484" s="17" t="str">
        <f>"15922"</f>
        <v>15922</v>
      </c>
      <c r="B484" s="5" t="s">
        <v>641</v>
      </c>
      <c r="C484" s="17">
        <v>19900101</v>
      </c>
      <c r="D484" s="17">
        <v>22991231</v>
      </c>
      <c r="E484" s="25">
        <v>1777.55</v>
      </c>
    </row>
    <row r="485" spans="1:5" ht="26" x14ac:dyDescent="0.3">
      <c r="A485" s="17" t="str">
        <f>"15931"</f>
        <v>15931</v>
      </c>
      <c r="B485" s="5" t="s">
        <v>642</v>
      </c>
      <c r="C485" s="17">
        <v>19900101</v>
      </c>
      <c r="D485" s="17">
        <v>22991231</v>
      </c>
      <c r="E485" s="25">
        <v>1105.24</v>
      </c>
    </row>
    <row r="486" spans="1:5" ht="26" x14ac:dyDescent="0.3">
      <c r="A486" s="17" t="str">
        <f>"15933"</f>
        <v>15933</v>
      </c>
      <c r="B486" s="5" t="s">
        <v>643</v>
      </c>
      <c r="C486" s="17">
        <v>19900101</v>
      </c>
      <c r="D486" s="17">
        <v>22991231</v>
      </c>
      <c r="E486" s="25">
        <v>1105.24</v>
      </c>
    </row>
    <row r="487" spans="1:5" ht="26" x14ac:dyDescent="0.3">
      <c r="A487" s="17" t="str">
        <f>"15934"</f>
        <v>15934</v>
      </c>
      <c r="B487" s="5" t="s">
        <v>644</v>
      </c>
      <c r="C487" s="17">
        <v>19900101</v>
      </c>
      <c r="D487" s="17">
        <v>22991231</v>
      </c>
      <c r="E487" s="25">
        <v>1777.55</v>
      </c>
    </row>
    <row r="488" spans="1:5" ht="26" x14ac:dyDescent="0.3">
      <c r="A488" s="17" t="str">
        <f>"15935"</f>
        <v>15935</v>
      </c>
      <c r="B488" s="5" t="s">
        <v>645</v>
      </c>
      <c r="C488" s="17">
        <v>19900101</v>
      </c>
      <c r="D488" s="17">
        <v>22991231</v>
      </c>
      <c r="E488" s="25">
        <v>1777.55</v>
      </c>
    </row>
    <row r="489" spans="1:5" ht="26" x14ac:dyDescent="0.3">
      <c r="A489" s="17" t="str">
        <f>"15936"</f>
        <v>15936</v>
      </c>
      <c r="B489" s="5" t="s">
        <v>646</v>
      </c>
      <c r="C489" s="17">
        <v>19900101</v>
      </c>
      <c r="D489" s="17">
        <v>22991231</v>
      </c>
      <c r="E489" s="25">
        <v>903.54</v>
      </c>
    </row>
    <row r="490" spans="1:5" ht="26" x14ac:dyDescent="0.3">
      <c r="A490" s="17" t="str">
        <f>"15937"</f>
        <v>15937</v>
      </c>
      <c r="B490" s="5" t="s">
        <v>647</v>
      </c>
      <c r="C490" s="17">
        <v>19900101</v>
      </c>
      <c r="D490" s="17">
        <v>22991231</v>
      </c>
      <c r="E490" s="25">
        <v>903.54</v>
      </c>
    </row>
    <row r="491" spans="1:5" ht="26" x14ac:dyDescent="0.3">
      <c r="A491" s="17" t="str">
        <f>"15940"</f>
        <v>15940</v>
      </c>
      <c r="B491" s="5" t="s">
        <v>648</v>
      </c>
      <c r="C491" s="17">
        <v>19900101</v>
      </c>
      <c r="D491" s="17">
        <v>22991231</v>
      </c>
      <c r="E491" s="25">
        <v>1105.24</v>
      </c>
    </row>
    <row r="492" spans="1:5" ht="26" x14ac:dyDescent="0.3">
      <c r="A492" s="17" t="str">
        <f>"15941"</f>
        <v>15941</v>
      </c>
      <c r="B492" s="5" t="s">
        <v>649</v>
      </c>
      <c r="C492" s="17">
        <v>19900101</v>
      </c>
      <c r="D492" s="17">
        <v>22991231</v>
      </c>
      <c r="E492" s="25">
        <v>1105.24</v>
      </c>
    </row>
    <row r="493" spans="1:5" ht="26" x14ac:dyDescent="0.3">
      <c r="A493" s="17" t="str">
        <f>"15944"</f>
        <v>15944</v>
      </c>
      <c r="B493" s="5" t="s">
        <v>650</v>
      </c>
      <c r="C493" s="17">
        <v>19900101</v>
      </c>
      <c r="D493" s="17">
        <v>22991231</v>
      </c>
      <c r="E493" s="25">
        <v>1777.55</v>
      </c>
    </row>
    <row r="494" spans="1:5" ht="26" x14ac:dyDescent="0.3">
      <c r="A494" s="17" t="str">
        <f>"15945"</f>
        <v>15945</v>
      </c>
      <c r="B494" s="5" t="s">
        <v>651</v>
      </c>
      <c r="C494" s="17">
        <v>19900101</v>
      </c>
      <c r="D494" s="17">
        <v>22991231</v>
      </c>
      <c r="E494" s="25">
        <v>903.54</v>
      </c>
    </row>
    <row r="495" spans="1:5" ht="26" x14ac:dyDescent="0.3">
      <c r="A495" s="17" t="str">
        <f>"15946"</f>
        <v>15946</v>
      </c>
      <c r="B495" s="5" t="s">
        <v>652</v>
      </c>
      <c r="C495" s="17">
        <v>19900101</v>
      </c>
      <c r="D495" s="17">
        <v>22991231</v>
      </c>
      <c r="E495" s="25">
        <v>903.54</v>
      </c>
    </row>
    <row r="496" spans="1:5" ht="26" x14ac:dyDescent="0.3">
      <c r="A496" s="17" t="str">
        <f>"15950"</f>
        <v>15950</v>
      </c>
      <c r="B496" s="5" t="s">
        <v>653</v>
      </c>
      <c r="C496" s="17">
        <v>19900101</v>
      </c>
      <c r="D496" s="17">
        <v>22991231</v>
      </c>
      <c r="E496" s="25">
        <v>652.27</v>
      </c>
    </row>
    <row r="497" spans="1:5" ht="26" x14ac:dyDescent="0.3">
      <c r="A497" s="17" t="str">
        <f>"15951"</f>
        <v>15951</v>
      </c>
      <c r="B497" s="5" t="s">
        <v>654</v>
      </c>
      <c r="C497" s="17">
        <v>19900101</v>
      </c>
      <c r="D497" s="17">
        <v>22991231</v>
      </c>
      <c r="E497" s="25">
        <v>1105.24</v>
      </c>
    </row>
    <row r="498" spans="1:5" ht="26" x14ac:dyDescent="0.3">
      <c r="A498" s="17" t="str">
        <f>"15952"</f>
        <v>15952</v>
      </c>
      <c r="B498" s="5" t="s">
        <v>655</v>
      </c>
      <c r="C498" s="17">
        <v>19900101</v>
      </c>
      <c r="D498" s="17">
        <v>22991231</v>
      </c>
      <c r="E498" s="25">
        <v>903.54</v>
      </c>
    </row>
    <row r="499" spans="1:5" ht="26" x14ac:dyDescent="0.3">
      <c r="A499" s="17" t="str">
        <f>"15953"</f>
        <v>15953</v>
      </c>
      <c r="B499" s="5" t="s">
        <v>656</v>
      </c>
      <c r="C499" s="17">
        <v>19900101</v>
      </c>
      <c r="D499" s="17">
        <v>22991231</v>
      </c>
      <c r="E499" s="25">
        <v>1777.55</v>
      </c>
    </row>
    <row r="500" spans="1:5" ht="26" x14ac:dyDescent="0.3">
      <c r="A500" s="17" t="str">
        <f>"15956"</f>
        <v>15956</v>
      </c>
      <c r="B500" s="5" t="s">
        <v>657</v>
      </c>
      <c r="C500" s="17">
        <v>19900101</v>
      </c>
      <c r="D500" s="17">
        <v>22991231</v>
      </c>
      <c r="E500" s="25">
        <v>903.54</v>
      </c>
    </row>
    <row r="501" spans="1:5" ht="26" x14ac:dyDescent="0.3">
      <c r="A501" s="17" t="str">
        <f>"15958"</f>
        <v>15958</v>
      </c>
      <c r="B501" s="5" t="s">
        <v>658</v>
      </c>
      <c r="C501" s="17">
        <v>19900101</v>
      </c>
      <c r="D501" s="17">
        <v>22991231</v>
      </c>
      <c r="E501" s="25">
        <v>1777.55</v>
      </c>
    </row>
    <row r="502" spans="1:5" x14ac:dyDescent="0.3">
      <c r="A502" s="17" t="str">
        <f>"16000"</f>
        <v>16000</v>
      </c>
      <c r="B502" s="5" t="s">
        <v>659</v>
      </c>
      <c r="C502" s="17">
        <v>19900101</v>
      </c>
      <c r="D502" s="17">
        <v>22991231</v>
      </c>
      <c r="E502" s="25">
        <v>0</v>
      </c>
    </row>
    <row r="503" spans="1:5" ht="26" x14ac:dyDescent="0.3">
      <c r="A503" s="17" t="str">
        <f>"16020"</f>
        <v>16020</v>
      </c>
      <c r="B503" s="5" t="s">
        <v>660</v>
      </c>
      <c r="C503" s="17">
        <v>19900101</v>
      </c>
      <c r="D503" s="17">
        <v>22991231</v>
      </c>
      <c r="E503" s="25">
        <v>0</v>
      </c>
    </row>
    <row r="504" spans="1:5" ht="26" x14ac:dyDescent="0.3">
      <c r="A504" s="17" t="str">
        <f>"16025"</f>
        <v>16025</v>
      </c>
      <c r="B504" s="5" t="s">
        <v>661</v>
      </c>
      <c r="C504" s="17">
        <v>19900101</v>
      </c>
      <c r="D504" s="17">
        <v>22991231</v>
      </c>
      <c r="E504" s="25">
        <v>99.19</v>
      </c>
    </row>
    <row r="505" spans="1:5" ht="26" x14ac:dyDescent="0.3">
      <c r="A505" s="17" t="str">
        <f>"16030"</f>
        <v>16030</v>
      </c>
      <c r="B505" s="5" t="s">
        <v>662</v>
      </c>
      <c r="C505" s="17">
        <v>19900101</v>
      </c>
      <c r="D505" s="17">
        <v>22991231</v>
      </c>
      <c r="E505" s="25">
        <v>197.56</v>
      </c>
    </row>
    <row r="506" spans="1:5" x14ac:dyDescent="0.3">
      <c r="A506" s="17" t="str">
        <f>"16035"</f>
        <v>16035</v>
      </c>
      <c r="B506" s="5" t="s">
        <v>663</v>
      </c>
      <c r="C506" s="17">
        <v>19900101</v>
      </c>
      <c r="D506" s="17">
        <v>22991231</v>
      </c>
      <c r="E506" s="25">
        <v>197.56</v>
      </c>
    </row>
    <row r="507" spans="1:5" x14ac:dyDescent="0.3">
      <c r="A507" s="17" t="str">
        <f>"17000"</f>
        <v>17000</v>
      </c>
      <c r="B507" s="5" t="s">
        <v>664</v>
      </c>
      <c r="C507" s="17">
        <v>19900101</v>
      </c>
      <c r="D507" s="17">
        <v>22991231</v>
      </c>
      <c r="E507" s="25">
        <v>0</v>
      </c>
    </row>
    <row r="508" spans="1:5" ht="26" x14ac:dyDescent="0.3">
      <c r="A508" s="17" t="str">
        <f>"17003"</f>
        <v>17003</v>
      </c>
      <c r="B508" s="5" t="s">
        <v>665</v>
      </c>
      <c r="C508" s="17">
        <v>19980101</v>
      </c>
      <c r="D508" s="17">
        <v>22991231</v>
      </c>
      <c r="E508" s="25">
        <v>0</v>
      </c>
    </row>
    <row r="509" spans="1:5" ht="26" x14ac:dyDescent="0.3">
      <c r="A509" s="17" t="str">
        <f>"17004"</f>
        <v>17004</v>
      </c>
      <c r="B509" s="5" t="s">
        <v>666</v>
      </c>
      <c r="C509" s="17">
        <v>19980101</v>
      </c>
      <c r="D509" s="17">
        <v>22991231</v>
      </c>
      <c r="E509" s="25">
        <v>110.09</v>
      </c>
    </row>
    <row r="510" spans="1:5" x14ac:dyDescent="0.3">
      <c r="A510" s="17" t="str">
        <f>"17106"</f>
        <v>17106</v>
      </c>
      <c r="B510" s="5" t="s">
        <v>667</v>
      </c>
      <c r="C510" s="17">
        <v>19920115</v>
      </c>
      <c r="D510" s="17">
        <v>22991231</v>
      </c>
      <c r="E510" s="25">
        <v>196.41</v>
      </c>
    </row>
    <row r="511" spans="1:5" x14ac:dyDescent="0.3">
      <c r="A511" s="17" t="str">
        <f>"17107"</f>
        <v>17107</v>
      </c>
      <c r="B511" s="5" t="s">
        <v>668</v>
      </c>
      <c r="C511" s="17">
        <v>19920115</v>
      </c>
      <c r="D511" s="17">
        <v>22991231</v>
      </c>
      <c r="E511" s="25">
        <v>255.52</v>
      </c>
    </row>
    <row r="512" spans="1:5" x14ac:dyDescent="0.3">
      <c r="A512" s="17" t="str">
        <f>"17108"</f>
        <v>17108</v>
      </c>
      <c r="B512" s="5" t="s">
        <v>669</v>
      </c>
      <c r="C512" s="17">
        <v>19920115</v>
      </c>
      <c r="D512" s="17">
        <v>22991231</v>
      </c>
      <c r="E512" s="25">
        <v>333.09</v>
      </c>
    </row>
    <row r="513" spans="1:5" x14ac:dyDescent="0.3">
      <c r="A513" s="17" t="str">
        <f>"17110"</f>
        <v>17110</v>
      </c>
      <c r="B513" s="5" t="s">
        <v>670</v>
      </c>
      <c r="C513" s="17">
        <v>19900101</v>
      </c>
      <c r="D513" s="17">
        <v>22991231</v>
      </c>
      <c r="E513" s="25">
        <v>0</v>
      </c>
    </row>
    <row r="514" spans="1:5" x14ac:dyDescent="0.3">
      <c r="A514" s="17" t="str">
        <f>"17111"</f>
        <v>17111</v>
      </c>
      <c r="B514" s="5" t="s">
        <v>671</v>
      </c>
      <c r="C514" s="17">
        <v>19900101</v>
      </c>
      <c r="D514" s="17">
        <v>22991231</v>
      </c>
      <c r="E514" s="25">
        <v>0</v>
      </c>
    </row>
    <row r="515" spans="1:5" ht="26" x14ac:dyDescent="0.3">
      <c r="A515" s="17" t="str">
        <f>"17250"</f>
        <v>17250</v>
      </c>
      <c r="B515" s="5" t="s">
        <v>672</v>
      </c>
      <c r="C515" s="17">
        <v>19900101</v>
      </c>
      <c r="D515" s="17">
        <v>22991231</v>
      </c>
      <c r="E515" s="25">
        <v>0</v>
      </c>
    </row>
    <row r="516" spans="1:5" ht="26" x14ac:dyDescent="0.3">
      <c r="A516" s="17" t="str">
        <f>"17260"</f>
        <v>17260</v>
      </c>
      <c r="B516" s="5" t="s">
        <v>673</v>
      </c>
      <c r="C516" s="17">
        <v>19920115</v>
      </c>
      <c r="D516" s="17">
        <v>22991231</v>
      </c>
      <c r="E516" s="25">
        <v>0</v>
      </c>
    </row>
    <row r="517" spans="1:5" ht="26" x14ac:dyDescent="0.3">
      <c r="A517" s="17" t="str">
        <f>"17261"</f>
        <v>17261</v>
      </c>
      <c r="B517" s="5" t="s">
        <v>674</v>
      </c>
      <c r="C517" s="17">
        <v>19920115</v>
      </c>
      <c r="D517" s="17">
        <v>22991231</v>
      </c>
      <c r="E517" s="25">
        <v>0</v>
      </c>
    </row>
    <row r="518" spans="1:5" ht="26" x14ac:dyDescent="0.3">
      <c r="A518" s="17" t="str">
        <f>"17262"</f>
        <v>17262</v>
      </c>
      <c r="B518" s="5" t="s">
        <v>675</v>
      </c>
      <c r="C518" s="17">
        <v>19920115</v>
      </c>
      <c r="D518" s="17">
        <v>22991231</v>
      </c>
      <c r="E518" s="25">
        <v>0</v>
      </c>
    </row>
    <row r="519" spans="1:5" ht="26" x14ac:dyDescent="0.3">
      <c r="A519" s="17" t="str">
        <f>"17263"</f>
        <v>17263</v>
      </c>
      <c r="B519" s="5" t="s">
        <v>676</v>
      </c>
      <c r="C519" s="17">
        <v>19920115</v>
      </c>
      <c r="D519" s="17">
        <v>22991231</v>
      </c>
      <c r="E519" s="25">
        <v>0</v>
      </c>
    </row>
    <row r="520" spans="1:5" ht="26" x14ac:dyDescent="0.3">
      <c r="A520" s="17" t="str">
        <f>"17264"</f>
        <v>17264</v>
      </c>
      <c r="B520" s="5" t="s">
        <v>677</v>
      </c>
      <c r="C520" s="17">
        <v>19920115</v>
      </c>
      <c r="D520" s="17">
        <v>22991231</v>
      </c>
      <c r="E520" s="25">
        <v>126.36</v>
      </c>
    </row>
    <row r="521" spans="1:5" ht="26" x14ac:dyDescent="0.3">
      <c r="A521" s="17" t="str">
        <f>"17266"</f>
        <v>17266</v>
      </c>
      <c r="B521" s="5" t="s">
        <v>678</v>
      </c>
      <c r="C521" s="17">
        <v>19920115</v>
      </c>
      <c r="D521" s="17">
        <v>22991231</v>
      </c>
      <c r="E521" s="25">
        <v>139.16999999999999</v>
      </c>
    </row>
    <row r="522" spans="1:5" ht="26" x14ac:dyDescent="0.3">
      <c r="A522" s="17" t="str">
        <f>"17270"</f>
        <v>17270</v>
      </c>
      <c r="B522" s="5" t="s">
        <v>679</v>
      </c>
      <c r="C522" s="17">
        <v>19920115</v>
      </c>
      <c r="D522" s="17">
        <v>22991231</v>
      </c>
      <c r="E522" s="25">
        <v>93.82</v>
      </c>
    </row>
    <row r="523" spans="1:5" ht="26" x14ac:dyDescent="0.3">
      <c r="A523" s="17" t="str">
        <f>"17271"</f>
        <v>17271</v>
      </c>
      <c r="B523" s="5" t="s">
        <v>680</v>
      </c>
      <c r="C523" s="17">
        <v>19920115</v>
      </c>
      <c r="D523" s="17">
        <v>22991231</v>
      </c>
      <c r="E523" s="25">
        <v>99.19</v>
      </c>
    </row>
    <row r="524" spans="1:5" ht="26" x14ac:dyDescent="0.3">
      <c r="A524" s="17" t="str">
        <f>"17272"</f>
        <v>17272</v>
      </c>
      <c r="B524" s="5" t="s">
        <v>681</v>
      </c>
      <c r="C524" s="17">
        <v>19920115</v>
      </c>
      <c r="D524" s="17">
        <v>22991231</v>
      </c>
      <c r="E524" s="25">
        <v>0</v>
      </c>
    </row>
    <row r="525" spans="1:5" ht="26" x14ac:dyDescent="0.3">
      <c r="A525" s="17" t="str">
        <f>"17273"</f>
        <v>17273</v>
      </c>
      <c r="B525" s="5" t="s">
        <v>682</v>
      </c>
      <c r="C525" s="17">
        <v>19920115</v>
      </c>
      <c r="D525" s="17">
        <v>22991231</v>
      </c>
      <c r="E525" s="25">
        <v>124.79</v>
      </c>
    </row>
    <row r="526" spans="1:5" ht="26" x14ac:dyDescent="0.3">
      <c r="A526" s="17" t="str">
        <f>"17274"</f>
        <v>17274</v>
      </c>
      <c r="B526" s="5" t="s">
        <v>683</v>
      </c>
      <c r="C526" s="17">
        <v>19920115</v>
      </c>
      <c r="D526" s="17">
        <v>22991231</v>
      </c>
      <c r="E526" s="25">
        <v>139.49</v>
      </c>
    </row>
    <row r="527" spans="1:5" ht="26" x14ac:dyDescent="0.3">
      <c r="A527" s="17" t="str">
        <f>"17276"</f>
        <v>17276</v>
      </c>
      <c r="B527" s="5" t="s">
        <v>684</v>
      </c>
      <c r="C527" s="17">
        <v>19920115</v>
      </c>
      <c r="D527" s="17">
        <v>22991231</v>
      </c>
      <c r="E527" s="25">
        <v>154.81</v>
      </c>
    </row>
    <row r="528" spans="1:5" ht="26" x14ac:dyDescent="0.3">
      <c r="A528" s="17" t="str">
        <f>"17280"</f>
        <v>17280</v>
      </c>
      <c r="B528" s="5" t="s">
        <v>685</v>
      </c>
      <c r="C528" s="17">
        <v>19920115</v>
      </c>
      <c r="D528" s="17">
        <v>22991231</v>
      </c>
      <c r="E528" s="25">
        <v>0</v>
      </c>
    </row>
    <row r="529" spans="1:5" ht="26" x14ac:dyDescent="0.3">
      <c r="A529" s="17" t="str">
        <f>"17281"</f>
        <v>17281</v>
      </c>
      <c r="B529" s="5" t="s">
        <v>686</v>
      </c>
      <c r="C529" s="17">
        <v>19920115</v>
      </c>
      <c r="D529" s="17">
        <v>22991231</v>
      </c>
      <c r="E529" s="25">
        <v>108.52</v>
      </c>
    </row>
    <row r="530" spans="1:5" ht="26" x14ac:dyDescent="0.3">
      <c r="A530" s="17" t="str">
        <f>"17282"</f>
        <v>17282</v>
      </c>
      <c r="B530" s="5" t="s">
        <v>687</v>
      </c>
      <c r="C530" s="17">
        <v>19920115</v>
      </c>
      <c r="D530" s="17">
        <v>22991231</v>
      </c>
      <c r="E530" s="25">
        <v>121.66</v>
      </c>
    </row>
    <row r="531" spans="1:5" ht="26" x14ac:dyDescent="0.3">
      <c r="A531" s="17" t="str">
        <f>"17283"</f>
        <v>17283</v>
      </c>
      <c r="B531" s="5" t="s">
        <v>688</v>
      </c>
      <c r="C531" s="17">
        <v>19920115</v>
      </c>
      <c r="D531" s="17">
        <v>22991231</v>
      </c>
      <c r="E531" s="25">
        <v>136.05000000000001</v>
      </c>
    </row>
    <row r="532" spans="1:5" ht="26" x14ac:dyDescent="0.3">
      <c r="A532" s="17" t="str">
        <f>"17284"</f>
        <v>17284</v>
      </c>
      <c r="B532" s="5" t="s">
        <v>689</v>
      </c>
      <c r="C532" s="17">
        <v>19920115</v>
      </c>
      <c r="D532" s="17">
        <v>22991231</v>
      </c>
      <c r="E532" s="25">
        <v>149.5</v>
      </c>
    </row>
    <row r="533" spans="1:5" ht="26" x14ac:dyDescent="0.3">
      <c r="A533" s="17" t="str">
        <f>"17286"</f>
        <v>17286</v>
      </c>
      <c r="B533" s="5" t="s">
        <v>690</v>
      </c>
      <c r="C533" s="17">
        <v>19920115</v>
      </c>
      <c r="D533" s="17">
        <v>22991231</v>
      </c>
      <c r="E533" s="25">
        <v>178.9</v>
      </c>
    </row>
    <row r="534" spans="1:5" ht="39" x14ac:dyDescent="0.3">
      <c r="A534" s="17" t="str">
        <f>"17311"</f>
        <v>17311</v>
      </c>
      <c r="B534" s="5" t="s">
        <v>691</v>
      </c>
      <c r="C534" s="17">
        <v>20230101</v>
      </c>
      <c r="D534" s="17">
        <v>22991231</v>
      </c>
      <c r="E534" s="25">
        <v>311.18</v>
      </c>
    </row>
    <row r="535" spans="1:5" ht="39" x14ac:dyDescent="0.3">
      <c r="A535" s="17" t="str">
        <f>"17312"</f>
        <v>17312</v>
      </c>
      <c r="B535" s="5" t="s">
        <v>692</v>
      </c>
      <c r="C535" s="17">
        <v>20230101</v>
      </c>
      <c r="D535" s="17">
        <v>22991231</v>
      </c>
      <c r="E535" s="25">
        <v>0</v>
      </c>
    </row>
    <row r="536" spans="1:5" ht="26" x14ac:dyDescent="0.3">
      <c r="A536" s="17" t="str">
        <f>"17313"</f>
        <v>17313</v>
      </c>
      <c r="B536" s="5" t="s">
        <v>693</v>
      </c>
      <c r="C536" s="17">
        <v>20230101</v>
      </c>
      <c r="D536" s="17">
        <v>22991231</v>
      </c>
      <c r="E536" s="25">
        <v>311.18</v>
      </c>
    </row>
    <row r="537" spans="1:5" ht="39" x14ac:dyDescent="0.3">
      <c r="A537" s="17" t="str">
        <f>"17314"</f>
        <v>17314</v>
      </c>
      <c r="B537" s="5" t="s">
        <v>694</v>
      </c>
      <c r="C537" s="17">
        <v>20230101</v>
      </c>
      <c r="D537" s="17">
        <v>22991231</v>
      </c>
      <c r="E537" s="25">
        <v>0</v>
      </c>
    </row>
    <row r="538" spans="1:5" ht="26" x14ac:dyDescent="0.3">
      <c r="A538" s="17" t="str">
        <f>"17315"</f>
        <v>17315</v>
      </c>
      <c r="B538" s="5" t="s">
        <v>695</v>
      </c>
      <c r="C538" s="17">
        <v>20230101</v>
      </c>
      <c r="D538" s="17">
        <v>22991231</v>
      </c>
      <c r="E538" s="25">
        <v>0</v>
      </c>
    </row>
    <row r="539" spans="1:5" x14ac:dyDescent="0.3">
      <c r="A539" s="17" t="str">
        <f>"17340"</f>
        <v>17340</v>
      </c>
      <c r="B539" s="5" t="s">
        <v>696</v>
      </c>
      <c r="C539" s="17">
        <v>19900101</v>
      </c>
      <c r="D539" s="17">
        <v>22991231</v>
      </c>
      <c r="E539" s="25">
        <v>0</v>
      </c>
    </row>
    <row r="540" spans="1:5" x14ac:dyDescent="0.3">
      <c r="A540" s="17" t="str">
        <f>"17360"</f>
        <v>17360</v>
      </c>
      <c r="B540" s="5" t="s">
        <v>697</v>
      </c>
      <c r="C540" s="17">
        <v>19900101</v>
      </c>
      <c r="D540" s="17">
        <v>22991231</v>
      </c>
      <c r="E540" s="25">
        <v>0</v>
      </c>
    </row>
    <row r="541" spans="1:5" x14ac:dyDescent="0.3">
      <c r="A541" s="17" t="str">
        <f>"17380"</f>
        <v>17380</v>
      </c>
      <c r="B541" s="5" t="s">
        <v>698</v>
      </c>
      <c r="C541" s="17">
        <v>20230101</v>
      </c>
      <c r="D541" s="17">
        <v>22991231</v>
      </c>
      <c r="E541" s="25">
        <v>311.18</v>
      </c>
    </row>
    <row r="542" spans="1:5" ht="26" x14ac:dyDescent="0.3">
      <c r="A542" s="17" t="str">
        <f>"17999"</f>
        <v>17999</v>
      </c>
      <c r="B542" s="5" t="s">
        <v>699</v>
      </c>
      <c r="C542" s="17">
        <v>19900101</v>
      </c>
      <c r="D542" s="17">
        <v>22991231</v>
      </c>
      <c r="E542" s="24" t="s">
        <v>7128</v>
      </c>
    </row>
    <row r="543" spans="1:5" x14ac:dyDescent="0.3">
      <c r="A543" s="17" t="str">
        <f>"19000"</f>
        <v>19000</v>
      </c>
      <c r="B543" s="5" t="s">
        <v>700</v>
      </c>
      <c r="C543" s="17">
        <v>19900101</v>
      </c>
      <c r="D543" s="17">
        <v>22991231</v>
      </c>
      <c r="E543" s="25">
        <v>64.42</v>
      </c>
    </row>
    <row r="544" spans="1:5" x14ac:dyDescent="0.3">
      <c r="A544" s="17" t="str">
        <f>"19001"</f>
        <v>19001</v>
      </c>
      <c r="B544" s="5" t="s">
        <v>701</v>
      </c>
      <c r="C544" s="17">
        <v>19900101</v>
      </c>
      <c r="D544" s="17">
        <v>22991231</v>
      </c>
      <c r="E544" s="25">
        <v>0</v>
      </c>
    </row>
    <row r="545" spans="1:5" x14ac:dyDescent="0.3">
      <c r="A545" s="17" t="str">
        <f>"19020"</f>
        <v>19020</v>
      </c>
      <c r="B545" s="5" t="s">
        <v>702</v>
      </c>
      <c r="C545" s="17">
        <v>19900101</v>
      </c>
      <c r="D545" s="17">
        <v>22991231</v>
      </c>
      <c r="E545" s="25">
        <v>652.27</v>
      </c>
    </row>
    <row r="546" spans="1:5" x14ac:dyDescent="0.3">
      <c r="A546" s="17" t="str">
        <f>"19030"</f>
        <v>19030</v>
      </c>
      <c r="B546" s="5" t="s">
        <v>703</v>
      </c>
      <c r="C546" s="17">
        <v>19900101</v>
      </c>
      <c r="D546" s="17">
        <v>22991231</v>
      </c>
      <c r="E546" s="25">
        <v>0</v>
      </c>
    </row>
    <row r="547" spans="1:5" ht="26" x14ac:dyDescent="0.3">
      <c r="A547" s="17" t="str">
        <f>"19081"</f>
        <v>19081</v>
      </c>
      <c r="B547" s="5" t="s">
        <v>704</v>
      </c>
      <c r="C547" s="17">
        <v>20230101</v>
      </c>
      <c r="D547" s="17">
        <v>22991231</v>
      </c>
      <c r="E547" s="25">
        <v>652.27</v>
      </c>
    </row>
    <row r="548" spans="1:5" ht="39" x14ac:dyDescent="0.3">
      <c r="A548" s="17" t="str">
        <f>"19082"</f>
        <v>19082</v>
      </c>
      <c r="B548" s="5" t="s">
        <v>705</v>
      </c>
      <c r="C548" s="17">
        <v>20230101</v>
      </c>
      <c r="D548" s="17">
        <v>22991231</v>
      </c>
      <c r="E548" s="25">
        <v>0</v>
      </c>
    </row>
    <row r="549" spans="1:5" ht="26" x14ac:dyDescent="0.3">
      <c r="A549" s="17" t="str">
        <f>"19083"</f>
        <v>19083</v>
      </c>
      <c r="B549" s="5" t="s">
        <v>706</v>
      </c>
      <c r="C549" s="17">
        <v>20230101</v>
      </c>
      <c r="D549" s="17">
        <v>22991231</v>
      </c>
      <c r="E549" s="25">
        <v>652.27</v>
      </c>
    </row>
    <row r="550" spans="1:5" ht="26" x14ac:dyDescent="0.3">
      <c r="A550" s="17" t="str">
        <f>"19084"</f>
        <v>19084</v>
      </c>
      <c r="B550" s="5" t="s">
        <v>707</v>
      </c>
      <c r="C550" s="17">
        <v>20230101</v>
      </c>
      <c r="D550" s="17">
        <v>22991231</v>
      </c>
      <c r="E550" s="25">
        <v>0</v>
      </c>
    </row>
    <row r="551" spans="1:5" ht="26" x14ac:dyDescent="0.3">
      <c r="A551" s="17" t="str">
        <f>"19085"</f>
        <v>19085</v>
      </c>
      <c r="B551" s="5" t="s">
        <v>708</v>
      </c>
      <c r="C551" s="17">
        <v>20230101</v>
      </c>
      <c r="D551" s="17">
        <v>22991231</v>
      </c>
      <c r="E551" s="25">
        <v>652.27</v>
      </c>
    </row>
    <row r="552" spans="1:5" ht="26" x14ac:dyDescent="0.3">
      <c r="A552" s="17" t="str">
        <f>"19086"</f>
        <v>19086</v>
      </c>
      <c r="B552" s="5" t="s">
        <v>709</v>
      </c>
      <c r="C552" s="17">
        <v>20230101</v>
      </c>
      <c r="D552" s="17">
        <v>22991231</v>
      </c>
      <c r="E552" s="25">
        <v>0</v>
      </c>
    </row>
    <row r="553" spans="1:5" x14ac:dyDescent="0.3">
      <c r="A553" s="17" t="str">
        <f>"19100"</f>
        <v>19100</v>
      </c>
      <c r="B553" s="5" t="s">
        <v>710</v>
      </c>
      <c r="C553" s="17">
        <v>19900101</v>
      </c>
      <c r="D553" s="17">
        <v>22991231</v>
      </c>
      <c r="E553" s="25">
        <v>652.27</v>
      </c>
    </row>
    <row r="554" spans="1:5" x14ac:dyDescent="0.3">
      <c r="A554" s="17" t="str">
        <f>"19101"</f>
        <v>19101</v>
      </c>
      <c r="B554" s="5" t="s">
        <v>711</v>
      </c>
      <c r="C554" s="17">
        <v>19900101</v>
      </c>
      <c r="D554" s="17">
        <v>22991231</v>
      </c>
      <c r="E554" s="25">
        <v>1403.55</v>
      </c>
    </row>
    <row r="555" spans="1:5" ht="26" x14ac:dyDescent="0.3">
      <c r="A555" s="17" t="str">
        <f>"19105"</f>
        <v>19105</v>
      </c>
      <c r="B555" s="5" t="s">
        <v>712</v>
      </c>
      <c r="C555" s="17">
        <v>20230101</v>
      </c>
      <c r="D555" s="17">
        <v>22991231</v>
      </c>
      <c r="E555" s="25">
        <v>2003.35</v>
      </c>
    </row>
    <row r="556" spans="1:5" x14ac:dyDescent="0.3">
      <c r="A556" s="17" t="str">
        <f>"19110"</f>
        <v>19110</v>
      </c>
      <c r="B556" s="5" t="s">
        <v>713</v>
      </c>
      <c r="C556" s="17">
        <v>19900101</v>
      </c>
      <c r="D556" s="17">
        <v>22991231</v>
      </c>
      <c r="E556" s="25">
        <v>1403.55</v>
      </c>
    </row>
    <row r="557" spans="1:5" x14ac:dyDescent="0.3">
      <c r="A557" s="17" t="str">
        <f>"19112"</f>
        <v>19112</v>
      </c>
      <c r="B557" s="5" t="s">
        <v>714</v>
      </c>
      <c r="C557" s="17">
        <v>19900101</v>
      </c>
      <c r="D557" s="17">
        <v>22991231</v>
      </c>
      <c r="E557" s="25">
        <v>1403.55</v>
      </c>
    </row>
    <row r="558" spans="1:5" ht="26" x14ac:dyDescent="0.3">
      <c r="A558" s="17" t="str">
        <f>"19120"</f>
        <v>19120</v>
      </c>
      <c r="B558" s="5" t="s">
        <v>715</v>
      </c>
      <c r="C558" s="17">
        <v>19900101</v>
      </c>
      <c r="D558" s="17">
        <v>22991231</v>
      </c>
      <c r="E558" s="25">
        <v>1403.55</v>
      </c>
    </row>
    <row r="559" spans="1:5" ht="26" x14ac:dyDescent="0.3">
      <c r="A559" s="17" t="str">
        <f>"19125"</f>
        <v>19125</v>
      </c>
      <c r="B559" s="5" t="s">
        <v>716</v>
      </c>
      <c r="C559" s="17">
        <v>19940101</v>
      </c>
      <c r="D559" s="17">
        <v>22991231</v>
      </c>
      <c r="E559" s="25">
        <v>1403.55</v>
      </c>
    </row>
    <row r="560" spans="1:5" ht="26" x14ac:dyDescent="0.3">
      <c r="A560" s="17" t="str">
        <f>"19126"</f>
        <v>19126</v>
      </c>
      <c r="B560" s="5" t="s">
        <v>717</v>
      </c>
      <c r="C560" s="17">
        <v>19940101</v>
      </c>
      <c r="D560" s="17">
        <v>22991231</v>
      </c>
      <c r="E560" s="25">
        <v>0</v>
      </c>
    </row>
    <row r="561" spans="1:5" ht="26" x14ac:dyDescent="0.3">
      <c r="A561" s="17" t="str">
        <f>"19281"</f>
        <v>19281</v>
      </c>
      <c r="B561" s="5" t="s">
        <v>718</v>
      </c>
      <c r="C561" s="17">
        <v>20230101</v>
      </c>
      <c r="D561" s="17">
        <v>22991231</v>
      </c>
      <c r="E561" s="25">
        <v>0</v>
      </c>
    </row>
    <row r="562" spans="1:5" ht="26" x14ac:dyDescent="0.3">
      <c r="A562" s="17" t="str">
        <f>"19282"</f>
        <v>19282</v>
      </c>
      <c r="B562" s="5" t="s">
        <v>719</v>
      </c>
      <c r="C562" s="17">
        <v>20230101</v>
      </c>
      <c r="D562" s="17">
        <v>22991231</v>
      </c>
      <c r="E562" s="25">
        <v>0</v>
      </c>
    </row>
    <row r="563" spans="1:5" ht="26" x14ac:dyDescent="0.3">
      <c r="A563" s="17" t="str">
        <f>"19283"</f>
        <v>19283</v>
      </c>
      <c r="B563" s="5" t="s">
        <v>720</v>
      </c>
      <c r="C563" s="17">
        <v>20230101</v>
      </c>
      <c r="D563" s="17">
        <v>22991231</v>
      </c>
      <c r="E563" s="25">
        <v>0</v>
      </c>
    </row>
    <row r="564" spans="1:5" ht="26" x14ac:dyDescent="0.3">
      <c r="A564" s="17" t="str">
        <f>"19284"</f>
        <v>19284</v>
      </c>
      <c r="B564" s="5" t="s">
        <v>721</v>
      </c>
      <c r="C564" s="17">
        <v>20230101</v>
      </c>
      <c r="D564" s="17">
        <v>22991231</v>
      </c>
      <c r="E564" s="25">
        <v>0</v>
      </c>
    </row>
    <row r="565" spans="1:5" ht="26" x14ac:dyDescent="0.3">
      <c r="A565" s="17" t="str">
        <f>"19285"</f>
        <v>19285</v>
      </c>
      <c r="B565" s="5" t="s">
        <v>722</v>
      </c>
      <c r="C565" s="17">
        <v>20230101</v>
      </c>
      <c r="D565" s="17">
        <v>22991231</v>
      </c>
      <c r="E565" s="25">
        <v>0</v>
      </c>
    </row>
    <row r="566" spans="1:5" ht="26" x14ac:dyDescent="0.3">
      <c r="A566" s="17" t="str">
        <f>"19286"</f>
        <v>19286</v>
      </c>
      <c r="B566" s="5" t="s">
        <v>723</v>
      </c>
      <c r="C566" s="17">
        <v>20230101</v>
      </c>
      <c r="D566" s="17">
        <v>22991231</v>
      </c>
      <c r="E566" s="25">
        <v>0</v>
      </c>
    </row>
    <row r="567" spans="1:5" ht="26" x14ac:dyDescent="0.3">
      <c r="A567" s="17" t="str">
        <f>"19287"</f>
        <v>19287</v>
      </c>
      <c r="B567" s="5" t="s">
        <v>724</v>
      </c>
      <c r="C567" s="17">
        <v>20230101</v>
      </c>
      <c r="D567" s="17">
        <v>22991231</v>
      </c>
      <c r="E567" s="25">
        <v>0</v>
      </c>
    </row>
    <row r="568" spans="1:5" ht="26" x14ac:dyDescent="0.3">
      <c r="A568" s="17" t="str">
        <f>"19288"</f>
        <v>19288</v>
      </c>
      <c r="B568" s="5" t="s">
        <v>725</v>
      </c>
      <c r="C568" s="17">
        <v>20230101</v>
      </c>
      <c r="D568" s="17">
        <v>22991231</v>
      </c>
      <c r="E568" s="25">
        <v>0</v>
      </c>
    </row>
    <row r="569" spans="1:5" ht="39" x14ac:dyDescent="0.3">
      <c r="A569" s="17" t="str">
        <f>"19294"</f>
        <v>19294</v>
      </c>
      <c r="B569" s="5" t="s">
        <v>726</v>
      </c>
      <c r="C569" s="17">
        <v>20180101</v>
      </c>
      <c r="D569" s="17">
        <v>22991231</v>
      </c>
      <c r="E569" s="25">
        <v>0</v>
      </c>
    </row>
    <row r="570" spans="1:5" ht="26" x14ac:dyDescent="0.3">
      <c r="A570" s="17" t="str">
        <f>"19296"</f>
        <v>19296</v>
      </c>
      <c r="B570" s="5" t="s">
        <v>727</v>
      </c>
      <c r="C570" s="17">
        <v>20230101</v>
      </c>
      <c r="D570" s="17">
        <v>22991231</v>
      </c>
      <c r="E570" s="25">
        <v>4175.6000000000004</v>
      </c>
    </row>
    <row r="571" spans="1:5" ht="39" x14ac:dyDescent="0.3">
      <c r="A571" s="17" t="str">
        <f>"19297"</f>
        <v>19297</v>
      </c>
      <c r="B571" s="5" t="s">
        <v>728</v>
      </c>
      <c r="C571" s="17">
        <v>20230101</v>
      </c>
      <c r="D571" s="17">
        <v>22991231</v>
      </c>
      <c r="E571" s="25">
        <v>0</v>
      </c>
    </row>
    <row r="572" spans="1:5" ht="39" x14ac:dyDescent="0.3">
      <c r="A572" s="17" t="str">
        <f>"19298"</f>
        <v>19298</v>
      </c>
      <c r="B572" s="5" t="s">
        <v>729</v>
      </c>
      <c r="C572" s="17">
        <v>20230101</v>
      </c>
      <c r="D572" s="17">
        <v>22991231</v>
      </c>
      <c r="E572" s="25">
        <v>3967.69</v>
      </c>
    </row>
    <row r="573" spans="1:5" x14ac:dyDescent="0.3">
      <c r="A573" s="17" t="str">
        <f>"19300"</f>
        <v>19300</v>
      </c>
      <c r="B573" s="5" t="s">
        <v>730</v>
      </c>
      <c r="C573" s="17">
        <v>20070101</v>
      </c>
      <c r="D573" s="17">
        <v>22991231</v>
      </c>
      <c r="E573" s="25">
        <v>1403.55</v>
      </c>
    </row>
    <row r="574" spans="1:5" x14ac:dyDescent="0.3">
      <c r="A574" s="17" t="str">
        <f>"19301"</f>
        <v>19301</v>
      </c>
      <c r="B574" s="5" t="s">
        <v>731</v>
      </c>
      <c r="C574" s="17">
        <v>20070101</v>
      </c>
      <c r="D574" s="17">
        <v>22991231</v>
      </c>
      <c r="E574" s="25">
        <v>1403.55</v>
      </c>
    </row>
    <row r="575" spans="1:5" ht="26" x14ac:dyDescent="0.3">
      <c r="A575" s="17" t="str">
        <f>"19302"</f>
        <v>19302</v>
      </c>
      <c r="B575" s="5" t="s">
        <v>732</v>
      </c>
      <c r="C575" s="17">
        <v>20070101</v>
      </c>
      <c r="D575" s="17">
        <v>22991231</v>
      </c>
      <c r="E575" s="25">
        <v>2422.23</v>
      </c>
    </row>
    <row r="576" spans="1:5" x14ac:dyDescent="0.3">
      <c r="A576" s="17" t="str">
        <f>"19303"</f>
        <v>19303</v>
      </c>
      <c r="B576" s="5" t="s">
        <v>733</v>
      </c>
      <c r="C576" s="17">
        <v>20070101</v>
      </c>
      <c r="D576" s="17">
        <v>22991231</v>
      </c>
      <c r="E576" s="25">
        <v>2422.23</v>
      </c>
    </row>
    <row r="577" spans="1:5" x14ac:dyDescent="0.3">
      <c r="A577" s="17" t="str">
        <f>"19307"</f>
        <v>19307</v>
      </c>
      <c r="B577" s="5" t="s">
        <v>734</v>
      </c>
      <c r="C577" s="17">
        <v>20230101</v>
      </c>
      <c r="D577" s="17">
        <v>22991231</v>
      </c>
      <c r="E577" s="25">
        <v>2422.23</v>
      </c>
    </row>
    <row r="578" spans="1:5" x14ac:dyDescent="0.3">
      <c r="A578" s="17" t="str">
        <f>"19316"</f>
        <v>19316</v>
      </c>
      <c r="B578" s="5" t="s">
        <v>735</v>
      </c>
      <c r="C578" s="17">
        <v>19900101</v>
      </c>
      <c r="D578" s="17">
        <v>22991231</v>
      </c>
      <c r="E578" s="25">
        <v>2422.23</v>
      </c>
    </row>
    <row r="579" spans="1:5" x14ac:dyDescent="0.3">
      <c r="A579" s="17" t="str">
        <f>"19318"</f>
        <v>19318</v>
      </c>
      <c r="B579" s="5" t="s">
        <v>736</v>
      </c>
      <c r="C579" s="17">
        <v>19900101</v>
      </c>
      <c r="D579" s="17">
        <v>22991231</v>
      </c>
      <c r="E579" s="25">
        <v>2422.23</v>
      </c>
    </row>
    <row r="580" spans="1:5" x14ac:dyDescent="0.3">
      <c r="A580" s="17" t="str">
        <f>"19325"</f>
        <v>19325</v>
      </c>
      <c r="B580" s="5" t="s">
        <v>737</v>
      </c>
      <c r="C580" s="17">
        <v>19900101</v>
      </c>
      <c r="D580" s="17">
        <v>22991231</v>
      </c>
      <c r="E580" s="25">
        <v>2870.26</v>
      </c>
    </row>
    <row r="581" spans="1:5" x14ac:dyDescent="0.3">
      <c r="A581" s="17" t="str">
        <f>"19328"</f>
        <v>19328</v>
      </c>
      <c r="B581" s="5" t="s">
        <v>738</v>
      </c>
      <c r="C581" s="17">
        <v>19900101</v>
      </c>
      <c r="D581" s="17">
        <v>22991231</v>
      </c>
      <c r="E581" s="25">
        <v>1403.55</v>
      </c>
    </row>
    <row r="582" spans="1:5" ht="26" x14ac:dyDescent="0.3">
      <c r="A582" s="17" t="str">
        <f>"19330"</f>
        <v>19330</v>
      </c>
      <c r="B582" s="5" t="s">
        <v>739</v>
      </c>
      <c r="C582" s="17">
        <v>19900101</v>
      </c>
      <c r="D582" s="17">
        <v>22991231</v>
      </c>
      <c r="E582" s="25">
        <v>1403.55</v>
      </c>
    </row>
    <row r="583" spans="1:5" ht="26" x14ac:dyDescent="0.3">
      <c r="A583" s="17" t="str">
        <f>"19340"</f>
        <v>19340</v>
      </c>
      <c r="B583" s="5" t="s">
        <v>740</v>
      </c>
      <c r="C583" s="17">
        <v>19900101</v>
      </c>
      <c r="D583" s="17">
        <v>22991231</v>
      </c>
      <c r="E583" s="25">
        <v>3077.71</v>
      </c>
    </row>
    <row r="584" spans="1:5" ht="26" x14ac:dyDescent="0.3">
      <c r="A584" s="17" t="str">
        <f>"19342"</f>
        <v>19342</v>
      </c>
      <c r="B584" s="5" t="s">
        <v>741</v>
      </c>
      <c r="C584" s="17">
        <v>19900101</v>
      </c>
      <c r="D584" s="17">
        <v>22991231</v>
      </c>
      <c r="E584" s="25">
        <v>2870.26</v>
      </c>
    </row>
    <row r="585" spans="1:5" x14ac:dyDescent="0.3">
      <c r="A585" s="17" t="str">
        <f>"19350"</f>
        <v>19350</v>
      </c>
      <c r="B585" s="5" t="s">
        <v>742</v>
      </c>
      <c r="C585" s="17">
        <v>19900101</v>
      </c>
      <c r="D585" s="17">
        <v>22991231</v>
      </c>
      <c r="E585" s="25">
        <v>1403.55</v>
      </c>
    </row>
    <row r="586" spans="1:5" x14ac:dyDescent="0.3">
      <c r="A586" s="17" t="str">
        <f>"19355"</f>
        <v>19355</v>
      </c>
      <c r="B586" s="5" t="s">
        <v>743</v>
      </c>
      <c r="C586" s="17">
        <v>20030401</v>
      </c>
      <c r="D586" s="17">
        <v>22991231</v>
      </c>
      <c r="E586" s="25">
        <v>1403.55</v>
      </c>
    </row>
    <row r="587" spans="1:5" x14ac:dyDescent="0.3">
      <c r="A587" s="17" t="str">
        <f>"19357"</f>
        <v>19357</v>
      </c>
      <c r="B587" s="5" t="s">
        <v>744</v>
      </c>
      <c r="C587" s="17">
        <v>19920115</v>
      </c>
      <c r="D587" s="17">
        <v>22991231</v>
      </c>
      <c r="E587" s="25">
        <v>5164.57</v>
      </c>
    </row>
    <row r="588" spans="1:5" x14ac:dyDescent="0.3">
      <c r="A588" s="17" t="str">
        <f>"19370"</f>
        <v>19370</v>
      </c>
      <c r="B588" s="5" t="s">
        <v>745</v>
      </c>
      <c r="C588" s="17">
        <v>19900101</v>
      </c>
      <c r="D588" s="17">
        <v>22991231</v>
      </c>
      <c r="E588" s="25">
        <v>1403.55</v>
      </c>
    </row>
    <row r="589" spans="1:5" x14ac:dyDescent="0.3">
      <c r="A589" s="17" t="str">
        <f>"19371"</f>
        <v>19371</v>
      </c>
      <c r="B589" s="5" t="s">
        <v>746</v>
      </c>
      <c r="C589" s="17">
        <v>19970801</v>
      </c>
      <c r="D589" s="17">
        <v>22991231</v>
      </c>
      <c r="E589" s="25">
        <v>1403.55</v>
      </c>
    </row>
    <row r="590" spans="1:5" x14ac:dyDescent="0.3">
      <c r="A590" s="17" t="str">
        <f>"19380"</f>
        <v>19380</v>
      </c>
      <c r="B590" s="5" t="s">
        <v>747</v>
      </c>
      <c r="C590" s="17">
        <v>19900101</v>
      </c>
      <c r="D590" s="17">
        <v>22991231</v>
      </c>
      <c r="E590" s="25">
        <v>2422.23</v>
      </c>
    </row>
    <row r="591" spans="1:5" x14ac:dyDescent="0.3">
      <c r="A591" s="17" t="str">
        <f>"19396"</f>
        <v>19396</v>
      </c>
      <c r="B591" s="5" t="s">
        <v>748</v>
      </c>
      <c r="C591" s="17">
        <v>19900101</v>
      </c>
      <c r="D591" s="17">
        <v>22991231</v>
      </c>
      <c r="E591" s="25">
        <v>1403.55</v>
      </c>
    </row>
    <row r="592" spans="1:5" x14ac:dyDescent="0.3">
      <c r="A592" s="17" t="str">
        <f>"19499"</f>
        <v>19499</v>
      </c>
      <c r="B592" s="5" t="s">
        <v>749</v>
      </c>
      <c r="C592" s="17">
        <v>19900101</v>
      </c>
      <c r="D592" s="17">
        <v>22991231</v>
      </c>
      <c r="E592" s="24" t="s">
        <v>7128</v>
      </c>
    </row>
    <row r="593" spans="1:5" x14ac:dyDescent="0.3">
      <c r="A593" s="17" t="str">
        <f>"20100"</f>
        <v>20100</v>
      </c>
      <c r="B593" s="5" t="s">
        <v>750</v>
      </c>
      <c r="C593" s="17">
        <v>19960101</v>
      </c>
      <c r="D593" s="17">
        <v>22991231</v>
      </c>
      <c r="E593" s="24" t="s">
        <v>7128</v>
      </c>
    </row>
    <row r="594" spans="1:5" x14ac:dyDescent="0.3">
      <c r="A594" s="17" t="str">
        <f>"20101"</f>
        <v>20101</v>
      </c>
      <c r="B594" s="5" t="s">
        <v>751</v>
      </c>
      <c r="C594" s="17">
        <v>19960101</v>
      </c>
      <c r="D594" s="17">
        <v>22991231</v>
      </c>
      <c r="E594" s="24" t="s">
        <v>7128</v>
      </c>
    </row>
    <row r="595" spans="1:5" ht="26" x14ac:dyDescent="0.3">
      <c r="A595" s="17" t="str">
        <f>"20102"</f>
        <v>20102</v>
      </c>
      <c r="B595" s="5" t="s">
        <v>752</v>
      </c>
      <c r="C595" s="17">
        <v>19960101</v>
      </c>
      <c r="D595" s="17">
        <v>22991231</v>
      </c>
      <c r="E595" s="24" t="s">
        <v>7128</v>
      </c>
    </row>
    <row r="596" spans="1:5" x14ac:dyDescent="0.3">
      <c r="A596" s="17" t="str">
        <f>"20103"</f>
        <v>20103</v>
      </c>
      <c r="B596" s="5" t="s">
        <v>753</v>
      </c>
      <c r="C596" s="17">
        <v>19960101</v>
      </c>
      <c r="D596" s="17">
        <v>22991231</v>
      </c>
      <c r="E596" s="25">
        <v>652.27</v>
      </c>
    </row>
    <row r="597" spans="1:5" x14ac:dyDescent="0.3">
      <c r="A597" s="17" t="str">
        <f>"20150"</f>
        <v>20150</v>
      </c>
      <c r="B597" s="5" t="s">
        <v>754</v>
      </c>
      <c r="C597" s="17">
        <v>19970101</v>
      </c>
      <c r="D597" s="17">
        <v>22991231</v>
      </c>
      <c r="E597" s="25">
        <v>1450.8</v>
      </c>
    </row>
    <row r="598" spans="1:5" x14ac:dyDescent="0.3">
      <c r="A598" s="17" t="str">
        <f>"20200"</f>
        <v>20200</v>
      </c>
      <c r="B598" s="5" t="s">
        <v>755</v>
      </c>
      <c r="C598" s="17">
        <v>19900101</v>
      </c>
      <c r="D598" s="17">
        <v>22991231</v>
      </c>
      <c r="E598" s="25">
        <v>652.27</v>
      </c>
    </row>
    <row r="599" spans="1:5" x14ac:dyDescent="0.3">
      <c r="A599" s="17" t="str">
        <f>"20205"</f>
        <v>20205</v>
      </c>
      <c r="B599" s="5" t="s">
        <v>756</v>
      </c>
      <c r="C599" s="17">
        <v>19900101</v>
      </c>
      <c r="D599" s="17">
        <v>22991231</v>
      </c>
      <c r="E599" s="25">
        <v>1105.24</v>
      </c>
    </row>
    <row r="600" spans="1:5" x14ac:dyDescent="0.3">
      <c r="A600" s="17" t="str">
        <f>"20206"</f>
        <v>20206</v>
      </c>
      <c r="B600" s="5" t="s">
        <v>757</v>
      </c>
      <c r="C600" s="17">
        <v>20230101</v>
      </c>
      <c r="D600" s="17">
        <v>22991231</v>
      </c>
      <c r="E600" s="25">
        <v>652.27</v>
      </c>
    </row>
    <row r="601" spans="1:5" x14ac:dyDescent="0.3">
      <c r="A601" s="17" t="str">
        <f>"20220"</f>
        <v>20220</v>
      </c>
      <c r="B601" s="5" t="s">
        <v>758</v>
      </c>
      <c r="C601" s="17">
        <v>19900101</v>
      </c>
      <c r="D601" s="17">
        <v>22991231</v>
      </c>
      <c r="E601" s="25">
        <v>652.27</v>
      </c>
    </row>
    <row r="602" spans="1:5" x14ac:dyDescent="0.3">
      <c r="A602" s="17" t="str">
        <f>"20225"</f>
        <v>20225</v>
      </c>
      <c r="B602" s="5" t="s">
        <v>759</v>
      </c>
      <c r="C602" s="17">
        <v>19900101</v>
      </c>
      <c r="D602" s="17">
        <v>22991231</v>
      </c>
      <c r="E602" s="25">
        <v>652.27</v>
      </c>
    </row>
    <row r="603" spans="1:5" x14ac:dyDescent="0.3">
      <c r="A603" s="17" t="str">
        <f>"20240"</f>
        <v>20240</v>
      </c>
      <c r="B603" s="5" t="s">
        <v>760</v>
      </c>
      <c r="C603" s="17">
        <v>19900101</v>
      </c>
      <c r="D603" s="17">
        <v>22991231</v>
      </c>
      <c r="E603" s="25">
        <v>1105.24</v>
      </c>
    </row>
    <row r="604" spans="1:5" x14ac:dyDescent="0.3">
      <c r="A604" s="17" t="str">
        <f>"20245"</f>
        <v>20245</v>
      </c>
      <c r="B604" s="5" t="s">
        <v>761</v>
      </c>
      <c r="C604" s="17">
        <v>19900101</v>
      </c>
      <c r="D604" s="17">
        <v>22991231</v>
      </c>
      <c r="E604" s="25">
        <v>1105.24</v>
      </c>
    </row>
    <row r="605" spans="1:5" x14ac:dyDescent="0.3">
      <c r="A605" s="17" t="str">
        <f>"20250"</f>
        <v>20250</v>
      </c>
      <c r="B605" s="5" t="s">
        <v>762</v>
      </c>
      <c r="C605" s="17">
        <v>19900101</v>
      </c>
      <c r="D605" s="17">
        <v>22991231</v>
      </c>
      <c r="E605" s="25">
        <v>1450.8</v>
      </c>
    </row>
    <row r="606" spans="1:5" x14ac:dyDescent="0.3">
      <c r="A606" s="17" t="str">
        <f>"20251"</f>
        <v>20251</v>
      </c>
      <c r="B606" s="5" t="s">
        <v>763</v>
      </c>
      <c r="C606" s="17">
        <v>19900101</v>
      </c>
      <c r="D606" s="17">
        <v>22991231</v>
      </c>
      <c r="E606" s="25">
        <v>3240.75</v>
      </c>
    </row>
    <row r="607" spans="1:5" ht="26" x14ac:dyDescent="0.3">
      <c r="A607" s="17" t="str">
        <f>"20500"</f>
        <v>20500</v>
      </c>
      <c r="B607" s="5" t="s">
        <v>764</v>
      </c>
      <c r="C607" s="17">
        <v>20230101</v>
      </c>
      <c r="D607" s="17">
        <v>22991231</v>
      </c>
      <c r="E607" s="25">
        <v>71.930000000000007</v>
      </c>
    </row>
    <row r="608" spans="1:5" ht="26" x14ac:dyDescent="0.3">
      <c r="A608" s="17" t="str">
        <f>"20501"</f>
        <v>20501</v>
      </c>
      <c r="B608" s="5" t="s">
        <v>765</v>
      </c>
      <c r="C608" s="17">
        <v>19900101</v>
      </c>
      <c r="D608" s="17">
        <v>22991231</v>
      </c>
      <c r="E608" s="25">
        <v>0</v>
      </c>
    </row>
    <row r="609" spans="1:5" x14ac:dyDescent="0.3">
      <c r="A609" s="17" t="str">
        <f>"20520"</f>
        <v>20520</v>
      </c>
      <c r="B609" s="5" t="s">
        <v>766</v>
      </c>
      <c r="C609" s="17">
        <v>19900101</v>
      </c>
      <c r="D609" s="17">
        <v>22991231</v>
      </c>
      <c r="E609" s="25">
        <v>137.30000000000001</v>
      </c>
    </row>
    <row r="610" spans="1:5" ht="26" x14ac:dyDescent="0.3">
      <c r="A610" s="17" t="str">
        <f>"20525"</f>
        <v>20525</v>
      </c>
      <c r="B610" s="5" t="s">
        <v>767</v>
      </c>
      <c r="C610" s="17">
        <v>19900101</v>
      </c>
      <c r="D610" s="17">
        <v>22991231</v>
      </c>
      <c r="E610" s="25">
        <v>1105.24</v>
      </c>
    </row>
    <row r="611" spans="1:5" x14ac:dyDescent="0.3">
      <c r="A611" s="17" t="str">
        <f>"20526"</f>
        <v>20526</v>
      </c>
      <c r="B611" s="5" t="s">
        <v>768</v>
      </c>
      <c r="C611" s="17">
        <v>20030101</v>
      </c>
      <c r="D611" s="17">
        <v>22991231</v>
      </c>
      <c r="E611" s="25">
        <v>42.85</v>
      </c>
    </row>
    <row r="612" spans="1:5" x14ac:dyDescent="0.3">
      <c r="A612" s="17" t="str">
        <f>"20527"</f>
        <v>20527</v>
      </c>
      <c r="B612" s="5" t="s">
        <v>769</v>
      </c>
      <c r="C612" s="17">
        <v>20120101</v>
      </c>
      <c r="D612" s="17">
        <v>22991231</v>
      </c>
      <c r="E612" s="25">
        <v>45.35</v>
      </c>
    </row>
    <row r="613" spans="1:5" x14ac:dyDescent="0.3">
      <c r="A613" s="17" t="str">
        <f>"20550"</f>
        <v>20550</v>
      </c>
      <c r="B613" s="5" t="s">
        <v>770</v>
      </c>
      <c r="C613" s="17">
        <v>19900101</v>
      </c>
      <c r="D613" s="17">
        <v>22991231</v>
      </c>
      <c r="E613" s="25">
        <v>27.83</v>
      </c>
    </row>
    <row r="614" spans="1:5" ht="26" x14ac:dyDescent="0.3">
      <c r="A614" s="17" t="str">
        <f>"20551"</f>
        <v>20551</v>
      </c>
      <c r="B614" s="5" t="s">
        <v>771</v>
      </c>
      <c r="C614" s="17">
        <v>20230101</v>
      </c>
      <c r="D614" s="17">
        <v>22991231</v>
      </c>
      <c r="E614" s="25">
        <v>27.83</v>
      </c>
    </row>
    <row r="615" spans="1:5" x14ac:dyDescent="0.3">
      <c r="A615" s="17" t="str">
        <f>"20552"</f>
        <v>20552</v>
      </c>
      <c r="B615" s="5" t="s">
        <v>772</v>
      </c>
      <c r="C615" s="17">
        <v>20030401</v>
      </c>
      <c r="D615" s="17">
        <v>22991231</v>
      </c>
      <c r="E615" s="25">
        <v>26.28</v>
      </c>
    </row>
    <row r="616" spans="1:5" x14ac:dyDescent="0.3">
      <c r="A616" s="17" t="str">
        <f>"20553"</f>
        <v>20553</v>
      </c>
      <c r="B616" s="5" t="s">
        <v>773</v>
      </c>
      <c r="C616" s="17">
        <v>20230101</v>
      </c>
      <c r="D616" s="17">
        <v>22991231</v>
      </c>
      <c r="E616" s="25">
        <v>30.65</v>
      </c>
    </row>
    <row r="617" spans="1:5" ht="26" x14ac:dyDescent="0.3">
      <c r="A617" s="17" t="str">
        <f>"20555"</f>
        <v>20555</v>
      </c>
      <c r="B617" s="5" t="s">
        <v>774</v>
      </c>
      <c r="C617" s="17">
        <v>20080101</v>
      </c>
      <c r="D617" s="17">
        <v>22991231</v>
      </c>
      <c r="E617" s="25">
        <v>1450.8</v>
      </c>
    </row>
    <row r="618" spans="1:5" x14ac:dyDescent="0.3">
      <c r="A618" s="17" t="str">
        <f>"20560"</f>
        <v>20560</v>
      </c>
      <c r="B618" s="5" t="s">
        <v>775</v>
      </c>
      <c r="C618" s="17">
        <v>20200101</v>
      </c>
      <c r="D618" s="17">
        <v>22991231</v>
      </c>
      <c r="E618" s="24" t="s">
        <v>7128</v>
      </c>
    </row>
    <row r="619" spans="1:5" x14ac:dyDescent="0.3">
      <c r="A619" s="17" t="str">
        <f>"20561"</f>
        <v>20561</v>
      </c>
      <c r="B619" s="5" t="s">
        <v>776</v>
      </c>
      <c r="C619" s="17">
        <v>20200101</v>
      </c>
      <c r="D619" s="17">
        <v>22991231</v>
      </c>
      <c r="E619" s="24" t="s">
        <v>7128</v>
      </c>
    </row>
    <row r="620" spans="1:5" ht="26" x14ac:dyDescent="0.3">
      <c r="A620" s="17" t="str">
        <f>"20600"</f>
        <v>20600</v>
      </c>
      <c r="B620" s="5" t="s">
        <v>777</v>
      </c>
      <c r="C620" s="17">
        <v>19900101</v>
      </c>
      <c r="D620" s="17">
        <v>22991231</v>
      </c>
      <c r="E620" s="25">
        <v>27.21</v>
      </c>
    </row>
    <row r="621" spans="1:5" ht="26" x14ac:dyDescent="0.3">
      <c r="A621" s="17" t="str">
        <f>"20604"</f>
        <v>20604</v>
      </c>
      <c r="B621" s="5" t="s">
        <v>778</v>
      </c>
      <c r="C621" s="17">
        <v>20230101</v>
      </c>
      <c r="D621" s="17">
        <v>22991231</v>
      </c>
      <c r="E621" s="25">
        <v>46.92</v>
      </c>
    </row>
    <row r="622" spans="1:5" ht="26" x14ac:dyDescent="0.3">
      <c r="A622" s="17" t="str">
        <f>"20605"</f>
        <v>20605</v>
      </c>
      <c r="B622" s="5" t="s">
        <v>779</v>
      </c>
      <c r="C622" s="17">
        <v>19900101</v>
      </c>
      <c r="D622" s="17">
        <v>22991231</v>
      </c>
      <c r="E622" s="25">
        <v>27.83</v>
      </c>
    </row>
    <row r="623" spans="1:5" ht="26" x14ac:dyDescent="0.3">
      <c r="A623" s="17" t="str">
        <f>"20606"</f>
        <v>20606</v>
      </c>
      <c r="B623" s="5" t="s">
        <v>780</v>
      </c>
      <c r="C623" s="17">
        <v>20230101</v>
      </c>
      <c r="D623" s="17">
        <v>22991231</v>
      </c>
      <c r="E623" s="25">
        <v>49.42</v>
      </c>
    </row>
    <row r="624" spans="1:5" ht="26" x14ac:dyDescent="0.3">
      <c r="A624" s="17" t="str">
        <f>"20610"</f>
        <v>20610</v>
      </c>
      <c r="B624" s="5" t="s">
        <v>781</v>
      </c>
      <c r="C624" s="17">
        <v>19900101</v>
      </c>
      <c r="D624" s="17">
        <v>22991231</v>
      </c>
      <c r="E624" s="25">
        <v>32.520000000000003</v>
      </c>
    </row>
    <row r="625" spans="1:5" ht="26" x14ac:dyDescent="0.3">
      <c r="A625" s="17" t="str">
        <f>"20611"</f>
        <v>20611</v>
      </c>
      <c r="B625" s="5" t="s">
        <v>782</v>
      </c>
      <c r="C625" s="17">
        <v>20230101</v>
      </c>
      <c r="D625" s="17">
        <v>22991231</v>
      </c>
      <c r="E625" s="25">
        <v>54.41</v>
      </c>
    </row>
    <row r="626" spans="1:5" x14ac:dyDescent="0.3">
      <c r="A626" s="17" t="str">
        <f>"20612"</f>
        <v>20612</v>
      </c>
      <c r="B626" s="5" t="s">
        <v>783</v>
      </c>
      <c r="C626" s="17">
        <v>20230101</v>
      </c>
      <c r="D626" s="17">
        <v>22991231</v>
      </c>
      <c r="E626" s="25">
        <v>36.28</v>
      </c>
    </row>
    <row r="627" spans="1:5" x14ac:dyDescent="0.3">
      <c r="A627" s="17" t="str">
        <f>"20615"</f>
        <v>20615</v>
      </c>
      <c r="B627" s="5" t="s">
        <v>784</v>
      </c>
      <c r="C627" s="17">
        <v>19900101</v>
      </c>
      <c r="D627" s="17">
        <v>22991231</v>
      </c>
      <c r="E627" s="25">
        <v>157.01</v>
      </c>
    </row>
    <row r="628" spans="1:5" x14ac:dyDescent="0.3">
      <c r="A628" s="17" t="str">
        <f>"20650"</f>
        <v>20650</v>
      </c>
      <c r="B628" s="5" t="s">
        <v>785</v>
      </c>
      <c r="C628" s="17">
        <v>19900101</v>
      </c>
      <c r="D628" s="17">
        <v>22991231</v>
      </c>
      <c r="E628" s="25">
        <v>1450.8</v>
      </c>
    </row>
    <row r="629" spans="1:5" x14ac:dyDescent="0.3">
      <c r="A629" s="17" t="str">
        <f>"20660"</f>
        <v>20660</v>
      </c>
      <c r="B629" s="5" t="s">
        <v>786</v>
      </c>
      <c r="C629" s="17">
        <v>19900101</v>
      </c>
      <c r="D629" s="17">
        <v>22991231</v>
      </c>
      <c r="E629" s="24" t="s">
        <v>7128</v>
      </c>
    </row>
    <row r="630" spans="1:5" ht="26" x14ac:dyDescent="0.3">
      <c r="A630" s="17" t="str">
        <f>"20662"</f>
        <v>20662</v>
      </c>
      <c r="B630" s="5" t="s">
        <v>787</v>
      </c>
      <c r="C630" s="17">
        <v>19900101</v>
      </c>
      <c r="D630" s="17">
        <v>22991231</v>
      </c>
      <c r="E630" s="25">
        <v>782.3</v>
      </c>
    </row>
    <row r="631" spans="1:5" x14ac:dyDescent="0.3">
      <c r="A631" s="17" t="str">
        <f>"20663"</f>
        <v>20663</v>
      </c>
      <c r="B631" s="5" t="s">
        <v>788</v>
      </c>
      <c r="C631" s="17">
        <v>19900101</v>
      </c>
      <c r="D631" s="17">
        <v>22991231</v>
      </c>
      <c r="E631" s="25">
        <v>1450.8</v>
      </c>
    </row>
    <row r="632" spans="1:5" ht="26" x14ac:dyDescent="0.3">
      <c r="A632" s="17" t="str">
        <f>"20665"</f>
        <v>20665</v>
      </c>
      <c r="B632" s="5" t="s">
        <v>789</v>
      </c>
      <c r="C632" s="17">
        <v>19900101</v>
      </c>
      <c r="D632" s="17">
        <v>22991231</v>
      </c>
      <c r="E632" s="25">
        <v>197.42</v>
      </c>
    </row>
    <row r="633" spans="1:5" x14ac:dyDescent="0.3">
      <c r="A633" s="17" t="str">
        <f>"20670"</f>
        <v>20670</v>
      </c>
      <c r="B633" s="5" t="s">
        <v>790</v>
      </c>
      <c r="C633" s="17">
        <v>19900101</v>
      </c>
      <c r="D633" s="17">
        <v>22991231</v>
      </c>
      <c r="E633" s="25">
        <v>652.27</v>
      </c>
    </row>
    <row r="634" spans="1:5" x14ac:dyDescent="0.3">
      <c r="A634" s="17" t="str">
        <f>"20680"</f>
        <v>20680</v>
      </c>
      <c r="B634" s="5" t="s">
        <v>791</v>
      </c>
      <c r="C634" s="17">
        <v>19900101</v>
      </c>
      <c r="D634" s="17">
        <v>22991231</v>
      </c>
      <c r="E634" s="25">
        <v>1105.24</v>
      </c>
    </row>
    <row r="635" spans="1:5" ht="26" x14ac:dyDescent="0.3">
      <c r="A635" s="17" t="str">
        <f>"20690"</f>
        <v>20690</v>
      </c>
      <c r="B635" s="5" t="s">
        <v>792</v>
      </c>
      <c r="C635" s="17">
        <v>19900101</v>
      </c>
      <c r="D635" s="17">
        <v>22991231</v>
      </c>
      <c r="E635" s="25">
        <v>4425.24</v>
      </c>
    </row>
    <row r="636" spans="1:5" ht="26" x14ac:dyDescent="0.3">
      <c r="A636" s="17" t="str">
        <f>"20692"</f>
        <v>20692</v>
      </c>
      <c r="B636" s="5" t="s">
        <v>793</v>
      </c>
      <c r="C636" s="17">
        <v>19910401</v>
      </c>
      <c r="D636" s="17">
        <v>22991231</v>
      </c>
      <c r="E636" s="25">
        <v>7819.46</v>
      </c>
    </row>
    <row r="637" spans="1:5" ht="26" x14ac:dyDescent="0.3">
      <c r="A637" s="17" t="str">
        <f>"20693"</f>
        <v>20693</v>
      </c>
      <c r="B637" s="5" t="s">
        <v>794</v>
      </c>
      <c r="C637" s="17">
        <v>19910401</v>
      </c>
      <c r="D637" s="17">
        <v>22991231</v>
      </c>
      <c r="E637" s="25">
        <v>3240.75</v>
      </c>
    </row>
    <row r="638" spans="1:5" ht="26" x14ac:dyDescent="0.3">
      <c r="A638" s="17" t="str">
        <f>"20694"</f>
        <v>20694</v>
      </c>
      <c r="B638" s="5" t="s">
        <v>795</v>
      </c>
      <c r="C638" s="17">
        <v>19910401</v>
      </c>
      <c r="D638" s="17">
        <v>22991231</v>
      </c>
      <c r="E638" s="25">
        <v>782.3</v>
      </c>
    </row>
    <row r="639" spans="1:5" ht="26" x14ac:dyDescent="0.3">
      <c r="A639" s="17" t="str">
        <f>"20696"</f>
        <v>20696</v>
      </c>
      <c r="B639" s="5" t="s">
        <v>796</v>
      </c>
      <c r="C639" s="17">
        <v>20090101</v>
      </c>
      <c r="D639" s="17">
        <v>22991231</v>
      </c>
      <c r="E639" s="25">
        <v>11421.22</v>
      </c>
    </row>
    <row r="640" spans="1:5" ht="39" x14ac:dyDescent="0.3">
      <c r="A640" s="17" t="str">
        <f>"20697"</f>
        <v>20697</v>
      </c>
      <c r="B640" s="5" t="s">
        <v>797</v>
      </c>
      <c r="C640" s="17">
        <v>20090101</v>
      </c>
      <c r="D640" s="17">
        <v>22991231</v>
      </c>
      <c r="E640" s="25">
        <v>782.3</v>
      </c>
    </row>
    <row r="641" spans="1:5" x14ac:dyDescent="0.3">
      <c r="A641" s="17" t="str">
        <f>"20700"</f>
        <v>20700</v>
      </c>
      <c r="B641" s="5" t="s">
        <v>798</v>
      </c>
      <c r="C641" s="17">
        <v>20200101</v>
      </c>
      <c r="D641" s="17">
        <v>22991231</v>
      </c>
      <c r="E641" s="25">
        <v>0</v>
      </c>
    </row>
    <row r="642" spans="1:5" ht="26" x14ac:dyDescent="0.3">
      <c r="A642" s="17" t="str">
        <f>"20701"</f>
        <v>20701</v>
      </c>
      <c r="B642" s="5" t="s">
        <v>799</v>
      </c>
      <c r="C642" s="17">
        <v>20200101</v>
      </c>
      <c r="D642" s="17">
        <v>22991231</v>
      </c>
      <c r="E642" s="24" t="s">
        <v>7128</v>
      </c>
    </row>
    <row r="643" spans="1:5" x14ac:dyDescent="0.3">
      <c r="A643" s="17" t="str">
        <f>"20702"</f>
        <v>20702</v>
      </c>
      <c r="B643" s="5" t="s">
        <v>800</v>
      </c>
      <c r="C643" s="17">
        <v>20200101</v>
      </c>
      <c r="D643" s="17">
        <v>22991231</v>
      </c>
      <c r="E643" s="24" t="s">
        <v>7128</v>
      </c>
    </row>
    <row r="644" spans="1:5" ht="26" x14ac:dyDescent="0.3">
      <c r="A644" s="17" t="str">
        <f>"20703"</f>
        <v>20703</v>
      </c>
      <c r="B644" s="5" t="s">
        <v>801</v>
      </c>
      <c r="C644" s="17">
        <v>20200101</v>
      </c>
      <c r="D644" s="17">
        <v>22991231</v>
      </c>
      <c r="E644" s="24" t="s">
        <v>7128</v>
      </c>
    </row>
    <row r="645" spans="1:5" x14ac:dyDescent="0.3">
      <c r="A645" s="17" t="str">
        <f>"20704"</f>
        <v>20704</v>
      </c>
      <c r="B645" s="5" t="s">
        <v>802</v>
      </c>
      <c r="C645" s="17">
        <v>20200101</v>
      </c>
      <c r="D645" s="17">
        <v>22991231</v>
      </c>
      <c r="E645" s="24" t="s">
        <v>7128</v>
      </c>
    </row>
    <row r="646" spans="1:5" x14ac:dyDescent="0.3">
      <c r="A646" s="17" t="str">
        <f>"20705"</f>
        <v>20705</v>
      </c>
      <c r="B646" s="5" t="s">
        <v>803</v>
      </c>
      <c r="C646" s="17">
        <v>20200101</v>
      </c>
      <c r="D646" s="17">
        <v>22991231</v>
      </c>
      <c r="E646" s="24" t="s">
        <v>7128</v>
      </c>
    </row>
    <row r="647" spans="1:5" x14ac:dyDescent="0.3">
      <c r="A647" s="17" t="str">
        <f>"20822"</f>
        <v>20822</v>
      </c>
      <c r="B647" s="5" t="s">
        <v>804</v>
      </c>
      <c r="C647" s="17">
        <v>20230101</v>
      </c>
      <c r="D647" s="17">
        <v>22991231</v>
      </c>
      <c r="E647" s="25">
        <v>782.3</v>
      </c>
    </row>
    <row r="648" spans="1:5" x14ac:dyDescent="0.3">
      <c r="A648" s="17" t="str">
        <f>"20900"</f>
        <v>20900</v>
      </c>
      <c r="B648" s="5" t="s">
        <v>805</v>
      </c>
      <c r="C648" s="17">
        <v>19900101</v>
      </c>
      <c r="D648" s="17">
        <v>22991231</v>
      </c>
      <c r="E648" s="25">
        <v>4850.17</v>
      </c>
    </row>
    <row r="649" spans="1:5" x14ac:dyDescent="0.3">
      <c r="A649" s="17" t="str">
        <f>"20902"</f>
        <v>20902</v>
      </c>
      <c r="B649" s="5" t="s">
        <v>806</v>
      </c>
      <c r="C649" s="17">
        <v>19900101</v>
      </c>
      <c r="D649" s="17">
        <v>22991231</v>
      </c>
      <c r="E649" s="25">
        <v>3240.75</v>
      </c>
    </row>
    <row r="650" spans="1:5" x14ac:dyDescent="0.3">
      <c r="A650" s="17" t="str">
        <f>"20910"</f>
        <v>20910</v>
      </c>
      <c r="B650" s="5" t="s">
        <v>807</v>
      </c>
      <c r="C650" s="17">
        <v>19900101</v>
      </c>
      <c r="D650" s="17">
        <v>22991231</v>
      </c>
      <c r="E650" s="25">
        <v>311.18</v>
      </c>
    </row>
    <row r="651" spans="1:5" x14ac:dyDescent="0.3">
      <c r="A651" s="17" t="str">
        <f>"20912"</f>
        <v>20912</v>
      </c>
      <c r="B651" s="5" t="s">
        <v>808</v>
      </c>
      <c r="C651" s="17">
        <v>19900101</v>
      </c>
      <c r="D651" s="17">
        <v>22991231</v>
      </c>
      <c r="E651" s="25">
        <v>1777.55</v>
      </c>
    </row>
    <row r="652" spans="1:5" x14ac:dyDescent="0.3">
      <c r="A652" s="17" t="str">
        <f>"20920"</f>
        <v>20920</v>
      </c>
      <c r="B652" s="5" t="s">
        <v>809</v>
      </c>
      <c r="C652" s="17">
        <v>19900101</v>
      </c>
      <c r="D652" s="17">
        <v>22991231</v>
      </c>
      <c r="E652" s="25">
        <v>903.54</v>
      </c>
    </row>
    <row r="653" spans="1:5" x14ac:dyDescent="0.3">
      <c r="A653" s="17" t="str">
        <f>"20922"</f>
        <v>20922</v>
      </c>
      <c r="B653" s="5" t="s">
        <v>810</v>
      </c>
      <c r="C653" s="17">
        <v>19900101</v>
      </c>
      <c r="D653" s="17">
        <v>22991231</v>
      </c>
      <c r="E653" s="25">
        <v>903.54</v>
      </c>
    </row>
    <row r="654" spans="1:5" x14ac:dyDescent="0.3">
      <c r="A654" s="17" t="str">
        <f>"20924"</f>
        <v>20924</v>
      </c>
      <c r="B654" s="5" t="s">
        <v>811</v>
      </c>
      <c r="C654" s="17">
        <v>19900101</v>
      </c>
      <c r="D654" s="17">
        <v>22991231</v>
      </c>
      <c r="E654" s="25">
        <v>3240.75</v>
      </c>
    </row>
    <row r="655" spans="1:5" ht="26" x14ac:dyDescent="0.3">
      <c r="A655" s="17" t="str">
        <f>"20930"</f>
        <v>20930</v>
      </c>
      <c r="B655" s="5" t="s">
        <v>812</v>
      </c>
      <c r="C655" s="17">
        <v>19900101</v>
      </c>
      <c r="D655" s="17">
        <v>22991231</v>
      </c>
      <c r="E655" s="25">
        <v>0</v>
      </c>
    </row>
    <row r="656" spans="1:5" x14ac:dyDescent="0.3">
      <c r="A656" s="17" t="str">
        <f>"20931"</f>
        <v>20931</v>
      </c>
      <c r="B656" s="5" t="s">
        <v>813</v>
      </c>
      <c r="C656" s="17">
        <v>19900101</v>
      </c>
      <c r="D656" s="17">
        <v>22991231</v>
      </c>
      <c r="E656" s="25">
        <v>0</v>
      </c>
    </row>
    <row r="657" spans="1:5" x14ac:dyDescent="0.3">
      <c r="A657" s="17" t="str">
        <f>"20932"</f>
        <v>20932</v>
      </c>
      <c r="B657" s="5" t="s">
        <v>814</v>
      </c>
      <c r="C657" s="17">
        <v>20190101</v>
      </c>
      <c r="D657" s="17">
        <v>22991231</v>
      </c>
      <c r="E657" s="25">
        <v>0</v>
      </c>
    </row>
    <row r="658" spans="1:5" ht="26" x14ac:dyDescent="0.3">
      <c r="A658" s="17" t="str">
        <f>"20933"</f>
        <v>20933</v>
      </c>
      <c r="B658" s="5" t="s">
        <v>815</v>
      </c>
      <c r="C658" s="17">
        <v>20190101</v>
      </c>
      <c r="D658" s="17">
        <v>22991231</v>
      </c>
      <c r="E658" s="25">
        <v>0</v>
      </c>
    </row>
    <row r="659" spans="1:5" x14ac:dyDescent="0.3">
      <c r="A659" s="17" t="str">
        <f>"20934"</f>
        <v>20934</v>
      </c>
      <c r="B659" s="5" t="s">
        <v>816</v>
      </c>
      <c r="C659" s="17">
        <v>20190101</v>
      </c>
      <c r="D659" s="17">
        <v>22991231</v>
      </c>
      <c r="E659" s="25">
        <v>0</v>
      </c>
    </row>
    <row r="660" spans="1:5" ht="26" x14ac:dyDescent="0.3">
      <c r="A660" s="17" t="str">
        <f>"20936"</f>
        <v>20936</v>
      </c>
      <c r="B660" s="5" t="s">
        <v>817</v>
      </c>
      <c r="C660" s="17">
        <v>19900101</v>
      </c>
      <c r="D660" s="17">
        <v>22991231</v>
      </c>
      <c r="E660" s="25">
        <v>0</v>
      </c>
    </row>
    <row r="661" spans="1:5" x14ac:dyDescent="0.3">
      <c r="A661" s="17" t="str">
        <f>"20937"</f>
        <v>20937</v>
      </c>
      <c r="B661" s="5" t="s">
        <v>818</v>
      </c>
      <c r="C661" s="17">
        <v>19900101</v>
      </c>
      <c r="D661" s="17">
        <v>22991231</v>
      </c>
      <c r="E661" s="25">
        <v>0</v>
      </c>
    </row>
    <row r="662" spans="1:5" x14ac:dyDescent="0.3">
      <c r="A662" s="17" t="str">
        <f>"20938"</f>
        <v>20938</v>
      </c>
      <c r="B662" s="5" t="s">
        <v>819</v>
      </c>
      <c r="C662" s="17">
        <v>19900101</v>
      </c>
      <c r="D662" s="17">
        <v>22991231</v>
      </c>
      <c r="E662" s="25">
        <v>0</v>
      </c>
    </row>
    <row r="663" spans="1:5" x14ac:dyDescent="0.3">
      <c r="A663" s="17" t="str">
        <f>"20939"</f>
        <v>20939</v>
      </c>
      <c r="B663" s="5" t="s">
        <v>820</v>
      </c>
      <c r="C663" s="17">
        <v>20180101</v>
      </c>
      <c r="D663" s="17">
        <v>22991231</v>
      </c>
      <c r="E663" s="25">
        <v>0</v>
      </c>
    </row>
    <row r="664" spans="1:5" ht="26" x14ac:dyDescent="0.3">
      <c r="A664" s="17" t="str">
        <f>"20950"</f>
        <v>20950</v>
      </c>
      <c r="B664" s="5" t="s">
        <v>821</v>
      </c>
      <c r="C664" s="17">
        <v>19900101</v>
      </c>
      <c r="D664" s="17">
        <v>22991231</v>
      </c>
      <c r="E664" s="25">
        <v>348.6</v>
      </c>
    </row>
    <row r="665" spans="1:5" ht="26" x14ac:dyDescent="0.3">
      <c r="A665" s="17" t="str">
        <f>"20972"</f>
        <v>20972</v>
      </c>
      <c r="B665" s="5" t="s">
        <v>822</v>
      </c>
      <c r="C665" s="17">
        <v>19900101</v>
      </c>
      <c r="D665" s="17">
        <v>22991231</v>
      </c>
      <c r="E665" s="25">
        <v>3240.75</v>
      </c>
    </row>
    <row r="666" spans="1:5" ht="26" x14ac:dyDescent="0.3">
      <c r="A666" s="17" t="str">
        <f>"20973"</f>
        <v>20973</v>
      </c>
      <c r="B666" s="5" t="s">
        <v>823</v>
      </c>
      <c r="C666" s="17">
        <v>19900101</v>
      </c>
      <c r="D666" s="17">
        <v>22991231</v>
      </c>
      <c r="E666" s="25">
        <v>3240.75</v>
      </c>
    </row>
    <row r="667" spans="1:5" ht="26" x14ac:dyDescent="0.3">
      <c r="A667" s="17" t="str">
        <f>"20974"</f>
        <v>20974</v>
      </c>
      <c r="B667" s="5" t="s">
        <v>824</v>
      </c>
      <c r="C667" s="17">
        <v>19900101</v>
      </c>
      <c r="D667" s="17">
        <v>22991231</v>
      </c>
      <c r="E667" s="24" t="s">
        <v>7128</v>
      </c>
    </row>
    <row r="668" spans="1:5" ht="26" x14ac:dyDescent="0.3">
      <c r="A668" s="17" t="str">
        <f>"20975"</f>
        <v>20975</v>
      </c>
      <c r="B668" s="5" t="s">
        <v>825</v>
      </c>
      <c r="C668" s="17">
        <v>19900101</v>
      </c>
      <c r="D668" s="17">
        <v>22991231</v>
      </c>
      <c r="E668" s="25">
        <v>0</v>
      </c>
    </row>
    <row r="669" spans="1:5" ht="26" x14ac:dyDescent="0.3">
      <c r="A669" s="17" t="str">
        <f>"20979"</f>
        <v>20979</v>
      </c>
      <c r="B669" s="5" t="s">
        <v>826</v>
      </c>
      <c r="C669" s="17">
        <v>20000101</v>
      </c>
      <c r="D669" s="17">
        <v>22991231</v>
      </c>
      <c r="E669" s="25">
        <v>0</v>
      </c>
    </row>
    <row r="670" spans="1:5" x14ac:dyDescent="0.3">
      <c r="A670" s="17" t="str">
        <f>"20982"</f>
        <v>20982</v>
      </c>
      <c r="B670" s="5" t="s">
        <v>827</v>
      </c>
      <c r="C670" s="17">
        <v>20230101</v>
      </c>
      <c r="D670" s="17">
        <v>22991231</v>
      </c>
      <c r="E670" s="25">
        <v>6208.9</v>
      </c>
    </row>
    <row r="671" spans="1:5" ht="26" x14ac:dyDescent="0.3">
      <c r="A671" s="17" t="str">
        <f>"20983"</f>
        <v>20983</v>
      </c>
      <c r="B671" s="5" t="s">
        <v>828</v>
      </c>
      <c r="C671" s="17">
        <v>20230101</v>
      </c>
      <c r="D671" s="17">
        <v>22991231</v>
      </c>
      <c r="E671" s="25">
        <v>4471.33</v>
      </c>
    </row>
    <row r="672" spans="1:5" ht="26" x14ac:dyDescent="0.3">
      <c r="A672" s="17" t="str">
        <f>"20985"</f>
        <v>20985</v>
      </c>
      <c r="B672" s="5" t="s">
        <v>829</v>
      </c>
      <c r="C672" s="17">
        <v>20080101</v>
      </c>
      <c r="D672" s="17">
        <v>22991231</v>
      </c>
      <c r="E672" s="25">
        <v>0</v>
      </c>
    </row>
    <row r="673" spans="1:5" x14ac:dyDescent="0.3">
      <c r="A673" s="17" t="str">
        <f>"21010"</f>
        <v>21010</v>
      </c>
      <c r="B673" s="5" t="s">
        <v>830</v>
      </c>
      <c r="C673" s="17">
        <v>19900101</v>
      </c>
      <c r="D673" s="17">
        <v>22991231</v>
      </c>
      <c r="E673" s="25">
        <v>1259.74</v>
      </c>
    </row>
    <row r="674" spans="1:5" ht="26" x14ac:dyDescent="0.3">
      <c r="A674" s="17" t="str">
        <f>"21011"</f>
        <v>21011</v>
      </c>
      <c r="B674" s="5" t="s">
        <v>831</v>
      </c>
      <c r="C674" s="17">
        <v>20100101</v>
      </c>
      <c r="D674" s="17">
        <v>22991231</v>
      </c>
      <c r="E674" s="25">
        <v>243.95</v>
      </c>
    </row>
    <row r="675" spans="1:5" ht="26" x14ac:dyDescent="0.3">
      <c r="A675" s="17" t="str">
        <f>"21012"</f>
        <v>21012</v>
      </c>
      <c r="B675" s="5" t="s">
        <v>832</v>
      </c>
      <c r="C675" s="17">
        <v>20100101</v>
      </c>
      <c r="D675" s="17">
        <v>22991231</v>
      </c>
      <c r="E675" s="25">
        <v>652.27</v>
      </c>
    </row>
    <row r="676" spans="1:5" ht="26" x14ac:dyDescent="0.3">
      <c r="A676" s="17" t="str">
        <f>"21013"</f>
        <v>21013</v>
      </c>
      <c r="B676" s="5" t="s">
        <v>833</v>
      </c>
      <c r="C676" s="17">
        <v>20100101</v>
      </c>
      <c r="D676" s="17">
        <v>22991231</v>
      </c>
      <c r="E676" s="25">
        <v>305.88</v>
      </c>
    </row>
    <row r="677" spans="1:5" ht="26" x14ac:dyDescent="0.3">
      <c r="A677" s="17" t="str">
        <f>"21014"</f>
        <v>21014</v>
      </c>
      <c r="B677" s="5" t="s">
        <v>834</v>
      </c>
      <c r="C677" s="17">
        <v>20100101</v>
      </c>
      <c r="D677" s="17">
        <v>22991231</v>
      </c>
      <c r="E677" s="25">
        <v>1105.24</v>
      </c>
    </row>
    <row r="678" spans="1:5" ht="26" x14ac:dyDescent="0.3">
      <c r="A678" s="17" t="str">
        <f>"21015"</f>
        <v>21015</v>
      </c>
      <c r="B678" s="5" t="s">
        <v>835</v>
      </c>
      <c r="C678" s="17">
        <v>19910401</v>
      </c>
      <c r="D678" s="17">
        <v>22991231</v>
      </c>
      <c r="E678" s="25">
        <v>1105.24</v>
      </c>
    </row>
    <row r="679" spans="1:5" ht="26" x14ac:dyDescent="0.3">
      <c r="A679" s="17" t="str">
        <f>"21016"</f>
        <v>21016</v>
      </c>
      <c r="B679" s="5" t="s">
        <v>836</v>
      </c>
      <c r="C679" s="17">
        <v>20100101</v>
      </c>
      <c r="D679" s="17">
        <v>22991231</v>
      </c>
      <c r="E679" s="25">
        <v>1105.24</v>
      </c>
    </row>
    <row r="680" spans="1:5" x14ac:dyDescent="0.3">
      <c r="A680" s="17" t="str">
        <f>"21025"</f>
        <v>21025</v>
      </c>
      <c r="B680" s="5" t="s">
        <v>837</v>
      </c>
      <c r="C680" s="17">
        <v>19900101</v>
      </c>
      <c r="D680" s="17">
        <v>22991231</v>
      </c>
      <c r="E680" s="25">
        <v>2637</v>
      </c>
    </row>
    <row r="681" spans="1:5" x14ac:dyDescent="0.3">
      <c r="A681" s="17" t="str">
        <f>"21026"</f>
        <v>21026</v>
      </c>
      <c r="B681" s="5" t="s">
        <v>838</v>
      </c>
      <c r="C681" s="17">
        <v>19900101</v>
      </c>
      <c r="D681" s="17">
        <v>22991231</v>
      </c>
      <c r="E681" s="25">
        <v>2637</v>
      </c>
    </row>
    <row r="682" spans="1:5" x14ac:dyDescent="0.3">
      <c r="A682" s="17" t="str">
        <f>"21029"</f>
        <v>21029</v>
      </c>
      <c r="B682" s="5" t="s">
        <v>839</v>
      </c>
      <c r="C682" s="17">
        <v>19910401</v>
      </c>
      <c r="D682" s="17">
        <v>22991231</v>
      </c>
      <c r="E682" s="25">
        <v>1259.74</v>
      </c>
    </row>
    <row r="683" spans="1:5" ht="26" x14ac:dyDescent="0.3">
      <c r="A683" s="17" t="str">
        <f>"21030"</f>
        <v>21030</v>
      </c>
      <c r="B683" s="5" t="s">
        <v>840</v>
      </c>
      <c r="C683" s="17">
        <v>19900101</v>
      </c>
      <c r="D683" s="17">
        <v>22991231</v>
      </c>
      <c r="E683" s="25">
        <v>262.08999999999997</v>
      </c>
    </row>
    <row r="684" spans="1:5" ht="26" x14ac:dyDescent="0.3">
      <c r="A684" s="17" t="str">
        <f>"21031"</f>
        <v>21031</v>
      </c>
      <c r="B684" s="5" t="s">
        <v>841</v>
      </c>
      <c r="C684" s="17">
        <v>19900401</v>
      </c>
      <c r="D684" s="17">
        <v>22991231</v>
      </c>
      <c r="E684" s="25">
        <v>246.45</v>
      </c>
    </row>
    <row r="685" spans="1:5" ht="26" x14ac:dyDescent="0.3">
      <c r="A685" s="17" t="str">
        <f>"21032"</f>
        <v>21032</v>
      </c>
      <c r="B685" s="5" t="s">
        <v>842</v>
      </c>
      <c r="C685" s="17">
        <v>20170701</v>
      </c>
      <c r="D685" s="17">
        <v>22991231</v>
      </c>
      <c r="E685" s="25">
        <v>234.88</v>
      </c>
    </row>
    <row r="686" spans="1:5" ht="26" x14ac:dyDescent="0.3">
      <c r="A686" s="17" t="str">
        <f>"21034"</f>
        <v>21034</v>
      </c>
      <c r="B686" s="5" t="s">
        <v>843</v>
      </c>
      <c r="C686" s="17">
        <v>19900101</v>
      </c>
      <c r="D686" s="17">
        <v>22991231</v>
      </c>
      <c r="E686" s="25">
        <v>2637</v>
      </c>
    </row>
    <row r="687" spans="1:5" x14ac:dyDescent="0.3">
      <c r="A687" s="17" t="str">
        <f>"21040"</f>
        <v>21040</v>
      </c>
      <c r="B687" s="5" t="s">
        <v>844</v>
      </c>
      <c r="C687" s="17">
        <v>19900101</v>
      </c>
      <c r="D687" s="17">
        <v>22991231</v>
      </c>
      <c r="E687" s="25">
        <v>1259.74</v>
      </c>
    </row>
    <row r="688" spans="1:5" x14ac:dyDescent="0.3">
      <c r="A688" s="17" t="str">
        <f>"21044"</f>
        <v>21044</v>
      </c>
      <c r="B688" s="5" t="s">
        <v>845</v>
      </c>
      <c r="C688" s="17">
        <v>19900101</v>
      </c>
      <c r="D688" s="17">
        <v>22991231</v>
      </c>
      <c r="E688" s="25">
        <v>2637</v>
      </c>
    </row>
    <row r="689" spans="1:5" ht="26" x14ac:dyDescent="0.3">
      <c r="A689" s="17" t="str">
        <f>"21046"</f>
        <v>21046</v>
      </c>
      <c r="B689" s="5" t="s">
        <v>846</v>
      </c>
      <c r="C689" s="17">
        <v>20030401</v>
      </c>
      <c r="D689" s="17">
        <v>22991231</v>
      </c>
      <c r="E689" s="25">
        <v>2637</v>
      </c>
    </row>
    <row r="690" spans="1:5" ht="26" x14ac:dyDescent="0.3">
      <c r="A690" s="17" t="str">
        <f>"21047"</f>
        <v>21047</v>
      </c>
      <c r="B690" s="5" t="s">
        <v>847</v>
      </c>
      <c r="C690" s="17">
        <v>20030401</v>
      </c>
      <c r="D690" s="17">
        <v>22991231</v>
      </c>
      <c r="E690" s="25">
        <v>2637</v>
      </c>
    </row>
    <row r="691" spans="1:5" ht="26" x14ac:dyDescent="0.3">
      <c r="A691" s="17" t="str">
        <f>"21048"</f>
        <v>21048</v>
      </c>
      <c r="B691" s="5" t="s">
        <v>848</v>
      </c>
      <c r="C691" s="17">
        <v>20170701</v>
      </c>
      <c r="D691" s="17">
        <v>22991231</v>
      </c>
      <c r="E691" s="25">
        <v>2637</v>
      </c>
    </row>
    <row r="692" spans="1:5" ht="26" x14ac:dyDescent="0.3">
      <c r="A692" s="17" t="str">
        <f>"21050"</f>
        <v>21050</v>
      </c>
      <c r="B692" s="5" t="s">
        <v>849</v>
      </c>
      <c r="C692" s="17">
        <v>19900101</v>
      </c>
      <c r="D692" s="17">
        <v>22991231</v>
      </c>
      <c r="E692" s="25">
        <v>2637</v>
      </c>
    </row>
    <row r="693" spans="1:5" x14ac:dyDescent="0.3">
      <c r="A693" s="17" t="str">
        <f>"21060"</f>
        <v>21060</v>
      </c>
      <c r="B693" s="5" t="s">
        <v>850</v>
      </c>
      <c r="C693" s="17">
        <v>19900101</v>
      </c>
      <c r="D693" s="17">
        <v>22991231</v>
      </c>
      <c r="E693" s="25">
        <v>2637</v>
      </c>
    </row>
    <row r="694" spans="1:5" x14ac:dyDescent="0.3">
      <c r="A694" s="17" t="str">
        <f>"21070"</f>
        <v>21070</v>
      </c>
      <c r="B694" s="5" t="s">
        <v>851</v>
      </c>
      <c r="C694" s="17">
        <v>19900101</v>
      </c>
      <c r="D694" s="17">
        <v>22991231</v>
      </c>
      <c r="E694" s="25">
        <v>2637</v>
      </c>
    </row>
    <row r="695" spans="1:5" ht="26" x14ac:dyDescent="0.3">
      <c r="A695" s="17" t="str">
        <f>"21073"</f>
        <v>21073</v>
      </c>
      <c r="B695" s="5" t="s">
        <v>852</v>
      </c>
      <c r="C695" s="17">
        <v>20080101</v>
      </c>
      <c r="D695" s="17">
        <v>22991231</v>
      </c>
      <c r="E695" s="25">
        <v>238</v>
      </c>
    </row>
    <row r="696" spans="1:5" ht="26" x14ac:dyDescent="0.3">
      <c r="A696" s="17" t="str">
        <f>"21076"</f>
        <v>21076</v>
      </c>
      <c r="B696" s="5" t="s">
        <v>853</v>
      </c>
      <c r="C696" s="17">
        <v>20230101</v>
      </c>
      <c r="D696" s="17">
        <v>22991231</v>
      </c>
      <c r="E696" s="25">
        <v>350.91</v>
      </c>
    </row>
    <row r="697" spans="1:5" ht="26" x14ac:dyDescent="0.3">
      <c r="A697" s="17" t="str">
        <f>"21077"</f>
        <v>21077</v>
      </c>
      <c r="B697" s="5" t="s">
        <v>854</v>
      </c>
      <c r="C697" s="17">
        <v>20230101</v>
      </c>
      <c r="D697" s="17">
        <v>22991231</v>
      </c>
      <c r="E697" s="25">
        <v>829.12</v>
      </c>
    </row>
    <row r="698" spans="1:5" ht="26" x14ac:dyDescent="0.3">
      <c r="A698" s="17" t="str">
        <f>"21079"</f>
        <v>21079</v>
      </c>
      <c r="B698" s="5" t="s">
        <v>855</v>
      </c>
      <c r="C698" s="17">
        <v>19910401</v>
      </c>
      <c r="D698" s="17">
        <v>22991231</v>
      </c>
      <c r="E698" s="25">
        <v>596.41999999999996</v>
      </c>
    </row>
    <row r="699" spans="1:5" ht="26" x14ac:dyDescent="0.3">
      <c r="A699" s="17" t="str">
        <f>"21080"</f>
        <v>21080</v>
      </c>
      <c r="B699" s="5" t="s">
        <v>856</v>
      </c>
      <c r="C699" s="17">
        <v>19910401</v>
      </c>
      <c r="D699" s="17">
        <v>22991231</v>
      </c>
      <c r="E699" s="25">
        <v>694</v>
      </c>
    </row>
    <row r="700" spans="1:5" ht="26" x14ac:dyDescent="0.3">
      <c r="A700" s="17" t="str">
        <f>"21081"</f>
        <v>21081</v>
      </c>
      <c r="B700" s="5" t="s">
        <v>857</v>
      </c>
      <c r="C700" s="17">
        <v>19910401</v>
      </c>
      <c r="D700" s="17">
        <v>22991231</v>
      </c>
      <c r="E700" s="25">
        <v>652.72</v>
      </c>
    </row>
    <row r="701" spans="1:5" ht="26" x14ac:dyDescent="0.3">
      <c r="A701" s="17" t="str">
        <f>"21082"</f>
        <v>21082</v>
      </c>
      <c r="B701" s="5" t="s">
        <v>858</v>
      </c>
      <c r="C701" s="17">
        <v>19910401</v>
      </c>
      <c r="D701" s="17">
        <v>22991231</v>
      </c>
      <c r="E701" s="25">
        <v>627.71</v>
      </c>
    </row>
    <row r="702" spans="1:5" x14ac:dyDescent="0.3">
      <c r="A702" s="17" t="str">
        <f>"21083"</f>
        <v>21083</v>
      </c>
      <c r="B702" s="5" t="s">
        <v>859</v>
      </c>
      <c r="C702" s="17">
        <v>19910401</v>
      </c>
      <c r="D702" s="17">
        <v>22991231</v>
      </c>
      <c r="E702" s="25">
        <v>615.19000000000005</v>
      </c>
    </row>
    <row r="703" spans="1:5" ht="26" x14ac:dyDescent="0.3">
      <c r="A703" s="17" t="str">
        <f>"21084"</f>
        <v>21084</v>
      </c>
      <c r="B703" s="5" t="s">
        <v>860</v>
      </c>
      <c r="C703" s="17">
        <v>19910401</v>
      </c>
      <c r="D703" s="17">
        <v>22991231</v>
      </c>
      <c r="E703" s="25">
        <v>684.62</v>
      </c>
    </row>
    <row r="704" spans="1:5" ht="26" x14ac:dyDescent="0.3">
      <c r="A704" s="17" t="str">
        <f>"21085"</f>
        <v>21085</v>
      </c>
      <c r="B704" s="5" t="s">
        <v>861</v>
      </c>
      <c r="C704" s="17">
        <v>19910401</v>
      </c>
      <c r="D704" s="17">
        <v>22991231</v>
      </c>
      <c r="E704" s="25">
        <v>121.03</v>
      </c>
    </row>
    <row r="705" spans="1:5" ht="26" x14ac:dyDescent="0.3">
      <c r="A705" s="17" t="str">
        <f>"21086"</f>
        <v>21086</v>
      </c>
      <c r="B705" s="5" t="s">
        <v>862</v>
      </c>
      <c r="C705" s="17">
        <v>19910401</v>
      </c>
      <c r="D705" s="17">
        <v>22991231</v>
      </c>
      <c r="E705" s="25">
        <v>621.13</v>
      </c>
    </row>
    <row r="706" spans="1:5" ht="26" x14ac:dyDescent="0.3">
      <c r="A706" s="17" t="str">
        <f>"21087"</f>
        <v>21087</v>
      </c>
      <c r="B706" s="5" t="s">
        <v>863</v>
      </c>
      <c r="C706" s="17">
        <v>19910401</v>
      </c>
      <c r="D706" s="17">
        <v>22991231</v>
      </c>
      <c r="E706" s="25">
        <v>621.13</v>
      </c>
    </row>
    <row r="707" spans="1:5" ht="26" x14ac:dyDescent="0.3">
      <c r="A707" s="17" t="str">
        <f>"21088"</f>
        <v>21088</v>
      </c>
      <c r="B707" s="5" t="s">
        <v>864</v>
      </c>
      <c r="C707" s="17">
        <v>19910401</v>
      </c>
      <c r="D707" s="17">
        <v>22991231</v>
      </c>
      <c r="E707" s="25">
        <v>1259.74</v>
      </c>
    </row>
    <row r="708" spans="1:5" ht="26" x14ac:dyDescent="0.3">
      <c r="A708" s="17" t="str">
        <f>"21100"</f>
        <v>21100</v>
      </c>
      <c r="B708" s="5" t="s">
        <v>865</v>
      </c>
      <c r="C708" s="17">
        <v>19900101</v>
      </c>
      <c r="D708" s="17">
        <v>22991231</v>
      </c>
      <c r="E708" s="25">
        <v>2637</v>
      </c>
    </row>
    <row r="709" spans="1:5" ht="26" x14ac:dyDescent="0.3">
      <c r="A709" s="17" t="str">
        <f>"21110"</f>
        <v>21110</v>
      </c>
      <c r="B709" s="5" t="s">
        <v>866</v>
      </c>
      <c r="C709" s="17">
        <v>19900101</v>
      </c>
      <c r="D709" s="17">
        <v>22991231</v>
      </c>
      <c r="E709" s="25">
        <v>598.30999999999995</v>
      </c>
    </row>
    <row r="710" spans="1:5" ht="26" x14ac:dyDescent="0.3">
      <c r="A710" s="17" t="str">
        <f>"21116"</f>
        <v>21116</v>
      </c>
      <c r="B710" s="5" t="s">
        <v>867</v>
      </c>
      <c r="C710" s="17">
        <v>19900101</v>
      </c>
      <c r="D710" s="17">
        <v>22991231</v>
      </c>
      <c r="E710" s="25">
        <v>0</v>
      </c>
    </row>
    <row r="711" spans="1:5" x14ac:dyDescent="0.3">
      <c r="A711" s="17" t="str">
        <f>"21120"</f>
        <v>21120</v>
      </c>
      <c r="B711" s="5" t="s">
        <v>868</v>
      </c>
      <c r="C711" s="17">
        <v>19910401</v>
      </c>
      <c r="D711" s="17">
        <v>22991231</v>
      </c>
      <c r="E711" s="25">
        <v>2637</v>
      </c>
    </row>
    <row r="712" spans="1:5" x14ac:dyDescent="0.3">
      <c r="A712" s="17" t="str">
        <f>"21121"</f>
        <v>21121</v>
      </c>
      <c r="B712" s="5" t="s">
        <v>869</v>
      </c>
      <c r="C712" s="17">
        <v>19910401</v>
      </c>
      <c r="D712" s="17">
        <v>22991231</v>
      </c>
      <c r="E712" s="25">
        <v>1917.82</v>
      </c>
    </row>
    <row r="713" spans="1:5" ht="26" x14ac:dyDescent="0.3">
      <c r="A713" s="17" t="str">
        <f>"21122"</f>
        <v>21122</v>
      </c>
      <c r="B713" s="5" t="s">
        <v>870</v>
      </c>
      <c r="C713" s="17">
        <v>19910401</v>
      </c>
      <c r="D713" s="17">
        <v>22991231</v>
      </c>
      <c r="E713" s="25">
        <v>3321.03</v>
      </c>
    </row>
    <row r="714" spans="1:5" ht="26" x14ac:dyDescent="0.3">
      <c r="A714" s="17" t="str">
        <f>"21123"</f>
        <v>21123</v>
      </c>
      <c r="B714" s="5" t="s">
        <v>871</v>
      </c>
      <c r="C714" s="17">
        <v>19910401</v>
      </c>
      <c r="D714" s="17">
        <v>22991231</v>
      </c>
      <c r="E714" s="25">
        <v>1259.74</v>
      </c>
    </row>
    <row r="715" spans="1:5" x14ac:dyDescent="0.3">
      <c r="A715" s="17" t="str">
        <f>"21125"</f>
        <v>21125</v>
      </c>
      <c r="B715" s="5" t="s">
        <v>872</v>
      </c>
      <c r="C715" s="17">
        <v>19910401</v>
      </c>
      <c r="D715" s="17">
        <v>22991231</v>
      </c>
      <c r="E715" s="25">
        <v>3321.03</v>
      </c>
    </row>
    <row r="716" spans="1:5" ht="26" x14ac:dyDescent="0.3">
      <c r="A716" s="17" t="str">
        <f>"21127"</f>
        <v>21127</v>
      </c>
      <c r="B716" s="5" t="s">
        <v>873</v>
      </c>
      <c r="C716" s="17">
        <v>19910401</v>
      </c>
      <c r="D716" s="17">
        <v>22991231</v>
      </c>
      <c r="E716" s="25">
        <v>2637</v>
      </c>
    </row>
    <row r="717" spans="1:5" x14ac:dyDescent="0.3">
      <c r="A717" s="17" t="str">
        <f>"21137"</f>
        <v>21137</v>
      </c>
      <c r="B717" s="5" t="s">
        <v>874</v>
      </c>
      <c r="C717" s="17">
        <v>19910401</v>
      </c>
      <c r="D717" s="17">
        <v>22991231</v>
      </c>
      <c r="E717" s="25">
        <v>1259.74</v>
      </c>
    </row>
    <row r="718" spans="1:5" ht="26" x14ac:dyDescent="0.3">
      <c r="A718" s="17" t="str">
        <f>"21138"</f>
        <v>21138</v>
      </c>
      <c r="B718" s="5" t="s">
        <v>875</v>
      </c>
      <c r="C718" s="17">
        <v>19910401</v>
      </c>
      <c r="D718" s="17">
        <v>22991231</v>
      </c>
      <c r="E718" s="25">
        <v>2637</v>
      </c>
    </row>
    <row r="719" spans="1:5" x14ac:dyDescent="0.3">
      <c r="A719" s="17" t="str">
        <f>"21139"</f>
        <v>21139</v>
      </c>
      <c r="B719" s="5" t="s">
        <v>876</v>
      </c>
      <c r="C719" s="17">
        <v>19910401</v>
      </c>
      <c r="D719" s="17">
        <v>22991231</v>
      </c>
      <c r="E719" s="25">
        <v>2637</v>
      </c>
    </row>
    <row r="720" spans="1:5" x14ac:dyDescent="0.3">
      <c r="A720" s="17" t="str">
        <f>"21150"</f>
        <v>21150</v>
      </c>
      <c r="B720" s="5" t="s">
        <v>877</v>
      </c>
      <c r="C720" s="17">
        <v>19910401</v>
      </c>
      <c r="D720" s="17">
        <v>22991231</v>
      </c>
      <c r="E720" s="25">
        <v>3321.03</v>
      </c>
    </row>
    <row r="721" spans="1:5" ht="26" x14ac:dyDescent="0.3">
      <c r="A721" s="17" t="str">
        <f>"21172"</f>
        <v>21172</v>
      </c>
      <c r="B721" s="5" t="s">
        <v>878</v>
      </c>
      <c r="C721" s="17">
        <v>19910401</v>
      </c>
      <c r="D721" s="17">
        <v>22991231</v>
      </c>
      <c r="E721" s="24" t="s">
        <v>7128</v>
      </c>
    </row>
    <row r="722" spans="1:5" ht="26" x14ac:dyDescent="0.3">
      <c r="A722" s="17" t="str">
        <f>"21175"</f>
        <v>21175</v>
      </c>
      <c r="B722" s="5" t="s">
        <v>879</v>
      </c>
      <c r="C722" s="17">
        <v>19910401</v>
      </c>
      <c r="D722" s="17">
        <v>22991231</v>
      </c>
      <c r="E722" s="24" t="s">
        <v>7128</v>
      </c>
    </row>
    <row r="723" spans="1:5" ht="26" x14ac:dyDescent="0.3">
      <c r="A723" s="17" t="str">
        <f>"21181"</f>
        <v>21181</v>
      </c>
      <c r="B723" s="5" t="s">
        <v>880</v>
      </c>
      <c r="C723" s="17">
        <v>19910401</v>
      </c>
      <c r="D723" s="17">
        <v>22991231</v>
      </c>
      <c r="E723" s="25">
        <v>2637</v>
      </c>
    </row>
    <row r="724" spans="1:5" x14ac:dyDescent="0.3">
      <c r="A724" s="17" t="str">
        <f>"21193"</f>
        <v>21193</v>
      </c>
      <c r="B724" s="5" t="s">
        <v>881</v>
      </c>
      <c r="C724" s="17">
        <v>19910401</v>
      </c>
      <c r="D724" s="17">
        <v>22991231</v>
      </c>
      <c r="E724" s="24" t="s">
        <v>7128</v>
      </c>
    </row>
    <row r="725" spans="1:5" ht="26" x14ac:dyDescent="0.3">
      <c r="A725" s="17" t="str">
        <f>"21194"</f>
        <v>21194</v>
      </c>
      <c r="B725" s="5" t="s">
        <v>882</v>
      </c>
      <c r="C725" s="17">
        <v>20240101</v>
      </c>
      <c r="D725" s="17">
        <v>22991231</v>
      </c>
      <c r="E725" s="25">
        <v>2637</v>
      </c>
    </row>
    <row r="726" spans="1:5" x14ac:dyDescent="0.3">
      <c r="A726" s="17" t="str">
        <f>"21195"</f>
        <v>21195</v>
      </c>
      <c r="B726" s="5" t="s">
        <v>883</v>
      </c>
      <c r="C726" s="17">
        <v>19910401</v>
      </c>
      <c r="D726" s="17">
        <v>22991231</v>
      </c>
      <c r="E726" s="25">
        <v>3321.03</v>
      </c>
    </row>
    <row r="727" spans="1:5" x14ac:dyDescent="0.3">
      <c r="A727" s="17" t="str">
        <f>"21198"</f>
        <v>21198</v>
      </c>
      <c r="B727" s="5" t="s">
        <v>884</v>
      </c>
      <c r="C727" s="17">
        <v>19910401</v>
      </c>
      <c r="D727" s="17">
        <v>22991231</v>
      </c>
      <c r="E727" s="25">
        <v>3599.27</v>
      </c>
    </row>
    <row r="728" spans="1:5" ht="26" x14ac:dyDescent="0.3">
      <c r="A728" s="17" t="str">
        <f>"21199"</f>
        <v>21199</v>
      </c>
      <c r="B728" s="5" t="s">
        <v>885</v>
      </c>
      <c r="C728" s="17">
        <v>20010101</v>
      </c>
      <c r="D728" s="17">
        <v>22991231</v>
      </c>
      <c r="E728" s="25">
        <v>2637</v>
      </c>
    </row>
    <row r="729" spans="1:5" x14ac:dyDescent="0.3">
      <c r="A729" s="17" t="str">
        <f>"21206"</f>
        <v>21206</v>
      </c>
      <c r="B729" s="5" t="s">
        <v>886</v>
      </c>
      <c r="C729" s="17">
        <v>19900101</v>
      </c>
      <c r="D729" s="17">
        <v>22991231</v>
      </c>
      <c r="E729" s="25">
        <v>2637</v>
      </c>
    </row>
    <row r="730" spans="1:5" ht="26" x14ac:dyDescent="0.3">
      <c r="A730" s="17" t="str">
        <f>"21208"</f>
        <v>21208</v>
      </c>
      <c r="B730" s="5" t="s">
        <v>887</v>
      </c>
      <c r="C730" s="17">
        <v>19900101</v>
      </c>
      <c r="D730" s="17">
        <v>22991231</v>
      </c>
      <c r="E730" s="25">
        <v>1138.75</v>
      </c>
    </row>
    <row r="731" spans="1:5" ht="26" x14ac:dyDescent="0.3">
      <c r="A731" s="17" t="str">
        <f>"21209"</f>
        <v>21209</v>
      </c>
      <c r="B731" s="5" t="s">
        <v>888</v>
      </c>
      <c r="C731" s="17">
        <v>19900101</v>
      </c>
      <c r="D731" s="17">
        <v>22991231</v>
      </c>
      <c r="E731" s="25">
        <v>2637</v>
      </c>
    </row>
    <row r="732" spans="1:5" x14ac:dyDescent="0.3">
      <c r="A732" s="17" t="str">
        <f>"21210"</f>
        <v>21210</v>
      </c>
      <c r="B732" s="5" t="s">
        <v>889</v>
      </c>
      <c r="C732" s="17">
        <v>19900101</v>
      </c>
      <c r="D732" s="17">
        <v>22991231</v>
      </c>
      <c r="E732" s="25">
        <v>3719.09</v>
      </c>
    </row>
    <row r="733" spans="1:5" x14ac:dyDescent="0.3">
      <c r="A733" s="17" t="str">
        <f>"21215"</f>
        <v>21215</v>
      </c>
      <c r="B733" s="5" t="s">
        <v>890</v>
      </c>
      <c r="C733" s="17">
        <v>19900101</v>
      </c>
      <c r="D733" s="17">
        <v>22991231</v>
      </c>
      <c r="E733" s="25">
        <v>3601.92</v>
      </c>
    </row>
    <row r="734" spans="1:5" x14ac:dyDescent="0.3">
      <c r="A734" s="17" t="str">
        <f>"21230"</f>
        <v>21230</v>
      </c>
      <c r="B734" s="5" t="s">
        <v>891</v>
      </c>
      <c r="C734" s="17">
        <v>19900101</v>
      </c>
      <c r="D734" s="17">
        <v>22991231</v>
      </c>
      <c r="E734" s="25">
        <v>2637</v>
      </c>
    </row>
    <row r="735" spans="1:5" x14ac:dyDescent="0.3">
      <c r="A735" s="17" t="str">
        <f>"21235"</f>
        <v>21235</v>
      </c>
      <c r="B735" s="5" t="s">
        <v>892</v>
      </c>
      <c r="C735" s="17">
        <v>19900101</v>
      </c>
      <c r="D735" s="17">
        <v>22991231</v>
      </c>
      <c r="E735" s="25">
        <v>2637</v>
      </c>
    </row>
    <row r="736" spans="1:5" ht="26" x14ac:dyDescent="0.3">
      <c r="A736" s="17" t="str">
        <f>"21240"</f>
        <v>21240</v>
      </c>
      <c r="B736" s="5" t="s">
        <v>893</v>
      </c>
      <c r="C736" s="17">
        <v>19900101</v>
      </c>
      <c r="D736" s="17">
        <v>22991231</v>
      </c>
      <c r="E736" s="25">
        <v>2637</v>
      </c>
    </row>
    <row r="737" spans="1:5" ht="26" x14ac:dyDescent="0.3">
      <c r="A737" s="17" t="str">
        <f>"21242"</f>
        <v>21242</v>
      </c>
      <c r="B737" s="5" t="s">
        <v>894</v>
      </c>
      <c r="C737" s="17">
        <v>19900101</v>
      </c>
      <c r="D737" s="17">
        <v>22991231</v>
      </c>
      <c r="E737" s="25">
        <v>2637</v>
      </c>
    </row>
    <row r="738" spans="1:5" ht="26" x14ac:dyDescent="0.3">
      <c r="A738" s="17" t="str">
        <f>"21243"</f>
        <v>21243</v>
      </c>
      <c r="B738" s="5" t="s">
        <v>895</v>
      </c>
      <c r="C738" s="17">
        <v>19900101</v>
      </c>
      <c r="D738" s="17">
        <v>22991231</v>
      </c>
      <c r="E738" s="25">
        <v>12210.91</v>
      </c>
    </row>
    <row r="739" spans="1:5" ht="26" x14ac:dyDescent="0.3">
      <c r="A739" s="17" t="str">
        <f>"21244"</f>
        <v>21244</v>
      </c>
      <c r="B739" s="5" t="s">
        <v>896</v>
      </c>
      <c r="C739" s="17">
        <v>19900101</v>
      </c>
      <c r="D739" s="17">
        <v>22991231</v>
      </c>
      <c r="E739" s="25">
        <v>3603.91</v>
      </c>
    </row>
    <row r="740" spans="1:5" ht="26" x14ac:dyDescent="0.3">
      <c r="A740" s="17" t="str">
        <f>"21245"</f>
        <v>21245</v>
      </c>
      <c r="B740" s="5" t="s">
        <v>897</v>
      </c>
      <c r="C740" s="17">
        <v>19900101</v>
      </c>
      <c r="D740" s="17">
        <v>22991231</v>
      </c>
      <c r="E740" s="25">
        <v>3321.03</v>
      </c>
    </row>
    <row r="741" spans="1:5" ht="26" x14ac:dyDescent="0.3">
      <c r="A741" s="17" t="str">
        <f>"21246"</f>
        <v>21246</v>
      </c>
      <c r="B741" s="5" t="s">
        <v>898</v>
      </c>
      <c r="C741" s="17">
        <v>19900101</v>
      </c>
      <c r="D741" s="17">
        <v>22991231</v>
      </c>
      <c r="E741" s="25">
        <v>3321.03</v>
      </c>
    </row>
    <row r="742" spans="1:5" ht="26" x14ac:dyDescent="0.3">
      <c r="A742" s="17" t="str">
        <f>"21248"</f>
        <v>21248</v>
      </c>
      <c r="B742" s="5" t="s">
        <v>899</v>
      </c>
      <c r="C742" s="17">
        <v>19900101</v>
      </c>
      <c r="D742" s="17">
        <v>22991231</v>
      </c>
      <c r="E742" s="25">
        <v>2637</v>
      </c>
    </row>
    <row r="743" spans="1:5" ht="26" x14ac:dyDescent="0.3">
      <c r="A743" s="17" t="str">
        <f>"21249"</f>
        <v>21249</v>
      </c>
      <c r="B743" s="5" t="s">
        <v>900</v>
      </c>
      <c r="C743" s="17">
        <v>19900101</v>
      </c>
      <c r="D743" s="17">
        <v>22991231</v>
      </c>
      <c r="E743" s="25">
        <v>3299.84</v>
      </c>
    </row>
    <row r="744" spans="1:5" ht="26" x14ac:dyDescent="0.3">
      <c r="A744" s="17" t="str">
        <f>"21256"</f>
        <v>21256</v>
      </c>
      <c r="B744" s="5" t="s">
        <v>901</v>
      </c>
      <c r="C744" s="17">
        <v>19910401</v>
      </c>
      <c r="D744" s="17">
        <v>22991231</v>
      </c>
      <c r="E744" s="24" t="s">
        <v>7128</v>
      </c>
    </row>
    <row r="745" spans="1:5" ht="26" x14ac:dyDescent="0.3">
      <c r="A745" s="17" t="str">
        <f>"21260"</f>
        <v>21260</v>
      </c>
      <c r="B745" s="5" t="s">
        <v>902</v>
      </c>
      <c r="C745" s="17">
        <v>19900101</v>
      </c>
      <c r="D745" s="17">
        <v>22991231</v>
      </c>
      <c r="E745" s="25">
        <v>2637</v>
      </c>
    </row>
    <row r="746" spans="1:5" ht="26" x14ac:dyDescent="0.3">
      <c r="A746" s="17" t="str">
        <f>"21261"</f>
        <v>21261</v>
      </c>
      <c r="B746" s="5" t="s">
        <v>903</v>
      </c>
      <c r="C746" s="17">
        <v>19900101</v>
      </c>
      <c r="D746" s="17">
        <v>22991231</v>
      </c>
      <c r="E746" s="24" t="s">
        <v>7128</v>
      </c>
    </row>
    <row r="747" spans="1:5" ht="26" x14ac:dyDescent="0.3">
      <c r="A747" s="17" t="str">
        <f>"21263"</f>
        <v>21263</v>
      </c>
      <c r="B747" s="5" t="s">
        <v>904</v>
      </c>
      <c r="C747" s="17">
        <v>19900101</v>
      </c>
      <c r="D747" s="17">
        <v>22991231</v>
      </c>
      <c r="E747" s="24" t="s">
        <v>7128</v>
      </c>
    </row>
    <row r="748" spans="1:5" ht="26" x14ac:dyDescent="0.3">
      <c r="A748" s="17" t="str">
        <f>"21267"</f>
        <v>21267</v>
      </c>
      <c r="B748" s="5" t="s">
        <v>905</v>
      </c>
      <c r="C748" s="17">
        <v>19900101</v>
      </c>
      <c r="D748" s="17">
        <v>22991231</v>
      </c>
      <c r="E748" s="25">
        <v>4378.3999999999996</v>
      </c>
    </row>
    <row r="749" spans="1:5" ht="26" x14ac:dyDescent="0.3">
      <c r="A749" s="17" t="str">
        <f>"21270"</f>
        <v>21270</v>
      </c>
      <c r="B749" s="5" t="s">
        <v>906</v>
      </c>
      <c r="C749" s="17">
        <v>19900101</v>
      </c>
      <c r="D749" s="17">
        <v>22991231</v>
      </c>
      <c r="E749" s="25">
        <v>4318.16</v>
      </c>
    </row>
    <row r="750" spans="1:5" ht="26" x14ac:dyDescent="0.3">
      <c r="A750" s="17" t="str">
        <f>"21275"</f>
        <v>21275</v>
      </c>
      <c r="B750" s="5" t="s">
        <v>907</v>
      </c>
      <c r="C750" s="17">
        <v>19900101</v>
      </c>
      <c r="D750" s="17">
        <v>22991231</v>
      </c>
      <c r="E750" s="25">
        <v>2637</v>
      </c>
    </row>
    <row r="751" spans="1:5" ht="26" x14ac:dyDescent="0.3">
      <c r="A751" s="17" t="str">
        <f>"21280"</f>
        <v>21280</v>
      </c>
      <c r="B751" s="5" t="s">
        <v>908</v>
      </c>
      <c r="C751" s="17">
        <v>19900101</v>
      </c>
      <c r="D751" s="17">
        <v>22991231</v>
      </c>
      <c r="E751" s="25">
        <v>1259.74</v>
      </c>
    </row>
    <row r="752" spans="1:5" ht="26" x14ac:dyDescent="0.3">
      <c r="A752" s="17" t="str">
        <f>"21282"</f>
        <v>21282</v>
      </c>
      <c r="B752" s="5" t="s">
        <v>909</v>
      </c>
      <c r="C752" s="17">
        <v>19900101</v>
      </c>
      <c r="D752" s="17">
        <v>22991231</v>
      </c>
      <c r="E752" s="25">
        <v>1259.74</v>
      </c>
    </row>
    <row r="753" spans="1:5" ht="26" x14ac:dyDescent="0.3">
      <c r="A753" s="17" t="str">
        <f>"21295"</f>
        <v>21295</v>
      </c>
      <c r="B753" s="5" t="s">
        <v>910</v>
      </c>
      <c r="C753" s="17">
        <v>19900101</v>
      </c>
      <c r="D753" s="17">
        <v>22991231</v>
      </c>
      <c r="E753" s="25">
        <v>636.91999999999996</v>
      </c>
    </row>
    <row r="754" spans="1:5" ht="26" x14ac:dyDescent="0.3">
      <c r="A754" s="17" t="str">
        <f>"21296"</f>
        <v>21296</v>
      </c>
      <c r="B754" s="5" t="s">
        <v>911</v>
      </c>
      <c r="C754" s="17">
        <v>19900101</v>
      </c>
      <c r="D754" s="17">
        <v>22991231</v>
      </c>
      <c r="E754" s="25">
        <v>1259.74</v>
      </c>
    </row>
    <row r="755" spans="1:5" ht="26" x14ac:dyDescent="0.3">
      <c r="A755" s="17" t="str">
        <f>"21315"</f>
        <v>21315</v>
      </c>
      <c r="B755" s="5" t="s">
        <v>912</v>
      </c>
      <c r="C755" s="17">
        <v>19900101</v>
      </c>
      <c r="D755" s="17">
        <v>22991231</v>
      </c>
      <c r="E755" s="25">
        <v>636.91999999999996</v>
      </c>
    </row>
    <row r="756" spans="1:5" ht="26" x14ac:dyDescent="0.3">
      <c r="A756" s="17" t="str">
        <f>"21320"</f>
        <v>21320</v>
      </c>
      <c r="B756" s="5" t="s">
        <v>913</v>
      </c>
      <c r="C756" s="17">
        <v>19900101</v>
      </c>
      <c r="D756" s="17">
        <v>22991231</v>
      </c>
      <c r="E756" s="25">
        <v>1259.74</v>
      </c>
    </row>
    <row r="757" spans="1:5" x14ac:dyDescent="0.3">
      <c r="A757" s="17" t="str">
        <f>"21325"</f>
        <v>21325</v>
      </c>
      <c r="B757" s="5" t="s">
        <v>914</v>
      </c>
      <c r="C757" s="17">
        <v>19900101</v>
      </c>
      <c r="D757" s="17">
        <v>22991231</v>
      </c>
      <c r="E757" s="25">
        <v>1259.74</v>
      </c>
    </row>
    <row r="758" spans="1:5" ht="26" x14ac:dyDescent="0.3">
      <c r="A758" s="17" t="str">
        <f>"21330"</f>
        <v>21330</v>
      </c>
      <c r="B758" s="5" t="s">
        <v>915</v>
      </c>
      <c r="C758" s="17">
        <v>19900101</v>
      </c>
      <c r="D758" s="17">
        <v>22991231</v>
      </c>
      <c r="E758" s="25">
        <v>2637</v>
      </c>
    </row>
    <row r="759" spans="1:5" ht="26" x14ac:dyDescent="0.3">
      <c r="A759" s="17" t="str">
        <f>"21335"</f>
        <v>21335</v>
      </c>
      <c r="B759" s="5" t="s">
        <v>916</v>
      </c>
      <c r="C759" s="17">
        <v>19900101</v>
      </c>
      <c r="D759" s="17">
        <v>22991231</v>
      </c>
      <c r="E759" s="25">
        <v>1259.74</v>
      </c>
    </row>
    <row r="760" spans="1:5" ht="26" x14ac:dyDescent="0.3">
      <c r="A760" s="17" t="str">
        <f>"21336"</f>
        <v>21336</v>
      </c>
      <c r="B760" s="5" t="s">
        <v>917</v>
      </c>
      <c r="C760" s="17">
        <v>19930101</v>
      </c>
      <c r="D760" s="17">
        <v>22991231</v>
      </c>
      <c r="E760" s="25">
        <v>1450.8</v>
      </c>
    </row>
    <row r="761" spans="1:5" ht="26" x14ac:dyDescent="0.3">
      <c r="A761" s="17" t="str">
        <f>"21337"</f>
        <v>21337</v>
      </c>
      <c r="B761" s="5" t="s">
        <v>918</v>
      </c>
      <c r="C761" s="17">
        <v>19900101</v>
      </c>
      <c r="D761" s="17">
        <v>22991231</v>
      </c>
      <c r="E761" s="25">
        <v>1259.74</v>
      </c>
    </row>
    <row r="762" spans="1:5" x14ac:dyDescent="0.3">
      <c r="A762" s="17" t="str">
        <f>"21338"</f>
        <v>21338</v>
      </c>
      <c r="B762" s="5" t="s">
        <v>919</v>
      </c>
      <c r="C762" s="17">
        <v>19900101</v>
      </c>
      <c r="D762" s="17">
        <v>22991231</v>
      </c>
      <c r="E762" s="25">
        <v>2637</v>
      </c>
    </row>
    <row r="763" spans="1:5" ht="26" x14ac:dyDescent="0.3">
      <c r="A763" s="17" t="str">
        <f>"21339"</f>
        <v>21339</v>
      </c>
      <c r="B763" s="5" t="s">
        <v>920</v>
      </c>
      <c r="C763" s="17">
        <v>19900101</v>
      </c>
      <c r="D763" s="17">
        <v>22991231</v>
      </c>
      <c r="E763" s="25">
        <v>2637</v>
      </c>
    </row>
    <row r="764" spans="1:5" ht="26" x14ac:dyDescent="0.3">
      <c r="A764" s="17" t="str">
        <f>"21340"</f>
        <v>21340</v>
      </c>
      <c r="B764" s="5" t="s">
        <v>921</v>
      </c>
      <c r="C764" s="17">
        <v>19900101</v>
      </c>
      <c r="D764" s="17">
        <v>22991231</v>
      </c>
      <c r="E764" s="25">
        <v>1259.74</v>
      </c>
    </row>
    <row r="765" spans="1:5" ht="39" x14ac:dyDescent="0.3">
      <c r="A765" s="17" t="str">
        <f>"21345"</f>
        <v>21345</v>
      </c>
      <c r="B765" s="5" t="s">
        <v>922</v>
      </c>
      <c r="C765" s="17">
        <v>19900101</v>
      </c>
      <c r="D765" s="17">
        <v>22991231</v>
      </c>
      <c r="E765" s="25">
        <v>636.91999999999996</v>
      </c>
    </row>
    <row r="766" spans="1:5" ht="26" x14ac:dyDescent="0.3">
      <c r="A766" s="17" t="str">
        <f>"21346"</f>
        <v>21346</v>
      </c>
      <c r="B766" s="5" t="s">
        <v>923</v>
      </c>
      <c r="C766" s="17">
        <v>19900101</v>
      </c>
      <c r="D766" s="17">
        <v>22991231</v>
      </c>
      <c r="E766" s="24" t="s">
        <v>7128</v>
      </c>
    </row>
    <row r="767" spans="1:5" ht="26" x14ac:dyDescent="0.3">
      <c r="A767" s="17" t="str">
        <f>"21355"</f>
        <v>21355</v>
      </c>
      <c r="B767" s="5" t="s">
        <v>924</v>
      </c>
      <c r="C767" s="17">
        <v>19900101</v>
      </c>
      <c r="D767" s="17">
        <v>22991231</v>
      </c>
      <c r="E767" s="25">
        <v>1598.21</v>
      </c>
    </row>
    <row r="768" spans="1:5" ht="26" x14ac:dyDescent="0.3">
      <c r="A768" s="17" t="str">
        <f>"21356"</f>
        <v>21356</v>
      </c>
      <c r="B768" s="5" t="s">
        <v>925</v>
      </c>
      <c r="C768" s="17">
        <v>19930101</v>
      </c>
      <c r="D768" s="17">
        <v>22991231</v>
      </c>
      <c r="E768" s="25">
        <v>2637</v>
      </c>
    </row>
    <row r="769" spans="1:5" x14ac:dyDescent="0.3">
      <c r="A769" s="17" t="str">
        <f>"21360"</f>
        <v>21360</v>
      </c>
      <c r="B769" s="5" t="s">
        <v>926</v>
      </c>
      <c r="C769" s="17">
        <v>19900101</v>
      </c>
      <c r="D769" s="17">
        <v>22991231</v>
      </c>
      <c r="E769" s="25">
        <v>2637</v>
      </c>
    </row>
    <row r="770" spans="1:5" ht="26" x14ac:dyDescent="0.3">
      <c r="A770" s="17" t="str">
        <f>"21365"</f>
        <v>21365</v>
      </c>
      <c r="B770" s="5" t="s">
        <v>927</v>
      </c>
      <c r="C770" s="17">
        <v>19900101</v>
      </c>
      <c r="D770" s="17">
        <v>22991231</v>
      </c>
      <c r="E770" s="25">
        <v>3321.03</v>
      </c>
    </row>
    <row r="771" spans="1:5" ht="26" x14ac:dyDescent="0.3">
      <c r="A771" s="17" t="str">
        <f>"21385"</f>
        <v>21385</v>
      </c>
      <c r="B771" s="5" t="s">
        <v>928</v>
      </c>
      <c r="C771" s="17">
        <v>19900101</v>
      </c>
      <c r="D771" s="17">
        <v>22991231</v>
      </c>
      <c r="E771" s="24" t="s">
        <v>7128</v>
      </c>
    </row>
    <row r="772" spans="1:5" ht="26" x14ac:dyDescent="0.3">
      <c r="A772" s="17" t="str">
        <f>"21386"</f>
        <v>21386</v>
      </c>
      <c r="B772" s="5" t="s">
        <v>929</v>
      </c>
      <c r="C772" s="17">
        <v>19900101</v>
      </c>
      <c r="D772" s="17">
        <v>22991231</v>
      </c>
      <c r="E772" s="24" t="s">
        <v>7128</v>
      </c>
    </row>
    <row r="773" spans="1:5" ht="26" x14ac:dyDescent="0.3">
      <c r="A773" s="17" t="str">
        <f>"21387"</f>
        <v>21387</v>
      </c>
      <c r="B773" s="5" t="s">
        <v>930</v>
      </c>
      <c r="C773" s="17">
        <v>19900101</v>
      </c>
      <c r="D773" s="17">
        <v>22991231</v>
      </c>
      <c r="E773" s="24" t="s">
        <v>7128</v>
      </c>
    </row>
    <row r="774" spans="1:5" ht="26" x14ac:dyDescent="0.3">
      <c r="A774" s="17" t="str">
        <f>"21390"</f>
        <v>21390</v>
      </c>
      <c r="B774" s="5" t="s">
        <v>931</v>
      </c>
      <c r="C774" s="17">
        <v>19900101</v>
      </c>
      <c r="D774" s="17">
        <v>22991231</v>
      </c>
      <c r="E774" s="25">
        <v>2637</v>
      </c>
    </row>
    <row r="775" spans="1:5" ht="26" x14ac:dyDescent="0.3">
      <c r="A775" s="17" t="str">
        <f>"21395"</f>
        <v>21395</v>
      </c>
      <c r="B775" s="5" t="s">
        <v>932</v>
      </c>
      <c r="C775" s="17">
        <v>19900101</v>
      </c>
      <c r="D775" s="17">
        <v>22991231</v>
      </c>
      <c r="E775" s="24" t="s">
        <v>7128</v>
      </c>
    </row>
    <row r="776" spans="1:5" x14ac:dyDescent="0.3">
      <c r="A776" s="17" t="str">
        <f>"21400"</f>
        <v>21400</v>
      </c>
      <c r="B776" s="5" t="s">
        <v>933</v>
      </c>
      <c r="C776" s="17">
        <v>19900101</v>
      </c>
      <c r="D776" s="17">
        <v>22991231</v>
      </c>
      <c r="E776" s="25">
        <v>272.61</v>
      </c>
    </row>
    <row r="777" spans="1:5" ht="26" x14ac:dyDescent="0.3">
      <c r="A777" s="17" t="str">
        <f>"21401"</f>
        <v>21401</v>
      </c>
      <c r="B777" s="5" t="s">
        <v>934</v>
      </c>
      <c r="C777" s="17">
        <v>19900101</v>
      </c>
      <c r="D777" s="17">
        <v>22991231</v>
      </c>
      <c r="E777" s="25">
        <v>803.48</v>
      </c>
    </row>
    <row r="778" spans="1:5" x14ac:dyDescent="0.3">
      <c r="A778" s="17" t="str">
        <f>"21406"</f>
        <v>21406</v>
      </c>
      <c r="B778" s="5" t="s">
        <v>935</v>
      </c>
      <c r="C778" s="17">
        <v>19900101</v>
      </c>
      <c r="D778" s="17">
        <v>22991231</v>
      </c>
      <c r="E778" s="25">
        <v>2637</v>
      </c>
    </row>
    <row r="779" spans="1:5" x14ac:dyDescent="0.3">
      <c r="A779" s="17" t="str">
        <f>"21407"</f>
        <v>21407</v>
      </c>
      <c r="B779" s="5" t="s">
        <v>936</v>
      </c>
      <c r="C779" s="17">
        <v>19900101</v>
      </c>
      <c r="D779" s="17">
        <v>22991231</v>
      </c>
      <c r="E779" s="25">
        <v>2637</v>
      </c>
    </row>
    <row r="780" spans="1:5" x14ac:dyDescent="0.3">
      <c r="A780" s="17" t="str">
        <f>"21408"</f>
        <v>21408</v>
      </c>
      <c r="B780" s="5" t="s">
        <v>937</v>
      </c>
      <c r="C780" s="17">
        <v>19930101</v>
      </c>
      <c r="D780" s="17">
        <v>22991231</v>
      </c>
      <c r="E780" s="24" t="s">
        <v>7128</v>
      </c>
    </row>
    <row r="781" spans="1:5" ht="39" x14ac:dyDescent="0.3">
      <c r="A781" s="17" t="str">
        <f>"21421"</f>
        <v>21421</v>
      </c>
      <c r="B781" s="5" t="s">
        <v>938</v>
      </c>
      <c r="C781" s="17">
        <v>19900101</v>
      </c>
      <c r="D781" s="17">
        <v>22991231</v>
      </c>
      <c r="E781" s="25">
        <v>1259.74</v>
      </c>
    </row>
    <row r="782" spans="1:5" ht="26" x14ac:dyDescent="0.3">
      <c r="A782" s="17" t="str">
        <f>"21440"</f>
        <v>21440</v>
      </c>
      <c r="B782" s="5" t="s">
        <v>939</v>
      </c>
      <c r="C782" s="17">
        <v>19900101</v>
      </c>
      <c r="D782" s="17">
        <v>22991231</v>
      </c>
      <c r="E782" s="25">
        <v>594.86</v>
      </c>
    </row>
    <row r="783" spans="1:5" x14ac:dyDescent="0.3">
      <c r="A783" s="17" t="str">
        <f>"21445"</f>
        <v>21445</v>
      </c>
      <c r="B783" s="5" t="s">
        <v>940</v>
      </c>
      <c r="C783" s="17">
        <v>19900101</v>
      </c>
      <c r="D783" s="17">
        <v>22991231</v>
      </c>
      <c r="E783" s="25">
        <v>3333.17</v>
      </c>
    </row>
    <row r="784" spans="1:5" x14ac:dyDescent="0.3">
      <c r="A784" s="17" t="str">
        <f>"21450"</f>
        <v>21450</v>
      </c>
      <c r="B784" s="5" t="s">
        <v>941</v>
      </c>
      <c r="C784" s="17">
        <v>19900101</v>
      </c>
      <c r="D784" s="17">
        <v>22991231</v>
      </c>
      <c r="E784" s="25">
        <v>272.61</v>
      </c>
    </row>
    <row r="785" spans="1:5" ht="26" x14ac:dyDescent="0.3">
      <c r="A785" s="17" t="str">
        <f>"21451"</f>
        <v>21451</v>
      </c>
      <c r="B785" s="5" t="s">
        <v>942</v>
      </c>
      <c r="C785" s="17">
        <v>19900101</v>
      </c>
      <c r="D785" s="17">
        <v>22991231</v>
      </c>
      <c r="E785" s="25">
        <v>636.91999999999996</v>
      </c>
    </row>
    <row r="786" spans="1:5" ht="26" x14ac:dyDescent="0.3">
      <c r="A786" s="17" t="str">
        <f>"21452"</f>
        <v>21452</v>
      </c>
      <c r="B786" s="5" t="s">
        <v>943</v>
      </c>
      <c r="C786" s="17">
        <v>19900101</v>
      </c>
      <c r="D786" s="17">
        <v>22991231</v>
      </c>
      <c r="E786" s="25">
        <v>3354.56</v>
      </c>
    </row>
    <row r="787" spans="1:5" ht="26" x14ac:dyDescent="0.3">
      <c r="A787" s="17" t="str">
        <f>"21453"</f>
        <v>21453</v>
      </c>
      <c r="B787" s="5" t="s">
        <v>944</v>
      </c>
      <c r="C787" s="17">
        <v>19900101</v>
      </c>
      <c r="D787" s="17">
        <v>22991231</v>
      </c>
      <c r="E787" s="25">
        <v>3381.93</v>
      </c>
    </row>
    <row r="788" spans="1:5" ht="26" x14ac:dyDescent="0.3">
      <c r="A788" s="17" t="str">
        <f>"21454"</f>
        <v>21454</v>
      </c>
      <c r="B788" s="5" t="s">
        <v>945</v>
      </c>
      <c r="C788" s="17">
        <v>19900101</v>
      </c>
      <c r="D788" s="17">
        <v>22991231</v>
      </c>
      <c r="E788" s="25">
        <v>3336.91</v>
      </c>
    </row>
    <row r="789" spans="1:5" x14ac:dyDescent="0.3">
      <c r="A789" s="17" t="str">
        <f>"21461"</f>
        <v>21461</v>
      </c>
      <c r="B789" s="5" t="s">
        <v>946</v>
      </c>
      <c r="C789" s="17">
        <v>19900101</v>
      </c>
      <c r="D789" s="17">
        <v>22991231</v>
      </c>
      <c r="E789" s="25">
        <v>3342.65</v>
      </c>
    </row>
    <row r="790" spans="1:5" ht="26" x14ac:dyDescent="0.3">
      <c r="A790" s="17" t="str">
        <f>"21462"</f>
        <v>21462</v>
      </c>
      <c r="B790" s="5" t="s">
        <v>947</v>
      </c>
      <c r="C790" s="17">
        <v>19900101</v>
      </c>
      <c r="D790" s="17">
        <v>22991231</v>
      </c>
      <c r="E790" s="25">
        <v>3509.03</v>
      </c>
    </row>
    <row r="791" spans="1:5" ht="26" x14ac:dyDescent="0.3">
      <c r="A791" s="17" t="str">
        <f>"21465"</f>
        <v>21465</v>
      </c>
      <c r="B791" s="5" t="s">
        <v>948</v>
      </c>
      <c r="C791" s="17">
        <v>19900101</v>
      </c>
      <c r="D791" s="17">
        <v>22991231</v>
      </c>
      <c r="E791" s="25">
        <v>2637</v>
      </c>
    </row>
    <row r="792" spans="1:5" ht="26" x14ac:dyDescent="0.3">
      <c r="A792" s="17" t="str">
        <f>"21470"</f>
        <v>21470</v>
      </c>
      <c r="B792" s="5" t="s">
        <v>949</v>
      </c>
      <c r="C792" s="17">
        <v>19900101</v>
      </c>
      <c r="D792" s="17">
        <v>22991231</v>
      </c>
      <c r="E792" s="24" t="s">
        <v>7128</v>
      </c>
    </row>
    <row r="793" spans="1:5" x14ac:dyDescent="0.3">
      <c r="A793" s="17" t="str">
        <f>"21480"</f>
        <v>21480</v>
      </c>
      <c r="B793" s="5" t="s">
        <v>950</v>
      </c>
      <c r="C793" s="17">
        <v>19900101</v>
      </c>
      <c r="D793" s="17">
        <v>22991231</v>
      </c>
      <c r="E793" s="25">
        <v>116.84</v>
      </c>
    </row>
    <row r="794" spans="1:5" ht="26" x14ac:dyDescent="0.3">
      <c r="A794" s="17" t="str">
        <f>"21485"</f>
        <v>21485</v>
      </c>
      <c r="B794" s="5" t="s">
        <v>951</v>
      </c>
      <c r="C794" s="17">
        <v>19900101</v>
      </c>
      <c r="D794" s="17">
        <v>22991231</v>
      </c>
      <c r="E794" s="25">
        <v>636.91999999999996</v>
      </c>
    </row>
    <row r="795" spans="1:5" x14ac:dyDescent="0.3">
      <c r="A795" s="17" t="str">
        <f>"21490"</f>
        <v>21490</v>
      </c>
      <c r="B795" s="5" t="s">
        <v>952</v>
      </c>
      <c r="C795" s="17">
        <v>19900101</v>
      </c>
      <c r="D795" s="17">
        <v>22991231</v>
      </c>
      <c r="E795" s="25">
        <v>1259.74</v>
      </c>
    </row>
    <row r="796" spans="1:5" x14ac:dyDescent="0.3">
      <c r="A796" s="17" t="str">
        <f>"21497"</f>
        <v>21497</v>
      </c>
      <c r="B796" s="5" t="s">
        <v>953</v>
      </c>
      <c r="C796" s="17">
        <v>19900101</v>
      </c>
      <c r="D796" s="17">
        <v>22991231</v>
      </c>
      <c r="E796" s="25">
        <v>636.91999999999996</v>
      </c>
    </row>
    <row r="797" spans="1:5" ht="26" x14ac:dyDescent="0.3">
      <c r="A797" s="17" t="str">
        <f>"21501"</f>
        <v>21501</v>
      </c>
      <c r="B797" s="5" t="s">
        <v>954</v>
      </c>
      <c r="C797" s="17">
        <v>19900101</v>
      </c>
      <c r="D797" s="17">
        <v>22991231</v>
      </c>
      <c r="E797" s="25">
        <v>1105.24</v>
      </c>
    </row>
    <row r="798" spans="1:5" ht="39" x14ac:dyDescent="0.3">
      <c r="A798" s="17" t="str">
        <f>"21502"</f>
        <v>21502</v>
      </c>
      <c r="B798" s="5" t="s">
        <v>955</v>
      </c>
      <c r="C798" s="17">
        <v>19900101</v>
      </c>
      <c r="D798" s="17">
        <v>22991231</v>
      </c>
      <c r="E798" s="25">
        <v>1450.8</v>
      </c>
    </row>
    <row r="799" spans="1:5" x14ac:dyDescent="0.3">
      <c r="A799" s="17" t="str">
        <f>"21550"</f>
        <v>21550</v>
      </c>
      <c r="B799" s="5" t="s">
        <v>956</v>
      </c>
      <c r="C799" s="17">
        <v>19900101</v>
      </c>
      <c r="D799" s="17">
        <v>22991231</v>
      </c>
      <c r="E799" s="25">
        <v>652.27</v>
      </c>
    </row>
    <row r="800" spans="1:5" ht="26" x14ac:dyDescent="0.3">
      <c r="A800" s="17" t="str">
        <f>"21552"</f>
        <v>21552</v>
      </c>
      <c r="B800" s="5" t="s">
        <v>957</v>
      </c>
      <c r="C800" s="17">
        <v>20100101</v>
      </c>
      <c r="D800" s="17">
        <v>22991231</v>
      </c>
      <c r="E800" s="25">
        <v>1105.24</v>
      </c>
    </row>
    <row r="801" spans="1:5" ht="26" x14ac:dyDescent="0.3">
      <c r="A801" s="17" t="str">
        <f>"21554"</f>
        <v>21554</v>
      </c>
      <c r="B801" s="5" t="s">
        <v>958</v>
      </c>
      <c r="C801" s="17">
        <v>20100101</v>
      </c>
      <c r="D801" s="17">
        <v>22991231</v>
      </c>
      <c r="E801" s="25">
        <v>1105.24</v>
      </c>
    </row>
    <row r="802" spans="1:5" ht="26" x14ac:dyDescent="0.3">
      <c r="A802" s="17" t="str">
        <f>"21555"</f>
        <v>21555</v>
      </c>
      <c r="B802" s="5" t="s">
        <v>959</v>
      </c>
      <c r="C802" s="17">
        <v>19900101</v>
      </c>
      <c r="D802" s="17">
        <v>22991231</v>
      </c>
      <c r="E802" s="25">
        <v>652.27</v>
      </c>
    </row>
    <row r="803" spans="1:5" ht="26" x14ac:dyDescent="0.3">
      <c r="A803" s="17" t="str">
        <f>"21556"</f>
        <v>21556</v>
      </c>
      <c r="B803" s="5" t="s">
        <v>960</v>
      </c>
      <c r="C803" s="17">
        <v>19900101</v>
      </c>
      <c r="D803" s="17">
        <v>22991231</v>
      </c>
      <c r="E803" s="25">
        <v>1105.24</v>
      </c>
    </row>
    <row r="804" spans="1:5" ht="26" x14ac:dyDescent="0.3">
      <c r="A804" s="17" t="str">
        <f>"21557"</f>
        <v>21557</v>
      </c>
      <c r="B804" s="5" t="s">
        <v>961</v>
      </c>
      <c r="C804" s="17">
        <v>19900101</v>
      </c>
      <c r="D804" s="17">
        <v>22991231</v>
      </c>
      <c r="E804" s="25">
        <v>1105.24</v>
      </c>
    </row>
    <row r="805" spans="1:5" ht="26" x14ac:dyDescent="0.3">
      <c r="A805" s="17" t="str">
        <f>"21558"</f>
        <v>21558</v>
      </c>
      <c r="B805" s="5" t="s">
        <v>962</v>
      </c>
      <c r="C805" s="17">
        <v>20100101</v>
      </c>
      <c r="D805" s="17">
        <v>22991231</v>
      </c>
      <c r="E805" s="25">
        <v>1105.24</v>
      </c>
    </row>
    <row r="806" spans="1:5" x14ac:dyDescent="0.3">
      <c r="A806" s="17" t="str">
        <f>"21600"</f>
        <v>21600</v>
      </c>
      <c r="B806" s="5" t="s">
        <v>963</v>
      </c>
      <c r="C806" s="17">
        <v>19900101</v>
      </c>
      <c r="D806" s="17">
        <v>22991231</v>
      </c>
      <c r="E806" s="25">
        <v>3240.75</v>
      </c>
    </row>
    <row r="807" spans="1:5" x14ac:dyDescent="0.3">
      <c r="A807" s="17" t="str">
        <f>"21601"</f>
        <v>21601</v>
      </c>
      <c r="B807" s="5" t="s">
        <v>964</v>
      </c>
      <c r="C807" s="17">
        <v>20200101</v>
      </c>
      <c r="D807" s="17">
        <v>22991231</v>
      </c>
      <c r="E807" s="24" t="s">
        <v>7128</v>
      </c>
    </row>
    <row r="808" spans="1:5" x14ac:dyDescent="0.3">
      <c r="A808" s="17" t="str">
        <f>"21610"</f>
        <v>21610</v>
      </c>
      <c r="B808" s="5" t="s">
        <v>965</v>
      </c>
      <c r="C808" s="17">
        <v>19900101</v>
      </c>
      <c r="D808" s="17">
        <v>22991231</v>
      </c>
      <c r="E808" s="25">
        <v>1450.8</v>
      </c>
    </row>
    <row r="809" spans="1:5" x14ac:dyDescent="0.3">
      <c r="A809" s="17" t="str">
        <f>"21685"</f>
        <v>21685</v>
      </c>
      <c r="B809" s="5" t="s">
        <v>966</v>
      </c>
      <c r="C809" s="17">
        <v>20230101</v>
      </c>
      <c r="D809" s="17">
        <v>22991231</v>
      </c>
      <c r="E809" s="25">
        <v>3474.83</v>
      </c>
    </row>
    <row r="810" spans="1:5" x14ac:dyDescent="0.3">
      <c r="A810" s="17" t="str">
        <f>"21700"</f>
        <v>21700</v>
      </c>
      <c r="B810" s="5" t="s">
        <v>967</v>
      </c>
      <c r="C810" s="17">
        <v>19900101</v>
      </c>
      <c r="D810" s="17">
        <v>22991231</v>
      </c>
      <c r="E810" s="25">
        <v>3240.75</v>
      </c>
    </row>
    <row r="811" spans="1:5" ht="26" x14ac:dyDescent="0.3">
      <c r="A811" s="17" t="str">
        <f>"21720"</f>
        <v>21720</v>
      </c>
      <c r="B811" s="5" t="s">
        <v>968</v>
      </c>
      <c r="C811" s="17">
        <v>19900101</v>
      </c>
      <c r="D811" s="17">
        <v>22991231</v>
      </c>
      <c r="E811" s="25">
        <v>1450.8</v>
      </c>
    </row>
    <row r="812" spans="1:5" ht="26" x14ac:dyDescent="0.3">
      <c r="A812" s="17" t="str">
        <f>"21725"</f>
        <v>21725</v>
      </c>
      <c r="B812" s="5" t="s">
        <v>969</v>
      </c>
      <c r="C812" s="17">
        <v>19900101</v>
      </c>
      <c r="D812" s="17">
        <v>22991231</v>
      </c>
      <c r="E812" s="25">
        <v>348.6</v>
      </c>
    </row>
    <row r="813" spans="1:5" x14ac:dyDescent="0.3">
      <c r="A813" s="17" t="str">
        <f>"21820"</f>
        <v>21820</v>
      </c>
      <c r="B813" s="5" t="s">
        <v>970</v>
      </c>
      <c r="C813" s="17">
        <v>19900101</v>
      </c>
      <c r="D813" s="17">
        <v>22991231</v>
      </c>
      <c r="E813" s="25">
        <v>116.84</v>
      </c>
    </row>
    <row r="814" spans="1:5" ht="26" x14ac:dyDescent="0.3">
      <c r="A814" s="17" t="str">
        <f>"21920"</f>
        <v>21920</v>
      </c>
      <c r="B814" s="5" t="s">
        <v>971</v>
      </c>
      <c r="C814" s="17">
        <v>19900101</v>
      </c>
      <c r="D814" s="17">
        <v>22991231</v>
      </c>
      <c r="E814" s="25">
        <v>165.76</v>
      </c>
    </row>
    <row r="815" spans="1:5" ht="26" x14ac:dyDescent="0.3">
      <c r="A815" s="17" t="str">
        <f>"21925"</f>
        <v>21925</v>
      </c>
      <c r="B815" s="5" t="s">
        <v>972</v>
      </c>
      <c r="C815" s="17">
        <v>19900101</v>
      </c>
      <c r="D815" s="17">
        <v>22991231</v>
      </c>
      <c r="E815" s="25">
        <v>652.27</v>
      </c>
    </row>
    <row r="816" spans="1:5" ht="26" x14ac:dyDescent="0.3">
      <c r="A816" s="17" t="str">
        <f>"21930"</f>
        <v>21930</v>
      </c>
      <c r="B816" s="5" t="s">
        <v>973</v>
      </c>
      <c r="C816" s="17">
        <v>19900101</v>
      </c>
      <c r="D816" s="17">
        <v>22991231</v>
      </c>
      <c r="E816" s="25">
        <v>652.27</v>
      </c>
    </row>
    <row r="817" spans="1:5" ht="26" x14ac:dyDescent="0.3">
      <c r="A817" s="17" t="str">
        <f>"21931"</f>
        <v>21931</v>
      </c>
      <c r="B817" s="5" t="s">
        <v>974</v>
      </c>
      <c r="C817" s="17">
        <v>20100101</v>
      </c>
      <c r="D817" s="17">
        <v>22991231</v>
      </c>
      <c r="E817" s="25">
        <v>652.27</v>
      </c>
    </row>
    <row r="818" spans="1:5" ht="26" x14ac:dyDescent="0.3">
      <c r="A818" s="17" t="str">
        <f>"21932"</f>
        <v>21932</v>
      </c>
      <c r="B818" s="5" t="s">
        <v>975</v>
      </c>
      <c r="C818" s="17">
        <v>20100101</v>
      </c>
      <c r="D818" s="17">
        <v>22991231</v>
      </c>
      <c r="E818" s="25">
        <v>1105.24</v>
      </c>
    </row>
    <row r="819" spans="1:5" ht="26" x14ac:dyDescent="0.3">
      <c r="A819" s="17" t="str">
        <f>"21933"</f>
        <v>21933</v>
      </c>
      <c r="B819" s="5" t="s">
        <v>976</v>
      </c>
      <c r="C819" s="17">
        <v>20100101</v>
      </c>
      <c r="D819" s="17">
        <v>22991231</v>
      </c>
      <c r="E819" s="25">
        <v>1105.24</v>
      </c>
    </row>
    <row r="820" spans="1:5" ht="26" x14ac:dyDescent="0.3">
      <c r="A820" s="17" t="str">
        <f>"21935"</f>
        <v>21935</v>
      </c>
      <c r="B820" s="5" t="s">
        <v>977</v>
      </c>
      <c r="C820" s="17">
        <v>19900101</v>
      </c>
      <c r="D820" s="17">
        <v>22991231</v>
      </c>
      <c r="E820" s="25">
        <v>1105.24</v>
      </c>
    </row>
    <row r="821" spans="1:5" ht="26" x14ac:dyDescent="0.3">
      <c r="A821" s="17" t="str">
        <f>"21936"</f>
        <v>21936</v>
      </c>
      <c r="B821" s="5" t="s">
        <v>978</v>
      </c>
      <c r="C821" s="17">
        <v>20100101</v>
      </c>
      <c r="D821" s="17">
        <v>22991231</v>
      </c>
      <c r="E821" s="25">
        <v>1105.24</v>
      </c>
    </row>
    <row r="822" spans="1:5" x14ac:dyDescent="0.3">
      <c r="A822" s="17" t="str">
        <f>"22100"</f>
        <v>22100</v>
      </c>
      <c r="B822" s="5" t="s">
        <v>979</v>
      </c>
      <c r="C822" s="17">
        <v>19900101</v>
      </c>
      <c r="D822" s="17">
        <v>22991231</v>
      </c>
      <c r="E822" s="24" t="s">
        <v>7128</v>
      </c>
    </row>
    <row r="823" spans="1:5" x14ac:dyDescent="0.3">
      <c r="A823" s="17" t="str">
        <f>"22101"</f>
        <v>22101</v>
      </c>
      <c r="B823" s="5" t="s">
        <v>980</v>
      </c>
      <c r="C823" s="17">
        <v>19900101</v>
      </c>
      <c r="D823" s="17">
        <v>22991231</v>
      </c>
      <c r="E823" s="24" t="s">
        <v>7128</v>
      </c>
    </row>
    <row r="824" spans="1:5" x14ac:dyDescent="0.3">
      <c r="A824" s="17" t="str">
        <f>"22102"</f>
        <v>22102</v>
      </c>
      <c r="B824" s="5" t="s">
        <v>981</v>
      </c>
      <c r="C824" s="17">
        <v>19900101</v>
      </c>
      <c r="D824" s="17">
        <v>22991231</v>
      </c>
      <c r="E824" s="25">
        <v>3240.75</v>
      </c>
    </row>
    <row r="825" spans="1:5" ht="26" x14ac:dyDescent="0.3">
      <c r="A825" s="17" t="str">
        <f>"22103"</f>
        <v>22103</v>
      </c>
      <c r="B825" s="5" t="s">
        <v>982</v>
      </c>
      <c r="C825" s="17">
        <v>19960101</v>
      </c>
      <c r="D825" s="17">
        <v>22991231</v>
      </c>
      <c r="E825" s="25">
        <v>0</v>
      </c>
    </row>
    <row r="826" spans="1:5" ht="26" x14ac:dyDescent="0.3">
      <c r="A826" s="17" t="str">
        <f>"22310"</f>
        <v>22310</v>
      </c>
      <c r="B826" s="5" t="s">
        <v>983</v>
      </c>
      <c r="C826" s="17">
        <v>19900101</v>
      </c>
      <c r="D826" s="17">
        <v>22991231</v>
      </c>
      <c r="E826" s="25">
        <v>116.84</v>
      </c>
    </row>
    <row r="827" spans="1:5" ht="26" x14ac:dyDescent="0.3">
      <c r="A827" s="17" t="str">
        <f>"22315"</f>
        <v>22315</v>
      </c>
      <c r="B827" s="5" t="s">
        <v>984</v>
      </c>
      <c r="C827" s="17">
        <v>19900101</v>
      </c>
      <c r="D827" s="17">
        <v>22991231</v>
      </c>
      <c r="E827" s="25">
        <v>1450.8</v>
      </c>
    </row>
    <row r="828" spans="1:5" x14ac:dyDescent="0.3">
      <c r="A828" s="17" t="str">
        <f>"22505"</f>
        <v>22505</v>
      </c>
      <c r="B828" s="5" t="s">
        <v>985</v>
      </c>
      <c r="C828" s="17">
        <v>19900101</v>
      </c>
      <c r="D828" s="17">
        <v>22991231</v>
      </c>
      <c r="E828" s="25">
        <v>782.3</v>
      </c>
    </row>
    <row r="829" spans="1:5" x14ac:dyDescent="0.3">
      <c r="A829" s="17" t="str">
        <f>"22510"</f>
        <v>22510</v>
      </c>
      <c r="B829" s="5" t="s">
        <v>986</v>
      </c>
      <c r="C829" s="17">
        <v>20230101</v>
      </c>
      <c r="D829" s="17">
        <v>22991231</v>
      </c>
      <c r="E829" s="25">
        <v>1450.8</v>
      </c>
    </row>
    <row r="830" spans="1:5" x14ac:dyDescent="0.3">
      <c r="A830" s="17" t="str">
        <f>"22511"</f>
        <v>22511</v>
      </c>
      <c r="B830" s="5" t="s">
        <v>987</v>
      </c>
      <c r="C830" s="17">
        <v>20230101</v>
      </c>
      <c r="D830" s="17">
        <v>22991231</v>
      </c>
      <c r="E830" s="25">
        <v>1450.8</v>
      </c>
    </row>
    <row r="831" spans="1:5" x14ac:dyDescent="0.3">
      <c r="A831" s="17" t="str">
        <f>"22512"</f>
        <v>22512</v>
      </c>
      <c r="B831" s="5" t="s">
        <v>988</v>
      </c>
      <c r="C831" s="17">
        <v>20230101</v>
      </c>
      <c r="D831" s="17">
        <v>22991231</v>
      </c>
      <c r="E831" s="25">
        <v>0</v>
      </c>
    </row>
    <row r="832" spans="1:5" ht="39" x14ac:dyDescent="0.3">
      <c r="A832" s="17" t="str">
        <f>"22513"</f>
        <v>22513</v>
      </c>
      <c r="B832" s="5" t="s">
        <v>989</v>
      </c>
      <c r="C832" s="17">
        <v>20230101</v>
      </c>
      <c r="D832" s="17">
        <v>22991231</v>
      </c>
      <c r="E832" s="25">
        <v>3240.75</v>
      </c>
    </row>
    <row r="833" spans="1:5" ht="26" x14ac:dyDescent="0.3">
      <c r="A833" s="17" t="str">
        <f>"22514"</f>
        <v>22514</v>
      </c>
      <c r="B833" s="5" t="s">
        <v>990</v>
      </c>
      <c r="C833" s="17">
        <v>20230101</v>
      </c>
      <c r="D833" s="17">
        <v>22991231</v>
      </c>
      <c r="E833" s="25">
        <v>3240.75</v>
      </c>
    </row>
    <row r="834" spans="1:5" ht="26" x14ac:dyDescent="0.3">
      <c r="A834" s="17" t="str">
        <f>"22515"</f>
        <v>22515</v>
      </c>
      <c r="B834" s="5" t="s">
        <v>991</v>
      </c>
      <c r="C834" s="17">
        <v>20230101</v>
      </c>
      <c r="D834" s="17">
        <v>22991231</v>
      </c>
      <c r="E834" s="25">
        <v>0</v>
      </c>
    </row>
    <row r="835" spans="1:5" ht="26" x14ac:dyDescent="0.3">
      <c r="A835" s="17" t="str">
        <f>"22551"</f>
        <v>22551</v>
      </c>
      <c r="B835" s="5" t="s">
        <v>992</v>
      </c>
      <c r="C835" s="17">
        <v>20200427</v>
      </c>
      <c r="D835" s="17">
        <v>22991231</v>
      </c>
      <c r="E835" s="25">
        <v>8466.7999999999993</v>
      </c>
    </row>
    <row r="836" spans="1:5" ht="39" x14ac:dyDescent="0.3">
      <c r="A836" s="17" t="str">
        <f>"22552"</f>
        <v>22552</v>
      </c>
      <c r="B836" s="5" t="s">
        <v>993</v>
      </c>
      <c r="C836" s="17">
        <v>20200427</v>
      </c>
      <c r="D836" s="17">
        <v>22991231</v>
      </c>
      <c r="E836" s="25">
        <v>0</v>
      </c>
    </row>
    <row r="837" spans="1:5" ht="26" x14ac:dyDescent="0.3">
      <c r="A837" s="17" t="str">
        <f>"22554"</f>
        <v>22554</v>
      </c>
      <c r="B837" s="5" t="s">
        <v>994</v>
      </c>
      <c r="C837" s="17">
        <v>20230101</v>
      </c>
      <c r="D837" s="17">
        <v>22991231</v>
      </c>
      <c r="E837" s="25">
        <v>8294.31</v>
      </c>
    </row>
    <row r="838" spans="1:5" ht="26" x14ac:dyDescent="0.3">
      <c r="A838" s="17" t="str">
        <f>"22585"</f>
        <v>22585</v>
      </c>
      <c r="B838" s="5" t="s">
        <v>995</v>
      </c>
      <c r="C838" s="17">
        <v>20230101</v>
      </c>
      <c r="D838" s="17">
        <v>22991231</v>
      </c>
      <c r="E838" s="25">
        <v>0</v>
      </c>
    </row>
    <row r="839" spans="1:5" x14ac:dyDescent="0.3">
      <c r="A839" s="17" t="str">
        <f>"22612"</f>
        <v>22612</v>
      </c>
      <c r="B839" s="5" t="s">
        <v>996</v>
      </c>
      <c r="C839" s="17">
        <v>20230101</v>
      </c>
      <c r="D839" s="17">
        <v>22991231</v>
      </c>
      <c r="E839" s="25">
        <v>12915.34</v>
      </c>
    </row>
    <row r="840" spans="1:5" x14ac:dyDescent="0.3">
      <c r="A840" s="17" t="str">
        <f>"22614"</f>
        <v>22614</v>
      </c>
      <c r="B840" s="5" t="s">
        <v>997</v>
      </c>
      <c r="C840" s="17">
        <v>19960101</v>
      </c>
      <c r="D840" s="17">
        <v>22991231</v>
      </c>
      <c r="E840" s="25">
        <v>0</v>
      </c>
    </row>
    <row r="841" spans="1:5" ht="26" x14ac:dyDescent="0.3">
      <c r="A841" s="17" t="str">
        <f>"22840"</f>
        <v>22840</v>
      </c>
      <c r="B841" s="5" t="s">
        <v>998</v>
      </c>
      <c r="C841" s="17">
        <v>19900101</v>
      </c>
      <c r="D841" s="17">
        <v>22991231</v>
      </c>
      <c r="E841" s="25">
        <v>0</v>
      </c>
    </row>
    <row r="842" spans="1:5" ht="26" x14ac:dyDescent="0.3">
      <c r="A842" s="17" t="str">
        <f>"22842"</f>
        <v>22842</v>
      </c>
      <c r="B842" s="5" t="s">
        <v>999</v>
      </c>
      <c r="C842" s="17">
        <v>19900101</v>
      </c>
      <c r="D842" s="17">
        <v>22991231</v>
      </c>
      <c r="E842" s="25">
        <v>0</v>
      </c>
    </row>
    <row r="843" spans="1:5" ht="26" x14ac:dyDescent="0.3">
      <c r="A843" s="17" t="str">
        <f>"22845"</f>
        <v>22845</v>
      </c>
      <c r="B843" s="5" t="s">
        <v>1000</v>
      </c>
      <c r="C843" s="17">
        <v>19900101</v>
      </c>
      <c r="D843" s="17">
        <v>22991231</v>
      </c>
      <c r="E843" s="25">
        <v>0</v>
      </c>
    </row>
    <row r="844" spans="1:5" ht="26" x14ac:dyDescent="0.3">
      <c r="A844" s="17" t="str">
        <f>"22846"</f>
        <v>22846</v>
      </c>
      <c r="B844" s="5" t="s">
        <v>1001</v>
      </c>
      <c r="C844" s="17">
        <v>19960101</v>
      </c>
      <c r="D844" s="17">
        <v>22991231</v>
      </c>
      <c r="E844" s="24" t="s">
        <v>7128</v>
      </c>
    </row>
    <row r="845" spans="1:5" ht="26" x14ac:dyDescent="0.3">
      <c r="A845" s="17" t="str">
        <f>"22850"</f>
        <v>22850</v>
      </c>
      <c r="B845" s="5" t="s">
        <v>1002</v>
      </c>
      <c r="C845" s="17">
        <v>19900101</v>
      </c>
      <c r="D845" s="17">
        <v>22991231</v>
      </c>
      <c r="E845" s="24" t="s">
        <v>7128</v>
      </c>
    </row>
    <row r="846" spans="1:5" ht="26" x14ac:dyDescent="0.3">
      <c r="A846" s="17" t="str">
        <f>"22853"</f>
        <v>22853</v>
      </c>
      <c r="B846" s="5" t="s">
        <v>1003</v>
      </c>
      <c r="C846" s="17">
        <v>20170101</v>
      </c>
      <c r="D846" s="17">
        <v>22991231</v>
      </c>
      <c r="E846" s="25">
        <v>0</v>
      </c>
    </row>
    <row r="847" spans="1:5" ht="26" x14ac:dyDescent="0.3">
      <c r="A847" s="17" t="str">
        <f>"22854"</f>
        <v>22854</v>
      </c>
      <c r="B847" s="5" t="s">
        <v>1004</v>
      </c>
      <c r="C847" s="17">
        <v>20170101</v>
      </c>
      <c r="D847" s="17">
        <v>22991231</v>
      </c>
      <c r="E847" s="25">
        <v>0</v>
      </c>
    </row>
    <row r="848" spans="1:5" ht="26" x14ac:dyDescent="0.3">
      <c r="A848" s="17" t="str">
        <f>"22856"</f>
        <v>22856</v>
      </c>
      <c r="B848" s="5" t="s">
        <v>1005</v>
      </c>
      <c r="C848" s="17">
        <v>20230101</v>
      </c>
      <c r="D848" s="17">
        <v>22991231</v>
      </c>
      <c r="E848" s="25">
        <v>12596.49</v>
      </c>
    </row>
    <row r="849" spans="1:5" ht="26" x14ac:dyDescent="0.3">
      <c r="A849" s="17" t="str">
        <f>"22858"</f>
        <v>22858</v>
      </c>
      <c r="B849" s="5" t="s">
        <v>1006</v>
      </c>
      <c r="C849" s="17">
        <v>20230101</v>
      </c>
      <c r="D849" s="17">
        <v>22991231</v>
      </c>
      <c r="E849" s="25">
        <v>0</v>
      </c>
    </row>
    <row r="850" spans="1:5" ht="26" x14ac:dyDescent="0.3">
      <c r="A850" s="17" t="str">
        <f>"22859"</f>
        <v>22859</v>
      </c>
      <c r="B850" s="5" t="s">
        <v>1007</v>
      </c>
      <c r="C850" s="17">
        <v>20170101</v>
      </c>
      <c r="D850" s="17">
        <v>22991231</v>
      </c>
      <c r="E850" s="25">
        <v>0</v>
      </c>
    </row>
    <row r="851" spans="1:5" ht="26" x14ac:dyDescent="0.3">
      <c r="A851" s="17" t="str">
        <f>"22867"</f>
        <v>22867</v>
      </c>
      <c r="B851" s="5" t="s">
        <v>1008</v>
      </c>
      <c r="C851" s="17">
        <v>20170101</v>
      </c>
      <c r="D851" s="17">
        <v>22991231</v>
      </c>
      <c r="E851" s="25">
        <v>13440.32</v>
      </c>
    </row>
    <row r="852" spans="1:5" ht="26" x14ac:dyDescent="0.3">
      <c r="A852" s="17" t="str">
        <f>"22868"</f>
        <v>22868</v>
      </c>
      <c r="B852" s="5" t="s">
        <v>1009</v>
      </c>
      <c r="C852" s="17">
        <v>20170101</v>
      </c>
      <c r="D852" s="17">
        <v>22991231</v>
      </c>
      <c r="E852" s="25">
        <v>0</v>
      </c>
    </row>
    <row r="853" spans="1:5" ht="26" x14ac:dyDescent="0.3">
      <c r="A853" s="17" t="str">
        <f>"22869"</f>
        <v>22869</v>
      </c>
      <c r="B853" s="5" t="s">
        <v>1010</v>
      </c>
      <c r="C853" s="17">
        <v>20170101</v>
      </c>
      <c r="D853" s="17">
        <v>22991231</v>
      </c>
      <c r="E853" s="25">
        <v>10030.6</v>
      </c>
    </row>
    <row r="854" spans="1:5" ht="26" x14ac:dyDescent="0.3">
      <c r="A854" s="17" t="str">
        <f>"22870"</f>
        <v>22870</v>
      </c>
      <c r="B854" s="5" t="s">
        <v>1011</v>
      </c>
      <c r="C854" s="17">
        <v>20170101</v>
      </c>
      <c r="D854" s="17">
        <v>22991231</v>
      </c>
      <c r="E854" s="25">
        <v>0</v>
      </c>
    </row>
    <row r="855" spans="1:5" x14ac:dyDescent="0.3">
      <c r="A855" s="17" t="str">
        <f>"22899"</f>
        <v>22899</v>
      </c>
      <c r="B855" s="5" t="s">
        <v>1012</v>
      </c>
      <c r="C855" s="17">
        <v>19900101</v>
      </c>
      <c r="D855" s="17">
        <v>22991231</v>
      </c>
      <c r="E855" s="24" t="s">
        <v>7128</v>
      </c>
    </row>
    <row r="856" spans="1:5" ht="26" x14ac:dyDescent="0.3">
      <c r="A856" s="17" t="str">
        <f>"22900"</f>
        <v>22900</v>
      </c>
      <c r="B856" s="5" t="s">
        <v>1013</v>
      </c>
      <c r="C856" s="17">
        <v>19900101</v>
      </c>
      <c r="D856" s="17">
        <v>22991231</v>
      </c>
      <c r="E856" s="25">
        <v>1105.24</v>
      </c>
    </row>
    <row r="857" spans="1:5" ht="26" x14ac:dyDescent="0.3">
      <c r="A857" s="17" t="str">
        <f>"22901"</f>
        <v>22901</v>
      </c>
      <c r="B857" s="5" t="s">
        <v>1014</v>
      </c>
      <c r="C857" s="17">
        <v>20100101</v>
      </c>
      <c r="D857" s="17">
        <v>22991231</v>
      </c>
      <c r="E857" s="25">
        <v>1105.24</v>
      </c>
    </row>
    <row r="858" spans="1:5" ht="26" x14ac:dyDescent="0.3">
      <c r="A858" s="17" t="str">
        <f>"22902"</f>
        <v>22902</v>
      </c>
      <c r="B858" s="5" t="s">
        <v>1015</v>
      </c>
      <c r="C858" s="17">
        <v>20100101</v>
      </c>
      <c r="D858" s="17">
        <v>22991231</v>
      </c>
      <c r="E858" s="25">
        <v>652.27</v>
      </c>
    </row>
    <row r="859" spans="1:5" ht="26" x14ac:dyDescent="0.3">
      <c r="A859" s="17" t="str">
        <f>"22903"</f>
        <v>22903</v>
      </c>
      <c r="B859" s="5" t="s">
        <v>1016</v>
      </c>
      <c r="C859" s="17">
        <v>20100101</v>
      </c>
      <c r="D859" s="17">
        <v>22991231</v>
      </c>
      <c r="E859" s="25">
        <v>1105.24</v>
      </c>
    </row>
    <row r="860" spans="1:5" ht="26" x14ac:dyDescent="0.3">
      <c r="A860" s="17" t="str">
        <f>"22904"</f>
        <v>22904</v>
      </c>
      <c r="B860" s="5" t="s">
        <v>1017</v>
      </c>
      <c r="C860" s="17">
        <v>20100101</v>
      </c>
      <c r="D860" s="17">
        <v>22991231</v>
      </c>
      <c r="E860" s="25">
        <v>1105.24</v>
      </c>
    </row>
    <row r="861" spans="1:5" ht="26" x14ac:dyDescent="0.3">
      <c r="A861" s="17" t="str">
        <f>"22905"</f>
        <v>22905</v>
      </c>
      <c r="B861" s="5" t="s">
        <v>1018</v>
      </c>
      <c r="C861" s="17">
        <v>20100101</v>
      </c>
      <c r="D861" s="17">
        <v>22991231</v>
      </c>
      <c r="E861" s="25">
        <v>1105.24</v>
      </c>
    </row>
    <row r="862" spans="1:5" x14ac:dyDescent="0.3">
      <c r="A862" s="17" t="str">
        <f>"22999"</f>
        <v>22999</v>
      </c>
      <c r="B862" s="5" t="s">
        <v>1019</v>
      </c>
      <c r="C862" s="17">
        <v>19900101</v>
      </c>
      <c r="D862" s="17">
        <v>22991231</v>
      </c>
      <c r="E862" s="24" t="s">
        <v>7128</v>
      </c>
    </row>
    <row r="863" spans="1:5" ht="26" x14ac:dyDescent="0.3">
      <c r="A863" s="17" t="str">
        <f>"23000"</f>
        <v>23000</v>
      </c>
      <c r="B863" s="5" t="s">
        <v>1020</v>
      </c>
      <c r="C863" s="17">
        <v>19900101</v>
      </c>
      <c r="D863" s="17">
        <v>22991231</v>
      </c>
      <c r="E863" s="25">
        <v>1105.24</v>
      </c>
    </row>
    <row r="864" spans="1:5" x14ac:dyDescent="0.3">
      <c r="A864" s="17" t="str">
        <f>"23020"</f>
        <v>23020</v>
      </c>
      <c r="B864" s="5" t="s">
        <v>1021</v>
      </c>
      <c r="C864" s="17">
        <v>19900101</v>
      </c>
      <c r="D864" s="17">
        <v>22991231</v>
      </c>
      <c r="E864" s="25">
        <v>1450.8</v>
      </c>
    </row>
    <row r="865" spans="1:5" ht="26" x14ac:dyDescent="0.3">
      <c r="A865" s="17" t="str">
        <f>"23030"</f>
        <v>23030</v>
      </c>
      <c r="B865" s="5" t="s">
        <v>1022</v>
      </c>
      <c r="C865" s="17">
        <v>19900101</v>
      </c>
      <c r="D865" s="17">
        <v>22991231</v>
      </c>
      <c r="E865" s="25">
        <v>1105.24</v>
      </c>
    </row>
    <row r="866" spans="1:5" ht="26" x14ac:dyDescent="0.3">
      <c r="A866" s="17" t="str">
        <f>"23031"</f>
        <v>23031</v>
      </c>
      <c r="B866" s="5" t="s">
        <v>1023</v>
      </c>
      <c r="C866" s="17">
        <v>19900101</v>
      </c>
      <c r="D866" s="17">
        <v>22991231</v>
      </c>
      <c r="E866" s="25">
        <v>1105.24</v>
      </c>
    </row>
    <row r="867" spans="1:5" ht="26" x14ac:dyDescent="0.3">
      <c r="A867" s="17" t="str">
        <f>"23035"</f>
        <v>23035</v>
      </c>
      <c r="B867" s="5" t="s">
        <v>1024</v>
      </c>
      <c r="C867" s="17">
        <v>19900101</v>
      </c>
      <c r="D867" s="17">
        <v>22991231</v>
      </c>
      <c r="E867" s="25">
        <v>782.3</v>
      </c>
    </row>
    <row r="868" spans="1:5" ht="26" x14ac:dyDescent="0.3">
      <c r="A868" s="17" t="str">
        <f>"23040"</f>
        <v>23040</v>
      </c>
      <c r="B868" s="5" t="s">
        <v>1025</v>
      </c>
      <c r="C868" s="17">
        <v>19900101</v>
      </c>
      <c r="D868" s="17">
        <v>22991231</v>
      </c>
      <c r="E868" s="25">
        <v>1450.8</v>
      </c>
    </row>
    <row r="869" spans="1:5" ht="26" x14ac:dyDescent="0.3">
      <c r="A869" s="17" t="str">
        <f>"23044"</f>
        <v>23044</v>
      </c>
      <c r="B869" s="5" t="s">
        <v>1026</v>
      </c>
      <c r="C869" s="17">
        <v>19900101</v>
      </c>
      <c r="D869" s="17">
        <v>22991231</v>
      </c>
      <c r="E869" s="25">
        <v>1450.8</v>
      </c>
    </row>
    <row r="870" spans="1:5" x14ac:dyDescent="0.3">
      <c r="A870" s="17" t="str">
        <f>"23065"</f>
        <v>23065</v>
      </c>
      <c r="B870" s="5" t="s">
        <v>1027</v>
      </c>
      <c r="C870" s="17">
        <v>19900101</v>
      </c>
      <c r="D870" s="17">
        <v>22991231</v>
      </c>
      <c r="E870" s="25">
        <v>130.11000000000001</v>
      </c>
    </row>
    <row r="871" spans="1:5" x14ac:dyDescent="0.3">
      <c r="A871" s="17" t="str">
        <f>"23066"</f>
        <v>23066</v>
      </c>
      <c r="B871" s="5" t="s">
        <v>1028</v>
      </c>
      <c r="C871" s="17">
        <v>19900101</v>
      </c>
      <c r="D871" s="17">
        <v>22991231</v>
      </c>
      <c r="E871" s="25">
        <v>1105.24</v>
      </c>
    </row>
    <row r="872" spans="1:5" ht="26" x14ac:dyDescent="0.3">
      <c r="A872" s="17" t="str">
        <f>"23071"</f>
        <v>23071</v>
      </c>
      <c r="B872" s="5" t="s">
        <v>1029</v>
      </c>
      <c r="C872" s="17">
        <v>20100101</v>
      </c>
      <c r="D872" s="17">
        <v>22991231</v>
      </c>
      <c r="E872" s="25">
        <v>652.27</v>
      </c>
    </row>
    <row r="873" spans="1:5" ht="26" x14ac:dyDescent="0.3">
      <c r="A873" s="17" t="str">
        <f>"23073"</f>
        <v>23073</v>
      </c>
      <c r="B873" s="5" t="s">
        <v>1030</v>
      </c>
      <c r="C873" s="17">
        <v>20100101</v>
      </c>
      <c r="D873" s="17">
        <v>22991231</v>
      </c>
      <c r="E873" s="25">
        <v>1105.24</v>
      </c>
    </row>
    <row r="874" spans="1:5" ht="26" x14ac:dyDescent="0.3">
      <c r="A874" s="17" t="str">
        <f>"23075"</f>
        <v>23075</v>
      </c>
      <c r="B874" s="5" t="s">
        <v>1031</v>
      </c>
      <c r="C874" s="17">
        <v>19900101</v>
      </c>
      <c r="D874" s="17">
        <v>22991231</v>
      </c>
      <c r="E874" s="25">
        <v>652.27</v>
      </c>
    </row>
    <row r="875" spans="1:5" ht="26" x14ac:dyDescent="0.3">
      <c r="A875" s="17" t="str">
        <f>"23076"</f>
        <v>23076</v>
      </c>
      <c r="B875" s="5" t="s">
        <v>1032</v>
      </c>
      <c r="C875" s="17">
        <v>19900101</v>
      </c>
      <c r="D875" s="17">
        <v>22991231</v>
      </c>
      <c r="E875" s="25">
        <v>1105.24</v>
      </c>
    </row>
    <row r="876" spans="1:5" ht="26" x14ac:dyDescent="0.3">
      <c r="A876" s="17" t="str">
        <f>"23077"</f>
        <v>23077</v>
      </c>
      <c r="B876" s="5" t="s">
        <v>1033</v>
      </c>
      <c r="C876" s="17">
        <v>19970801</v>
      </c>
      <c r="D876" s="17">
        <v>22991231</v>
      </c>
      <c r="E876" s="25">
        <v>1105.24</v>
      </c>
    </row>
    <row r="877" spans="1:5" ht="26" x14ac:dyDescent="0.3">
      <c r="A877" s="17" t="str">
        <f>"23078"</f>
        <v>23078</v>
      </c>
      <c r="B877" s="5" t="s">
        <v>1034</v>
      </c>
      <c r="C877" s="17">
        <v>20100101</v>
      </c>
      <c r="D877" s="17">
        <v>22991231</v>
      </c>
      <c r="E877" s="25">
        <v>1105.24</v>
      </c>
    </row>
    <row r="878" spans="1:5" x14ac:dyDescent="0.3">
      <c r="A878" s="17" t="str">
        <f>"23100"</f>
        <v>23100</v>
      </c>
      <c r="B878" s="5" t="s">
        <v>1035</v>
      </c>
      <c r="C878" s="17">
        <v>19900101</v>
      </c>
      <c r="D878" s="17">
        <v>22991231</v>
      </c>
      <c r="E878" s="25">
        <v>1450.8</v>
      </c>
    </row>
    <row r="879" spans="1:5" ht="26" x14ac:dyDescent="0.3">
      <c r="A879" s="17" t="str">
        <f>"23101"</f>
        <v>23101</v>
      </c>
      <c r="B879" s="5" t="s">
        <v>1036</v>
      </c>
      <c r="C879" s="17">
        <v>19900101</v>
      </c>
      <c r="D879" s="17">
        <v>22991231</v>
      </c>
      <c r="E879" s="25">
        <v>1450.8</v>
      </c>
    </row>
    <row r="880" spans="1:5" x14ac:dyDescent="0.3">
      <c r="A880" s="17" t="str">
        <f>"23105"</f>
        <v>23105</v>
      </c>
      <c r="B880" s="5" t="s">
        <v>1037</v>
      </c>
      <c r="C880" s="17">
        <v>19900101</v>
      </c>
      <c r="D880" s="17">
        <v>22991231</v>
      </c>
      <c r="E880" s="25">
        <v>3240.75</v>
      </c>
    </row>
    <row r="881" spans="1:5" ht="26" x14ac:dyDescent="0.3">
      <c r="A881" s="17" t="str">
        <f>"23106"</f>
        <v>23106</v>
      </c>
      <c r="B881" s="5" t="s">
        <v>1038</v>
      </c>
      <c r="C881" s="17">
        <v>19900101</v>
      </c>
      <c r="D881" s="17">
        <v>22991231</v>
      </c>
      <c r="E881" s="25">
        <v>1450.8</v>
      </c>
    </row>
    <row r="882" spans="1:5" x14ac:dyDescent="0.3">
      <c r="A882" s="17" t="str">
        <f>"23107"</f>
        <v>23107</v>
      </c>
      <c r="B882" s="5" t="s">
        <v>1039</v>
      </c>
      <c r="C882" s="17">
        <v>19900101</v>
      </c>
      <c r="D882" s="17">
        <v>22991231</v>
      </c>
      <c r="E882" s="25">
        <v>3240.75</v>
      </c>
    </row>
    <row r="883" spans="1:5" x14ac:dyDescent="0.3">
      <c r="A883" s="17" t="str">
        <f>"23120"</f>
        <v>23120</v>
      </c>
      <c r="B883" s="5" t="s">
        <v>1040</v>
      </c>
      <c r="C883" s="17">
        <v>19900101</v>
      </c>
      <c r="D883" s="17">
        <v>22991231</v>
      </c>
      <c r="E883" s="25">
        <v>1450.8</v>
      </c>
    </row>
    <row r="884" spans="1:5" x14ac:dyDescent="0.3">
      <c r="A884" s="17" t="str">
        <f>"23125"</f>
        <v>23125</v>
      </c>
      <c r="B884" s="5" t="s">
        <v>1041</v>
      </c>
      <c r="C884" s="17">
        <v>19900101</v>
      </c>
      <c r="D884" s="17">
        <v>22991231</v>
      </c>
      <c r="E884" s="25">
        <v>1450.8</v>
      </c>
    </row>
    <row r="885" spans="1:5" ht="26" x14ac:dyDescent="0.3">
      <c r="A885" s="17" t="str">
        <f>"23130"</f>
        <v>23130</v>
      </c>
      <c r="B885" s="5" t="s">
        <v>1042</v>
      </c>
      <c r="C885" s="17">
        <v>19900101</v>
      </c>
      <c r="D885" s="17">
        <v>22991231</v>
      </c>
      <c r="E885" s="25">
        <v>1450.8</v>
      </c>
    </row>
    <row r="886" spans="1:5" ht="26" x14ac:dyDescent="0.3">
      <c r="A886" s="17" t="str">
        <f>"23140"</f>
        <v>23140</v>
      </c>
      <c r="B886" s="5" t="s">
        <v>1043</v>
      </c>
      <c r="C886" s="17">
        <v>19900101</v>
      </c>
      <c r="D886" s="17">
        <v>22991231</v>
      </c>
      <c r="E886" s="25">
        <v>1450.8</v>
      </c>
    </row>
    <row r="887" spans="1:5" ht="26" x14ac:dyDescent="0.3">
      <c r="A887" s="17" t="str">
        <f>"23145"</f>
        <v>23145</v>
      </c>
      <c r="B887" s="5" t="s">
        <v>1044</v>
      </c>
      <c r="C887" s="17">
        <v>19900101</v>
      </c>
      <c r="D887" s="17">
        <v>22991231</v>
      </c>
      <c r="E887" s="25">
        <v>1450.8</v>
      </c>
    </row>
    <row r="888" spans="1:5" ht="26" x14ac:dyDescent="0.3">
      <c r="A888" s="17" t="str">
        <f>"23146"</f>
        <v>23146</v>
      </c>
      <c r="B888" s="5" t="s">
        <v>1045</v>
      </c>
      <c r="C888" s="17">
        <v>19900101</v>
      </c>
      <c r="D888" s="17">
        <v>22991231</v>
      </c>
      <c r="E888" s="25">
        <v>3240.75</v>
      </c>
    </row>
    <row r="889" spans="1:5" ht="26" x14ac:dyDescent="0.3">
      <c r="A889" s="17" t="str">
        <f>"23150"</f>
        <v>23150</v>
      </c>
      <c r="B889" s="5" t="s">
        <v>1046</v>
      </c>
      <c r="C889" s="17">
        <v>19900101</v>
      </c>
      <c r="D889" s="17">
        <v>22991231</v>
      </c>
      <c r="E889" s="25">
        <v>1450.8</v>
      </c>
    </row>
    <row r="890" spans="1:5" ht="26" x14ac:dyDescent="0.3">
      <c r="A890" s="17" t="str">
        <f>"23155"</f>
        <v>23155</v>
      </c>
      <c r="B890" s="5" t="s">
        <v>1047</v>
      </c>
      <c r="C890" s="17">
        <v>19900101</v>
      </c>
      <c r="D890" s="17">
        <v>22991231</v>
      </c>
      <c r="E890" s="25">
        <v>3240.75</v>
      </c>
    </row>
    <row r="891" spans="1:5" ht="26" x14ac:dyDescent="0.3">
      <c r="A891" s="17" t="str">
        <f>"23156"</f>
        <v>23156</v>
      </c>
      <c r="B891" s="5" t="s">
        <v>1048</v>
      </c>
      <c r="C891" s="17">
        <v>19900101</v>
      </c>
      <c r="D891" s="17">
        <v>22991231</v>
      </c>
      <c r="E891" s="25">
        <v>3240.75</v>
      </c>
    </row>
    <row r="892" spans="1:5" ht="26" x14ac:dyDescent="0.3">
      <c r="A892" s="17" t="str">
        <f>"23170"</f>
        <v>23170</v>
      </c>
      <c r="B892" s="5" t="s">
        <v>1049</v>
      </c>
      <c r="C892" s="17">
        <v>19900101</v>
      </c>
      <c r="D892" s="17">
        <v>22991231</v>
      </c>
      <c r="E892" s="25">
        <v>1991.87</v>
      </c>
    </row>
    <row r="893" spans="1:5" ht="26" x14ac:dyDescent="0.3">
      <c r="A893" s="17" t="str">
        <f>"23172"</f>
        <v>23172</v>
      </c>
      <c r="B893" s="5" t="s">
        <v>1050</v>
      </c>
      <c r="C893" s="17">
        <v>19900101</v>
      </c>
      <c r="D893" s="17">
        <v>22991231</v>
      </c>
      <c r="E893" s="25">
        <v>1450.8</v>
      </c>
    </row>
    <row r="894" spans="1:5" ht="26" x14ac:dyDescent="0.3">
      <c r="A894" s="17" t="str">
        <f>"23174"</f>
        <v>23174</v>
      </c>
      <c r="B894" s="5" t="s">
        <v>1051</v>
      </c>
      <c r="C894" s="17">
        <v>19900101</v>
      </c>
      <c r="D894" s="17">
        <v>22991231</v>
      </c>
      <c r="E894" s="25">
        <v>3240.75</v>
      </c>
    </row>
    <row r="895" spans="1:5" x14ac:dyDescent="0.3">
      <c r="A895" s="17" t="str">
        <f>"23180"</f>
        <v>23180</v>
      </c>
      <c r="B895" s="5" t="s">
        <v>1052</v>
      </c>
      <c r="C895" s="17">
        <v>19900101</v>
      </c>
      <c r="D895" s="17">
        <v>22991231</v>
      </c>
      <c r="E895" s="25">
        <v>3240.75</v>
      </c>
    </row>
    <row r="896" spans="1:5" x14ac:dyDescent="0.3">
      <c r="A896" s="17" t="str">
        <f>"23182"</f>
        <v>23182</v>
      </c>
      <c r="B896" s="5" t="s">
        <v>1053</v>
      </c>
      <c r="C896" s="17">
        <v>19900101</v>
      </c>
      <c r="D896" s="17">
        <v>22991231</v>
      </c>
      <c r="E896" s="25">
        <v>3240.75</v>
      </c>
    </row>
    <row r="897" spans="1:5" ht="26" x14ac:dyDescent="0.3">
      <c r="A897" s="17" t="str">
        <f>"23184"</f>
        <v>23184</v>
      </c>
      <c r="B897" s="5" t="s">
        <v>1054</v>
      </c>
      <c r="C897" s="17">
        <v>19900101</v>
      </c>
      <c r="D897" s="17">
        <v>22991231</v>
      </c>
      <c r="E897" s="25">
        <v>3240.75</v>
      </c>
    </row>
    <row r="898" spans="1:5" x14ac:dyDescent="0.3">
      <c r="A898" s="17" t="str">
        <f>"23190"</f>
        <v>23190</v>
      </c>
      <c r="B898" s="5" t="s">
        <v>1055</v>
      </c>
      <c r="C898" s="17">
        <v>19900101</v>
      </c>
      <c r="D898" s="17">
        <v>22991231</v>
      </c>
      <c r="E898" s="25">
        <v>1450.8</v>
      </c>
    </row>
    <row r="899" spans="1:5" x14ac:dyDescent="0.3">
      <c r="A899" s="17" t="str">
        <f>"23195"</f>
        <v>23195</v>
      </c>
      <c r="B899" s="5" t="s">
        <v>1056</v>
      </c>
      <c r="C899" s="17">
        <v>19900101</v>
      </c>
      <c r="D899" s="17">
        <v>22991231</v>
      </c>
      <c r="E899" s="25">
        <v>4081.38</v>
      </c>
    </row>
    <row r="900" spans="1:5" ht="26" x14ac:dyDescent="0.3">
      <c r="A900" s="17" t="str">
        <f>"23330"</f>
        <v>23330</v>
      </c>
      <c r="B900" s="5" t="s">
        <v>1057</v>
      </c>
      <c r="C900" s="17">
        <v>19900101</v>
      </c>
      <c r="D900" s="17">
        <v>22991231</v>
      </c>
      <c r="E900" s="25">
        <v>652.27</v>
      </c>
    </row>
    <row r="901" spans="1:5" ht="26" x14ac:dyDescent="0.3">
      <c r="A901" s="17" t="str">
        <f>"23333"</f>
        <v>23333</v>
      </c>
      <c r="B901" s="5" t="s">
        <v>1058</v>
      </c>
      <c r="C901" s="17">
        <v>20230101</v>
      </c>
      <c r="D901" s="17">
        <v>22991231</v>
      </c>
      <c r="E901" s="25">
        <v>1105.24</v>
      </c>
    </row>
    <row r="902" spans="1:5" ht="26" x14ac:dyDescent="0.3">
      <c r="A902" s="17" t="str">
        <f>"23334"</f>
        <v>23334</v>
      </c>
      <c r="B902" s="5" t="s">
        <v>1059</v>
      </c>
      <c r="C902" s="17">
        <v>20230101</v>
      </c>
      <c r="D902" s="17">
        <v>22991231</v>
      </c>
      <c r="E902" s="25">
        <v>1105.24</v>
      </c>
    </row>
    <row r="903" spans="1:5" ht="26" x14ac:dyDescent="0.3">
      <c r="A903" s="17" t="str">
        <f>"23350"</f>
        <v>23350</v>
      </c>
      <c r="B903" s="5" t="s">
        <v>1060</v>
      </c>
      <c r="C903" s="17">
        <v>19900101</v>
      </c>
      <c r="D903" s="17">
        <v>22991231</v>
      </c>
      <c r="E903" s="25">
        <v>0</v>
      </c>
    </row>
    <row r="904" spans="1:5" ht="26" x14ac:dyDescent="0.3">
      <c r="A904" s="17" t="str">
        <f>"23395"</f>
        <v>23395</v>
      </c>
      <c r="B904" s="5" t="s">
        <v>1061</v>
      </c>
      <c r="C904" s="17">
        <v>19900101</v>
      </c>
      <c r="D904" s="17">
        <v>22991231</v>
      </c>
      <c r="E904" s="25">
        <v>4056.71</v>
      </c>
    </row>
    <row r="905" spans="1:5" ht="26" x14ac:dyDescent="0.3">
      <c r="A905" s="17" t="str">
        <f>"23397"</f>
        <v>23397</v>
      </c>
      <c r="B905" s="5" t="s">
        <v>1062</v>
      </c>
      <c r="C905" s="17">
        <v>19900101</v>
      </c>
      <c r="D905" s="17">
        <v>22991231</v>
      </c>
      <c r="E905" s="25">
        <v>3240.75</v>
      </c>
    </row>
    <row r="906" spans="1:5" x14ac:dyDescent="0.3">
      <c r="A906" s="17" t="str">
        <f>"23400"</f>
        <v>23400</v>
      </c>
      <c r="B906" s="5" t="s">
        <v>1063</v>
      </c>
      <c r="C906" s="17">
        <v>19900101</v>
      </c>
      <c r="D906" s="17">
        <v>22991231</v>
      </c>
      <c r="E906" s="25">
        <v>3240.75</v>
      </c>
    </row>
    <row r="907" spans="1:5" x14ac:dyDescent="0.3">
      <c r="A907" s="17" t="str">
        <f>"23405"</f>
        <v>23405</v>
      </c>
      <c r="B907" s="5" t="s">
        <v>1064</v>
      </c>
      <c r="C907" s="17">
        <v>19900101</v>
      </c>
      <c r="D907" s="17">
        <v>22991231</v>
      </c>
      <c r="E907" s="25">
        <v>3240.75</v>
      </c>
    </row>
    <row r="908" spans="1:5" ht="26" x14ac:dyDescent="0.3">
      <c r="A908" s="17" t="str">
        <f>"23406"</f>
        <v>23406</v>
      </c>
      <c r="B908" s="5" t="s">
        <v>1065</v>
      </c>
      <c r="C908" s="17">
        <v>19900101</v>
      </c>
      <c r="D908" s="17">
        <v>22991231</v>
      </c>
      <c r="E908" s="25">
        <v>3240.75</v>
      </c>
    </row>
    <row r="909" spans="1:5" x14ac:dyDescent="0.3">
      <c r="A909" s="17" t="str">
        <f>"23410"</f>
        <v>23410</v>
      </c>
      <c r="B909" s="5" t="s">
        <v>1066</v>
      </c>
      <c r="C909" s="17">
        <v>19900101</v>
      </c>
      <c r="D909" s="17">
        <v>22991231</v>
      </c>
      <c r="E909" s="25">
        <v>3240.75</v>
      </c>
    </row>
    <row r="910" spans="1:5" x14ac:dyDescent="0.3">
      <c r="A910" s="17" t="str">
        <f>"23412"</f>
        <v>23412</v>
      </c>
      <c r="B910" s="5" t="s">
        <v>1067</v>
      </c>
      <c r="C910" s="17">
        <v>19900101</v>
      </c>
      <c r="D910" s="17">
        <v>22991231</v>
      </c>
      <c r="E910" s="25">
        <v>3240.75</v>
      </c>
    </row>
    <row r="911" spans="1:5" x14ac:dyDescent="0.3">
      <c r="A911" s="17" t="str">
        <f>"23415"</f>
        <v>23415</v>
      </c>
      <c r="B911" s="5" t="s">
        <v>1068</v>
      </c>
      <c r="C911" s="17">
        <v>19900101</v>
      </c>
      <c r="D911" s="17">
        <v>22991231</v>
      </c>
      <c r="E911" s="25">
        <v>3240.75</v>
      </c>
    </row>
    <row r="912" spans="1:5" ht="26" x14ac:dyDescent="0.3">
      <c r="A912" s="17" t="str">
        <f>"23420"</f>
        <v>23420</v>
      </c>
      <c r="B912" s="5" t="s">
        <v>1069</v>
      </c>
      <c r="C912" s="17">
        <v>19900101</v>
      </c>
      <c r="D912" s="17">
        <v>22991231</v>
      </c>
      <c r="E912" s="25">
        <v>3240.75</v>
      </c>
    </row>
    <row r="913" spans="1:5" x14ac:dyDescent="0.3">
      <c r="A913" s="17" t="str">
        <f>"23430"</f>
        <v>23430</v>
      </c>
      <c r="B913" s="5" t="s">
        <v>1070</v>
      </c>
      <c r="C913" s="17">
        <v>19900101</v>
      </c>
      <c r="D913" s="17">
        <v>22991231</v>
      </c>
      <c r="E913" s="25">
        <v>4239.4799999999996</v>
      </c>
    </row>
    <row r="914" spans="1:5" x14ac:dyDescent="0.3">
      <c r="A914" s="17" t="str">
        <f>"23440"</f>
        <v>23440</v>
      </c>
      <c r="B914" s="5" t="s">
        <v>1071</v>
      </c>
      <c r="C914" s="17">
        <v>19900101</v>
      </c>
      <c r="D914" s="17">
        <v>22991231</v>
      </c>
      <c r="E914" s="25">
        <v>4654.1000000000004</v>
      </c>
    </row>
    <row r="915" spans="1:5" ht="26" x14ac:dyDescent="0.3">
      <c r="A915" s="17" t="str">
        <f>"23450"</f>
        <v>23450</v>
      </c>
      <c r="B915" s="5" t="s">
        <v>1072</v>
      </c>
      <c r="C915" s="17">
        <v>19900101</v>
      </c>
      <c r="D915" s="17">
        <v>22991231</v>
      </c>
      <c r="E915" s="25">
        <v>3240.75</v>
      </c>
    </row>
    <row r="916" spans="1:5" ht="39" x14ac:dyDescent="0.3">
      <c r="A916" s="17" t="str">
        <f>"23455"</f>
        <v>23455</v>
      </c>
      <c r="B916" s="5" t="s">
        <v>1073</v>
      </c>
      <c r="C916" s="17">
        <v>19900101</v>
      </c>
      <c r="D916" s="17">
        <v>22991231</v>
      </c>
      <c r="E916" s="25">
        <v>3240.75</v>
      </c>
    </row>
    <row r="917" spans="1:5" ht="26" x14ac:dyDescent="0.3">
      <c r="A917" s="17" t="str">
        <f>"23460"</f>
        <v>23460</v>
      </c>
      <c r="B917" s="5" t="s">
        <v>1074</v>
      </c>
      <c r="C917" s="17">
        <v>19900101</v>
      </c>
      <c r="D917" s="17">
        <v>22991231</v>
      </c>
      <c r="E917" s="25">
        <v>4081.38</v>
      </c>
    </row>
    <row r="918" spans="1:5" ht="26" x14ac:dyDescent="0.3">
      <c r="A918" s="17" t="str">
        <f>"23462"</f>
        <v>23462</v>
      </c>
      <c r="B918" s="5" t="s">
        <v>1075</v>
      </c>
      <c r="C918" s="17">
        <v>19900101</v>
      </c>
      <c r="D918" s="17">
        <v>22991231</v>
      </c>
      <c r="E918" s="25">
        <v>3240.75</v>
      </c>
    </row>
    <row r="919" spans="1:5" ht="26" x14ac:dyDescent="0.3">
      <c r="A919" s="17" t="str">
        <f>"23465"</f>
        <v>23465</v>
      </c>
      <c r="B919" s="5" t="s">
        <v>1076</v>
      </c>
      <c r="C919" s="17">
        <v>19900101</v>
      </c>
      <c r="D919" s="17">
        <v>22991231</v>
      </c>
      <c r="E919" s="25">
        <v>3240.75</v>
      </c>
    </row>
    <row r="920" spans="1:5" x14ac:dyDescent="0.3">
      <c r="A920" s="17" t="str">
        <f>"23466"</f>
        <v>23466</v>
      </c>
      <c r="B920" s="5" t="s">
        <v>1077</v>
      </c>
      <c r="C920" s="17">
        <v>19900101</v>
      </c>
      <c r="D920" s="17">
        <v>22991231</v>
      </c>
      <c r="E920" s="25">
        <v>3240.75</v>
      </c>
    </row>
    <row r="921" spans="1:5" x14ac:dyDescent="0.3">
      <c r="A921" s="17" t="str">
        <f>"23470"</f>
        <v>23470</v>
      </c>
      <c r="B921" s="5" t="s">
        <v>1078</v>
      </c>
      <c r="C921" s="17">
        <v>19900101</v>
      </c>
      <c r="D921" s="17">
        <v>22991231</v>
      </c>
      <c r="E921" s="25">
        <v>8883.4699999999993</v>
      </c>
    </row>
    <row r="922" spans="1:5" x14ac:dyDescent="0.3">
      <c r="A922" s="17" t="str">
        <f>"23472"</f>
        <v>23472</v>
      </c>
      <c r="B922" s="5" t="s">
        <v>1079</v>
      </c>
      <c r="C922" s="17">
        <v>19900101</v>
      </c>
      <c r="D922" s="17">
        <v>22991231</v>
      </c>
      <c r="E922" s="25">
        <v>13364.69</v>
      </c>
    </row>
    <row r="923" spans="1:5" x14ac:dyDescent="0.3">
      <c r="A923" s="17" t="str">
        <f>"23480"</f>
        <v>23480</v>
      </c>
      <c r="B923" s="5" t="s">
        <v>1080</v>
      </c>
      <c r="C923" s="17">
        <v>19900101</v>
      </c>
      <c r="D923" s="17">
        <v>22991231</v>
      </c>
      <c r="E923" s="25">
        <v>3240.75</v>
      </c>
    </row>
    <row r="924" spans="1:5" ht="26" x14ac:dyDescent="0.3">
      <c r="A924" s="17" t="str">
        <f>"23485"</f>
        <v>23485</v>
      </c>
      <c r="B924" s="5" t="s">
        <v>1081</v>
      </c>
      <c r="C924" s="17">
        <v>19900101</v>
      </c>
      <c r="D924" s="17">
        <v>22991231</v>
      </c>
      <c r="E924" s="25">
        <v>8190.4</v>
      </c>
    </row>
    <row r="925" spans="1:5" x14ac:dyDescent="0.3">
      <c r="A925" s="17" t="str">
        <f>"23490"</f>
        <v>23490</v>
      </c>
      <c r="B925" s="5" t="s">
        <v>1082</v>
      </c>
      <c r="C925" s="17">
        <v>19970801</v>
      </c>
      <c r="D925" s="17">
        <v>22991231</v>
      </c>
      <c r="E925" s="25">
        <v>3240.75</v>
      </c>
    </row>
    <row r="926" spans="1:5" ht="26" x14ac:dyDescent="0.3">
      <c r="A926" s="17" t="str">
        <f>"23491"</f>
        <v>23491</v>
      </c>
      <c r="B926" s="5" t="s">
        <v>1083</v>
      </c>
      <c r="C926" s="17">
        <v>19970801</v>
      </c>
      <c r="D926" s="17">
        <v>22991231</v>
      </c>
      <c r="E926" s="25">
        <v>8518.24</v>
      </c>
    </row>
    <row r="927" spans="1:5" x14ac:dyDescent="0.3">
      <c r="A927" s="17" t="str">
        <f>"23500"</f>
        <v>23500</v>
      </c>
      <c r="B927" s="5" t="s">
        <v>1084</v>
      </c>
      <c r="C927" s="17">
        <v>19900101</v>
      </c>
      <c r="D927" s="17">
        <v>22991231</v>
      </c>
      <c r="E927" s="25">
        <v>116.84</v>
      </c>
    </row>
    <row r="928" spans="1:5" ht="26" x14ac:dyDescent="0.3">
      <c r="A928" s="17" t="str">
        <f>"23505"</f>
        <v>23505</v>
      </c>
      <c r="B928" s="5" t="s">
        <v>1085</v>
      </c>
      <c r="C928" s="17">
        <v>19900101</v>
      </c>
      <c r="D928" s="17">
        <v>22991231</v>
      </c>
      <c r="E928" s="25">
        <v>782.3</v>
      </c>
    </row>
    <row r="929" spans="1:5" x14ac:dyDescent="0.3">
      <c r="A929" s="17" t="str">
        <f>"23515"</f>
        <v>23515</v>
      </c>
      <c r="B929" s="5" t="s">
        <v>1086</v>
      </c>
      <c r="C929" s="17">
        <v>19900101</v>
      </c>
      <c r="D929" s="17">
        <v>22991231</v>
      </c>
      <c r="E929" s="25">
        <v>4260.3599999999997</v>
      </c>
    </row>
    <row r="930" spans="1:5" ht="26" x14ac:dyDescent="0.3">
      <c r="A930" s="17" t="str">
        <f>"23520"</f>
        <v>23520</v>
      </c>
      <c r="B930" s="5" t="s">
        <v>1087</v>
      </c>
      <c r="C930" s="17">
        <v>19900101</v>
      </c>
      <c r="D930" s="17">
        <v>22991231</v>
      </c>
      <c r="E930" s="25">
        <v>782.3</v>
      </c>
    </row>
    <row r="931" spans="1:5" ht="26" x14ac:dyDescent="0.3">
      <c r="A931" s="17" t="str">
        <f>"23525"</f>
        <v>23525</v>
      </c>
      <c r="B931" s="5" t="s">
        <v>1088</v>
      </c>
      <c r="C931" s="17">
        <v>19900101</v>
      </c>
      <c r="D931" s="17">
        <v>22991231</v>
      </c>
      <c r="E931" s="25">
        <v>116.84</v>
      </c>
    </row>
    <row r="932" spans="1:5" ht="26" x14ac:dyDescent="0.3">
      <c r="A932" s="17" t="str">
        <f>"23530"</f>
        <v>23530</v>
      </c>
      <c r="B932" s="5" t="s">
        <v>1089</v>
      </c>
      <c r="C932" s="17">
        <v>19900101</v>
      </c>
      <c r="D932" s="17">
        <v>22991231</v>
      </c>
      <c r="E932" s="25">
        <v>3240.75</v>
      </c>
    </row>
    <row r="933" spans="1:5" ht="26" x14ac:dyDescent="0.3">
      <c r="A933" s="17" t="str">
        <f>"23532"</f>
        <v>23532</v>
      </c>
      <c r="B933" s="5" t="s">
        <v>1090</v>
      </c>
      <c r="C933" s="17">
        <v>19900101</v>
      </c>
      <c r="D933" s="17">
        <v>22991231</v>
      </c>
      <c r="E933" s="25">
        <v>3240.75</v>
      </c>
    </row>
    <row r="934" spans="1:5" ht="26" x14ac:dyDescent="0.3">
      <c r="A934" s="17" t="str">
        <f>"23540"</f>
        <v>23540</v>
      </c>
      <c r="B934" s="5" t="s">
        <v>1091</v>
      </c>
      <c r="C934" s="17">
        <v>19900101</v>
      </c>
      <c r="D934" s="17">
        <v>22991231</v>
      </c>
      <c r="E934" s="25">
        <v>116.84</v>
      </c>
    </row>
    <row r="935" spans="1:5" ht="26" x14ac:dyDescent="0.3">
      <c r="A935" s="17" t="str">
        <f>"23545"</f>
        <v>23545</v>
      </c>
      <c r="B935" s="5" t="s">
        <v>1092</v>
      </c>
      <c r="C935" s="17">
        <v>19900101</v>
      </c>
      <c r="D935" s="17">
        <v>22991231</v>
      </c>
      <c r="E935" s="25">
        <v>116.84</v>
      </c>
    </row>
    <row r="936" spans="1:5" ht="26" x14ac:dyDescent="0.3">
      <c r="A936" s="17" t="str">
        <f>"23550"</f>
        <v>23550</v>
      </c>
      <c r="B936" s="5" t="s">
        <v>1093</v>
      </c>
      <c r="C936" s="17">
        <v>19900101</v>
      </c>
      <c r="D936" s="17">
        <v>22991231</v>
      </c>
      <c r="E936" s="25">
        <v>4224.03</v>
      </c>
    </row>
    <row r="937" spans="1:5" ht="26" x14ac:dyDescent="0.3">
      <c r="A937" s="17" t="str">
        <f>"23552"</f>
        <v>23552</v>
      </c>
      <c r="B937" s="5" t="s">
        <v>1094</v>
      </c>
      <c r="C937" s="17">
        <v>19900101</v>
      </c>
      <c r="D937" s="17">
        <v>22991231</v>
      </c>
      <c r="E937" s="25">
        <v>4431.74</v>
      </c>
    </row>
    <row r="938" spans="1:5" x14ac:dyDescent="0.3">
      <c r="A938" s="17" t="str">
        <f>"23570"</f>
        <v>23570</v>
      </c>
      <c r="B938" s="5" t="s">
        <v>1095</v>
      </c>
      <c r="C938" s="17">
        <v>19900101</v>
      </c>
      <c r="D938" s="17">
        <v>22991231</v>
      </c>
      <c r="E938" s="25">
        <v>116.84</v>
      </c>
    </row>
    <row r="939" spans="1:5" ht="26" x14ac:dyDescent="0.3">
      <c r="A939" s="17" t="str">
        <f>"23575"</f>
        <v>23575</v>
      </c>
      <c r="B939" s="5" t="s">
        <v>1096</v>
      </c>
      <c r="C939" s="17">
        <v>19900101</v>
      </c>
      <c r="D939" s="17">
        <v>22991231</v>
      </c>
      <c r="E939" s="25">
        <v>782.3</v>
      </c>
    </row>
    <row r="940" spans="1:5" x14ac:dyDescent="0.3">
      <c r="A940" s="17" t="str">
        <f>"23585"</f>
        <v>23585</v>
      </c>
      <c r="B940" s="5" t="s">
        <v>1097</v>
      </c>
      <c r="C940" s="17">
        <v>19900101</v>
      </c>
      <c r="D940" s="17">
        <v>22991231</v>
      </c>
      <c r="E940" s="25">
        <v>4287.4799999999996</v>
      </c>
    </row>
    <row r="941" spans="1:5" ht="26" x14ac:dyDescent="0.3">
      <c r="A941" s="17" t="str">
        <f>"23600"</f>
        <v>23600</v>
      </c>
      <c r="B941" s="5" t="s">
        <v>1098</v>
      </c>
      <c r="C941" s="17">
        <v>19900101</v>
      </c>
      <c r="D941" s="17">
        <v>22991231</v>
      </c>
      <c r="E941" s="25">
        <v>116.84</v>
      </c>
    </row>
    <row r="942" spans="1:5" ht="26" x14ac:dyDescent="0.3">
      <c r="A942" s="17" t="str">
        <f>"23605"</f>
        <v>23605</v>
      </c>
      <c r="B942" s="5" t="s">
        <v>1099</v>
      </c>
      <c r="C942" s="17">
        <v>19900101</v>
      </c>
      <c r="D942" s="17">
        <v>22991231</v>
      </c>
      <c r="E942" s="25">
        <v>782.3</v>
      </c>
    </row>
    <row r="943" spans="1:5" x14ac:dyDescent="0.3">
      <c r="A943" s="17" t="str">
        <f>"23615"</f>
        <v>23615</v>
      </c>
      <c r="B943" s="5" t="s">
        <v>1100</v>
      </c>
      <c r="C943" s="17">
        <v>19900101</v>
      </c>
      <c r="D943" s="17">
        <v>22991231</v>
      </c>
      <c r="E943" s="25">
        <v>8465.25</v>
      </c>
    </row>
    <row r="944" spans="1:5" ht="26" x14ac:dyDescent="0.3">
      <c r="A944" s="17" t="str">
        <f>"23616"</f>
        <v>23616</v>
      </c>
      <c r="B944" s="5" t="s">
        <v>1101</v>
      </c>
      <c r="C944" s="17">
        <v>19970801</v>
      </c>
      <c r="D944" s="17">
        <v>22991231</v>
      </c>
      <c r="E944" s="25">
        <v>12553.48</v>
      </c>
    </row>
    <row r="945" spans="1:5" ht="26" x14ac:dyDescent="0.3">
      <c r="A945" s="17" t="str">
        <f>"23620"</f>
        <v>23620</v>
      </c>
      <c r="B945" s="5" t="s">
        <v>1102</v>
      </c>
      <c r="C945" s="17">
        <v>19900101</v>
      </c>
      <c r="D945" s="17">
        <v>22991231</v>
      </c>
      <c r="E945" s="25">
        <v>116.84</v>
      </c>
    </row>
    <row r="946" spans="1:5" ht="26" x14ac:dyDescent="0.3">
      <c r="A946" s="17" t="str">
        <f>"23625"</f>
        <v>23625</v>
      </c>
      <c r="B946" s="5" t="s">
        <v>1103</v>
      </c>
      <c r="C946" s="17">
        <v>19900101</v>
      </c>
      <c r="D946" s="17">
        <v>22991231</v>
      </c>
      <c r="E946" s="25">
        <v>782.3</v>
      </c>
    </row>
    <row r="947" spans="1:5" ht="26" x14ac:dyDescent="0.3">
      <c r="A947" s="17" t="str">
        <f>"23630"</f>
        <v>23630</v>
      </c>
      <c r="B947" s="5" t="s">
        <v>1104</v>
      </c>
      <c r="C947" s="17">
        <v>19900101</v>
      </c>
      <c r="D947" s="17">
        <v>22991231</v>
      </c>
      <c r="E947" s="25">
        <v>4057.25</v>
      </c>
    </row>
    <row r="948" spans="1:5" ht="26" x14ac:dyDescent="0.3">
      <c r="A948" s="17" t="str">
        <f>"23650"</f>
        <v>23650</v>
      </c>
      <c r="B948" s="5" t="s">
        <v>1105</v>
      </c>
      <c r="C948" s="17">
        <v>19900101</v>
      </c>
      <c r="D948" s="17">
        <v>22991231</v>
      </c>
      <c r="E948" s="25">
        <v>116.84</v>
      </c>
    </row>
    <row r="949" spans="1:5" ht="26" x14ac:dyDescent="0.3">
      <c r="A949" s="17" t="str">
        <f>"23655"</f>
        <v>23655</v>
      </c>
      <c r="B949" s="5" t="s">
        <v>1106</v>
      </c>
      <c r="C949" s="17">
        <v>19900101</v>
      </c>
      <c r="D949" s="17">
        <v>22991231</v>
      </c>
      <c r="E949" s="25">
        <v>782.3</v>
      </c>
    </row>
    <row r="950" spans="1:5" x14ac:dyDescent="0.3">
      <c r="A950" s="17" t="str">
        <f>"23660"</f>
        <v>23660</v>
      </c>
      <c r="B950" s="5" t="s">
        <v>1107</v>
      </c>
      <c r="C950" s="17">
        <v>19900101</v>
      </c>
      <c r="D950" s="17">
        <v>22991231</v>
      </c>
      <c r="E950" s="25">
        <v>3240.75</v>
      </c>
    </row>
    <row r="951" spans="1:5" ht="39" x14ac:dyDescent="0.3">
      <c r="A951" s="17" t="str">
        <f>"23665"</f>
        <v>23665</v>
      </c>
      <c r="B951" s="5" t="s">
        <v>1108</v>
      </c>
      <c r="C951" s="17">
        <v>19900101</v>
      </c>
      <c r="D951" s="17">
        <v>22991231</v>
      </c>
      <c r="E951" s="25">
        <v>782.3</v>
      </c>
    </row>
    <row r="952" spans="1:5" ht="26" x14ac:dyDescent="0.3">
      <c r="A952" s="17" t="str">
        <f>"23670"</f>
        <v>23670</v>
      </c>
      <c r="B952" s="5" t="s">
        <v>1109</v>
      </c>
      <c r="C952" s="17">
        <v>19900101</v>
      </c>
      <c r="D952" s="17">
        <v>22991231</v>
      </c>
      <c r="E952" s="25">
        <v>4086.81</v>
      </c>
    </row>
    <row r="953" spans="1:5" ht="26" x14ac:dyDescent="0.3">
      <c r="A953" s="17" t="str">
        <f>"23675"</f>
        <v>23675</v>
      </c>
      <c r="B953" s="5" t="s">
        <v>1110</v>
      </c>
      <c r="C953" s="17">
        <v>19900101</v>
      </c>
      <c r="D953" s="17">
        <v>22991231</v>
      </c>
      <c r="E953" s="25">
        <v>782.3</v>
      </c>
    </row>
    <row r="954" spans="1:5" ht="26" x14ac:dyDescent="0.3">
      <c r="A954" s="17" t="str">
        <f>"23680"</f>
        <v>23680</v>
      </c>
      <c r="B954" s="5" t="s">
        <v>1111</v>
      </c>
      <c r="C954" s="17">
        <v>19900101</v>
      </c>
      <c r="D954" s="17">
        <v>22991231</v>
      </c>
      <c r="E954" s="25">
        <v>8186.77</v>
      </c>
    </row>
    <row r="955" spans="1:5" x14ac:dyDescent="0.3">
      <c r="A955" s="17" t="str">
        <f>"23700"</f>
        <v>23700</v>
      </c>
      <c r="B955" s="5" t="s">
        <v>1112</v>
      </c>
      <c r="C955" s="17">
        <v>19900101</v>
      </c>
      <c r="D955" s="17">
        <v>22991231</v>
      </c>
      <c r="E955" s="25">
        <v>782.3</v>
      </c>
    </row>
    <row r="956" spans="1:5" x14ac:dyDescent="0.3">
      <c r="A956" s="17" t="str">
        <f>"23800"</f>
        <v>23800</v>
      </c>
      <c r="B956" s="5" t="s">
        <v>1113</v>
      </c>
      <c r="C956" s="17">
        <v>19900101</v>
      </c>
      <c r="D956" s="17">
        <v>22991231</v>
      </c>
      <c r="E956" s="25">
        <v>3240.75</v>
      </c>
    </row>
    <row r="957" spans="1:5" ht="26" x14ac:dyDescent="0.3">
      <c r="A957" s="17" t="str">
        <f>"23802"</f>
        <v>23802</v>
      </c>
      <c r="B957" s="5" t="s">
        <v>1114</v>
      </c>
      <c r="C957" s="17">
        <v>19900101</v>
      </c>
      <c r="D957" s="17">
        <v>22991231</v>
      </c>
      <c r="E957" s="25">
        <v>6208.9</v>
      </c>
    </row>
    <row r="958" spans="1:5" ht="39" x14ac:dyDescent="0.3">
      <c r="A958" s="17" t="str">
        <f>"23921"</f>
        <v>23921</v>
      </c>
      <c r="B958" s="5" t="s">
        <v>1115</v>
      </c>
      <c r="C958" s="17">
        <v>19900101</v>
      </c>
      <c r="D958" s="17">
        <v>22991231</v>
      </c>
      <c r="E958" s="25">
        <v>903.54</v>
      </c>
    </row>
    <row r="959" spans="1:5" x14ac:dyDescent="0.3">
      <c r="A959" s="17" t="str">
        <f>"23929"</f>
        <v>23929</v>
      </c>
      <c r="B959" s="5" t="s">
        <v>1116</v>
      </c>
      <c r="C959" s="17">
        <v>19900101</v>
      </c>
      <c r="D959" s="17">
        <v>22991231</v>
      </c>
      <c r="E959" s="24" t="s">
        <v>7128</v>
      </c>
    </row>
    <row r="960" spans="1:5" ht="26" x14ac:dyDescent="0.3">
      <c r="A960" s="17" t="str">
        <f>"23930"</f>
        <v>23930</v>
      </c>
      <c r="B960" s="5" t="s">
        <v>1117</v>
      </c>
      <c r="C960" s="17">
        <v>19900101</v>
      </c>
      <c r="D960" s="17">
        <v>22991231</v>
      </c>
      <c r="E960" s="25">
        <v>1105.24</v>
      </c>
    </row>
    <row r="961" spans="1:5" x14ac:dyDescent="0.3">
      <c r="A961" s="17" t="str">
        <f>"23931"</f>
        <v>23931</v>
      </c>
      <c r="B961" s="5" t="s">
        <v>1118</v>
      </c>
      <c r="C961" s="17">
        <v>19900101</v>
      </c>
      <c r="D961" s="17">
        <v>22991231</v>
      </c>
      <c r="E961" s="25">
        <v>652.27</v>
      </c>
    </row>
    <row r="962" spans="1:5" x14ac:dyDescent="0.3">
      <c r="A962" s="17" t="str">
        <f>"23935"</f>
        <v>23935</v>
      </c>
      <c r="B962" s="5" t="s">
        <v>1119</v>
      </c>
      <c r="C962" s="17">
        <v>19900101</v>
      </c>
      <c r="D962" s="17">
        <v>22991231</v>
      </c>
      <c r="E962" s="25">
        <v>1450.8</v>
      </c>
    </row>
    <row r="963" spans="1:5" ht="26" x14ac:dyDescent="0.3">
      <c r="A963" s="17" t="str">
        <f>"24000"</f>
        <v>24000</v>
      </c>
      <c r="B963" s="5" t="s">
        <v>1120</v>
      </c>
      <c r="C963" s="17">
        <v>19900101</v>
      </c>
      <c r="D963" s="17">
        <v>22991231</v>
      </c>
      <c r="E963" s="25">
        <v>1450.8</v>
      </c>
    </row>
    <row r="964" spans="1:5" x14ac:dyDescent="0.3">
      <c r="A964" s="17" t="str">
        <f>"24006"</f>
        <v>24006</v>
      </c>
      <c r="B964" s="5" t="s">
        <v>1121</v>
      </c>
      <c r="C964" s="17">
        <v>19930101</v>
      </c>
      <c r="D964" s="17">
        <v>22991231</v>
      </c>
      <c r="E964" s="25">
        <v>1450.8</v>
      </c>
    </row>
    <row r="965" spans="1:5" x14ac:dyDescent="0.3">
      <c r="A965" s="17" t="str">
        <f>"24065"</f>
        <v>24065</v>
      </c>
      <c r="B965" s="5" t="s">
        <v>1122</v>
      </c>
      <c r="C965" s="17">
        <v>19900101</v>
      </c>
      <c r="D965" s="17">
        <v>22991231</v>
      </c>
      <c r="E965" s="25">
        <v>167.95</v>
      </c>
    </row>
    <row r="966" spans="1:5" x14ac:dyDescent="0.3">
      <c r="A966" s="17" t="str">
        <f>"24066"</f>
        <v>24066</v>
      </c>
      <c r="B966" s="5" t="s">
        <v>1123</v>
      </c>
      <c r="C966" s="17">
        <v>19900101</v>
      </c>
      <c r="D966" s="17">
        <v>22991231</v>
      </c>
      <c r="E966" s="25">
        <v>1105.24</v>
      </c>
    </row>
    <row r="967" spans="1:5" ht="26" x14ac:dyDescent="0.3">
      <c r="A967" s="17" t="str">
        <f>"24071"</f>
        <v>24071</v>
      </c>
      <c r="B967" s="5" t="s">
        <v>1124</v>
      </c>
      <c r="C967" s="17">
        <v>20100101</v>
      </c>
      <c r="D967" s="17">
        <v>22991231</v>
      </c>
      <c r="E967" s="25">
        <v>1105.24</v>
      </c>
    </row>
    <row r="968" spans="1:5" ht="26" x14ac:dyDescent="0.3">
      <c r="A968" s="17" t="str">
        <f>"24073"</f>
        <v>24073</v>
      </c>
      <c r="B968" s="5" t="s">
        <v>1125</v>
      </c>
      <c r="C968" s="17">
        <v>20100101</v>
      </c>
      <c r="D968" s="17">
        <v>22991231</v>
      </c>
      <c r="E968" s="25">
        <v>1105.24</v>
      </c>
    </row>
    <row r="969" spans="1:5" ht="26" x14ac:dyDescent="0.3">
      <c r="A969" s="17" t="str">
        <f>"24075"</f>
        <v>24075</v>
      </c>
      <c r="B969" s="5" t="s">
        <v>1126</v>
      </c>
      <c r="C969" s="17">
        <v>19900101</v>
      </c>
      <c r="D969" s="17">
        <v>22991231</v>
      </c>
      <c r="E969" s="25">
        <v>652.27</v>
      </c>
    </row>
    <row r="970" spans="1:5" ht="26" x14ac:dyDescent="0.3">
      <c r="A970" s="17" t="str">
        <f>"24076"</f>
        <v>24076</v>
      </c>
      <c r="B970" s="5" t="s">
        <v>1127</v>
      </c>
      <c r="C970" s="17">
        <v>19900101</v>
      </c>
      <c r="D970" s="17">
        <v>22991231</v>
      </c>
      <c r="E970" s="25">
        <v>1105.24</v>
      </c>
    </row>
    <row r="971" spans="1:5" ht="26" x14ac:dyDescent="0.3">
      <c r="A971" s="17" t="str">
        <f>"24077"</f>
        <v>24077</v>
      </c>
      <c r="B971" s="5" t="s">
        <v>1128</v>
      </c>
      <c r="C971" s="17">
        <v>19900101</v>
      </c>
      <c r="D971" s="17">
        <v>22991231</v>
      </c>
      <c r="E971" s="25">
        <v>1105.24</v>
      </c>
    </row>
    <row r="972" spans="1:5" ht="26" x14ac:dyDescent="0.3">
      <c r="A972" s="17" t="str">
        <f>"24079"</f>
        <v>24079</v>
      </c>
      <c r="B972" s="5" t="s">
        <v>1129</v>
      </c>
      <c r="C972" s="17">
        <v>20100101</v>
      </c>
      <c r="D972" s="17">
        <v>22991231</v>
      </c>
      <c r="E972" s="25">
        <v>1105.24</v>
      </c>
    </row>
    <row r="973" spans="1:5" x14ac:dyDescent="0.3">
      <c r="A973" s="17" t="str">
        <f>"24100"</f>
        <v>24100</v>
      </c>
      <c r="B973" s="5" t="s">
        <v>1130</v>
      </c>
      <c r="C973" s="17">
        <v>19900101</v>
      </c>
      <c r="D973" s="17">
        <v>22991231</v>
      </c>
      <c r="E973" s="25">
        <v>1450.8</v>
      </c>
    </row>
    <row r="974" spans="1:5" x14ac:dyDescent="0.3">
      <c r="A974" s="17" t="str">
        <f>"24101"</f>
        <v>24101</v>
      </c>
      <c r="B974" s="5" t="s">
        <v>1131</v>
      </c>
      <c r="C974" s="17">
        <v>19900101</v>
      </c>
      <c r="D974" s="17">
        <v>22991231</v>
      </c>
      <c r="E974" s="25">
        <v>1450.8</v>
      </c>
    </row>
    <row r="975" spans="1:5" x14ac:dyDescent="0.3">
      <c r="A975" s="17" t="str">
        <f>"24102"</f>
        <v>24102</v>
      </c>
      <c r="B975" s="5" t="s">
        <v>1132</v>
      </c>
      <c r="C975" s="17">
        <v>19900101</v>
      </c>
      <c r="D975" s="17">
        <v>22991231</v>
      </c>
      <c r="E975" s="25">
        <v>1450.8</v>
      </c>
    </row>
    <row r="976" spans="1:5" x14ac:dyDescent="0.3">
      <c r="A976" s="17" t="str">
        <f>"24105"</f>
        <v>24105</v>
      </c>
      <c r="B976" s="5" t="s">
        <v>1133</v>
      </c>
      <c r="C976" s="17">
        <v>19900101</v>
      </c>
      <c r="D976" s="17">
        <v>22991231</v>
      </c>
      <c r="E976" s="25">
        <v>1450.8</v>
      </c>
    </row>
    <row r="977" spans="1:5" x14ac:dyDescent="0.3">
      <c r="A977" s="17" t="str">
        <f>"24110"</f>
        <v>24110</v>
      </c>
      <c r="B977" s="5" t="s">
        <v>1134</v>
      </c>
      <c r="C977" s="17">
        <v>19900101</v>
      </c>
      <c r="D977" s="17">
        <v>22991231</v>
      </c>
      <c r="E977" s="25">
        <v>1450.8</v>
      </c>
    </row>
    <row r="978" spans="1:5" ht="26" x14ac:dyDescent="0.3">
      <c r="A978" s="17" t="str">
        <f>"24115"</f>
        <v>24115</v>
      </c>
      <c r="B978" s="5" t="s">
        <v>1135</v>
      </c>
      <c r="C978" s="17">
        <v>19900101</v>
      </c>
      <c r="D978" s="17">
        <v>22991231</v>
      </c>
      <c r="E978" s="25">
        <v>3240.75</v>
      </c>
    </row>
    <row r="979" spans="1:5" ht="26" x14ac:dyDescent="0.3">
      <c r="A979" s="17" t="str">
        <f>"24116"</f>
        <v>24116</v>
      </c>
      <c r="B979" s="5" t="s">
        <v>1136</v>
      </c>
      <c r="C979" s="17">
        <v>19900101</v>
      </c>
      <c r="D979" s="17">
        <v>22991231</v>
      </c>
      <c r="E979" s="25">
        <v>4081.38</v>
      </c>
    </row>
    <row r="980" spans="1:5" ht="26" x14ac:dyDescent="0.3">
      <c r="A980" s="17" t="str">
        <f>"24120"</f>
        <v>24120</v>
      </c>
      <c r="B980" s="5" t="s">
        <v>1137</v>
      </c>
      <c r="C980" s="17">
        <v>19900101</v>
      </c>
      <c r="D980" s="17">
        <v>22991231</v>
      </c>
      <c r="E980" s="25">
        <v>1450.8</v>
      </c>
    </row>
    <row r="981" spans="1:5" ht="26" x14ac:dyDescent="0.3">
      <c r="A981" s="17" t="str">
        <f>"24125"</f>
        <v>24125</v>
      </c>
      <c r="B981" s="5" t="s">
        <v>1138</v>
      </c>
      <c r="C981" s="17">
        <v>19900101</v>
      </c>
      <c r="D981" s="17">
        <v>22991231</v>
      </c>
      <c r="E981" s="25">
        <v>1450.8</v>
      </c>
    </row>
    <row r="982" spans="1:5" ht="26" x14ac:dyDescent="0.3">
      <c r="A982" s="17" t="str">
        <f>"24126"</f>
        <v>24126</v>
      </c>
      <c r="B982" s="5" t="s">
        <v>1139</v>
      </c>
      <c r="C982" s="17">
        <v>19900101</v>
      </c>
      <c r="D982" s="17">
        <v>22991231</v>
      </c>
      <c r="E982" s="25">
        <v>4970.57</v>
      </c>
    </row>
    <row r="983" spans="1:5" x14ac:dyDescent="0.3">
      <c r="A983" s="17" t="str">
        <f>"24130"</f>
        <v>24130</v>
      </c>
      <c r="B983" s="5" t="s">
        <v>1140</v>
      </c>
      <c r="C983" s="17">
        <v>19900101</v>
      </c>
      <c r="D983" s="17">
        <v>22991231</v>
      </c>
      <c r="E983" s="25">
        <v>1450.8</v>
      </c>
    </row>
    <row r="984" spans="1:5" ht="39" x14ac:dyDescent="0.3">
      <c r="A984" s="17" t="str">
        <f>"24134"</f>
        <v>24134</v>
      </c>
      <c r="B984" s="5" t="s">
        <v>1141</v>
      </c>
      <c r="C984" s="17">
        <v>19900101</v>
      </c>
      <c r="D984" s="17">
        <v>22991231</v>
      </c>
      <c r="E984" s="25">
        <v>3240.75</v>
      </c>
    </row>
    <row r="985" spans="1:5" x14ac:dyDescent="0.3">
      <c r="A985" s="17" t="str">
        <f>"24136"</f>
        <v>24136</v>
      </c>
      <c r="B985" s="5" t="s">
        <v>1142</v>
      </c>
      <c r="C985" s="17">
        <v>19900101</v>
      </c>
      <c r="D985" s="17">
        <v>22991231</v>
      </c>
      <c r="E985" s="25">
        <v>1450.8</v>
      </c>
    </row>
    <row r="986" spans="1:5" x14ac:dyDescent="0.3">
      <c r="A986" s="17" t="str">
        <f>"24138"</f>
        <v>24138</v>
      </c>
      <c r="B986" s="5" t="s">
        <v>1143</v>
      </c>
      <c r="C986" s="17">
        <v>19900101</v>
      </c>
      <c r="D986" s="17">
        <v>22991231</v>
      </c>
      <c r="E986" s="25">
        <v>3240.75</v>
      </c>
    </row>
    <row r="987" spans="1:5" x14ac:dyDescent="0.3">
      <c r="A987" s="17" t="str">
        <f>"24140"</f>
        <v>24140</v>
      </c>
      <c r="B987" s="5" t="s">
        <v>1144</v>
      </c>
      <c r="C987" s="17">
        <v>19900101</v>
      </c>
      <c r="D987" s="17">
        <v>22991231</v>
      </c>
      <c r="E987" s="25">
        <v>1450.8</v>
      </c>
    </row>
    <row r="988" spans="1:5" ht="26" x14ac:dyDescent="0.3">
      <c r="A988" s="17" t="str">
        <f>"24145"</f>
        <v>24145</v>
      </c>
      <c r="B988" s="5" t="s">
        <v>1145</v>
      </c>
      <c r="C988" s="17">
        <v>19900101</v>
      </c>
      <c r="D988" s="17">
        <v>22991231</v>
      </c>
      <c r="E988" s="25">
        <v>3240.75</v>
      </c>
    </row>
    <row r="989" spans="1:5" x14ac:dyDescent="0.3">
      <c r="A989" s="17" t="str">
        <f>"24147"</f>
        <v>24147</v>
      </c>
      <c r="B989" s="5" t="s">
        <v>1146</v>
      </c>
      <c r="C989" s="17">
        <v>19900101</v>
      </c>
      <c r="D989" s="17">
        <v>22991231</v>
      </c>
      <c r="E989" s="25">
        <v>1450.8</v>
      </c>
    </row>
    <row r="990" spans="1:5" ht="26" x14ac:dyDescent="0.3">
      <c r="A990" s="17" t="str">
        <f>"24149"</f>
        <v>24149</v>
      </c>
      <c r="B990" s="5" t="s">
        <v>1147</v>
      </c>
      <c r="C990" s="17">
        <v>19970101</v>
      </c>
      <c r="D990" s="17">
        <v>22991231</v>
      </c>
      <c r="E990" s="25">
        <v>3240.75</v>
      </c>
    </row>
    <row r="991" spans="1:5" x14ac:dyDescent="0.3">
      <c r="A991" s="17" t="str">
        <f>"24150"</f>
        <v>24150</v>
      </c>
      <c r="B991" s="5" t="s">
        <v>1148</v>
      </c>
      <c r="C991" s="17">
        <v>19900101</v>
      </c>
      <c r="D991" s="17">
        <v>22991231</v>
      </c>
      <c r="E991" s="24" t="s">
        <v>7128</v>
      </c>
    </row>
    <row r="992" spans="1:5" ht="26" x14ac:dyDescent="0.3">
      <c r="A992" s="17" t="str">
        <f>"24152"</f>
        <v>24152</v>
      </c>
      <c r="B992" s="5" t="s">
        <v>1149</v>
      </c>
      <c r="C992" s="17">
        <v>19900101</v>
      </c>
      <c r="D992" s="17">
        <v>22991231</v>
      </c>
      <c r="E992" s="25">
        <v>4307.82</v>
      </c>
    </row>
    <row r="993" spans="1:5" x14ac:dyDescent="0.3">
      <c r="A993" s="17" t="str">
        <f>"24155"</f>
        <v>24155</v>
      </c>
      <c r="B993" s="5" t="s">
        <v>1150</v>
      </c>
      <c r="C993" s="17">
        <v>19900101</v>
      </c>
      <c r="D993" s="17">
        <v>22991231</v>
      </c>
      <c r="E993" s="25">
        <v>1450.8</v>
      </c>
    </row>
    <row r="994" spans="1:5" x14ac:dyDescent="0.3">
      <c r="A994" s="17" t="str">
        <f>"24160"</f>
        <v>24160</v>
      </c>
      <c r="B994" s="5" t="s">
        <v>1151</v>
      </c>
      <c r="C994" s="17">
        <v>19900101</v>
      </c>
      <c r="D994" s="17">
        <v>22991231</v>
      </c>
      <c r="E994" s="25">
        <v>1450.8</v>
      </c>
    </row>
    <row r="995" spans="1:5" ht="26" x14ac:dyDescent="0.3">
      <c r="A995" s="17" t="str">
        <f>"24164"</f>
        <v>24164</v>
      </c>
      <c r="B995" s="5" t="s">
        <v>1152</v>
      </c>
      <c r="C995" s="17">
        <v>19900101</v>
      </c>
      <c r="D995" s="17">
        <v>22991231</v>
      </c>
      <c r="E995" s="25">
        <v>1450.8</v>
      </c>
    </row>
    <row r="996" spans="1:5" ht="26" x14ac:dyDescent="0.3">
      <c r="A996" s="17" t="str">
        <f>"24200"</f>
        <v>24200</v>
      </c>
      <c r="B996" s="5" t="s">
        <v>1153</v>
      </c>
      <c r="C996" s="17">
        <v>19900101</v>
      </c>
      <c r="D996" s="17">
        <v>22991231</v>
      </c>
      <c r="E996" s="25">
        <v>141.06</v>
      </c>
    </row>
    <row r="997" spans="1:5" ht="26" x14ac:dyDescent="0.3">
      <c r="A997" s="17" t="str">
        <f>"24201"</f>
        <v>24201</v>
      </c>
      <c r="B997" s="5" t="s">
        <v>1154</v>
      </c>
      <c r="C997" s="17">
        <v>19900101</v>
      </c>
      <c r="D997" s="17">
        <v>22991231</v>
      </c>
      <c r="E997" s="25">
        <v>1105.24</v>
      </c>
    </row>
    <row r="998" spans="1:5" x14ac:dyDescent="0.3">
      <c r="A998" s="17" t="str">
        <f>"24220"</f>
        <v>24220</v>
      </c>
      <c r="B998" s="5" t="s">
        <v>1155</v>
      </c>
      <c r="C998" s="17">
        <v>19900101</v>
      </c>
      <c r="D998" s="17">
        <v>22991231</v>
      </c>
      <c r="E998" s="25">
        <v>0</v>
      </c>
    </row>
    <row r="999" spans="1:5" x14ac:dyDescent="0.3">
      <c r="A999" s="17" t="str">
        <f>"24300"</f>
        <v>24300</v>
      </c>
      <c r="B999" s="5" t="s">
        <v>1156</v>
      </c>
      <c r="C999" s="17">
        <v>20230101</v>
      </c>
      <c r="D999" s="17">
        <v>22991231</v>
      </c>
      <c r="E999" s="25">
        <v>782.3</v>
      </c>
    </row>
    <row r="1000" spans="1:5" ht="26" x14ac:dyDescent="0.3">
      <c r="A1000" s="17" t="str">
        <f>"24301"</f>
        <v>24301</v>
      </c>
      <c r="B1000" s="5" t="s">
        <v>1157</v>
      </c>
      <c r="C1000" s="17">
        <v>19900101</v>
      </c>
      <c r="D1000" s="17">
        <v>22991231</v>
      </c>
      <c r="E1000" s="25">
        <v>3240.75</v>
      </c>
    </row>
    <row r="1001" spans="1:5" x14ac:dyDescent="0.3">
      <c r="A1001" s="17" t="str">
        <f>"24305"</f>
        <v>24305</v>
      </c>
      <c r="B1001" s="5" t="s">
        <v>1158</v>
      </c>
      <c r="C1001" s="17">
        <v>19900101</v>
      </c>
      <c r="D1001" s="17">
        <v>22991231</v>
      </c>
      <c r="E1001" s="25">
        <v>1450.8</v>
      </c>
    </row>
    <row r="1002" spans="1:5" ht="26" x14ac:dyDescent="0.3">
      <c r="A1002" s="17" t="str">
        <f>"24310"</f>
        <v>24310</v>
      </c>
      <c r="B1002" s="5" t="s">
        <v>1159</v>
      </c>
      <c r="C1002" s="17">
        <v>19900101</v>
      </c>
      <c r="D1002" s="17">
        <v>22991231</v>
      </c>
      <c r="E1002" s="25">
        <v>1450.8</v>
      </c>
    </row>
    <row r="1003" spans="1:5" ht="26" x14ac:dyDescent="0.3">
      <c r="A1003" s="17" t="str">
        <f>"24320"</f>
        <v>24320</v>
      </c>
      <c r="B1003" s="5" t="s">
        <v>1160</v>
      </c>
      <c r="C1003" s="17">
        <v>19900101</v>
      </c>
      <c r="D1003" s="17">
        <v>22991231</v>
      </c>
      <c r="E1003" s="25">
        <v>3240.75</v>
      </c>
    </row>
    <row r="1004" spans="1:5" x14ac:dyDescent="0.3">
      <c r="A1004" s="17" t="str">
        <f>"24330"</f>
        <v>24330</v>
      </c>
      <c r="B1004" s="5" t="s">
        <v>1161</v>
      </c>
      <c r="C1004" s="17">
        <v>19900101</v>
      </c>
      <c r="D1004" s="17">
        <v>22991231</v>
      </c>
      <c r="E1004" s="25">
        <v>3240.75</v>
      </c>
    </row>
    <row r="1005" spans="1:5" ht="26" x14ac:dyDescent="0.3">
      <c r="A1005" s="17" t="str">
        <f>"24331"</f>
        <v>24331</v>
      </c>
      <c r="B1005" s="5" t="s">
        <v>1162</v>
      </c>
      <c r="C1005" s="17">
        <v>19900101</v>
      </c>
      <c r="D1005" s="17">
        <v>22991231</v>
      </c>
      <c r="E1005" s="25">
        <v>3240.75</v>
      </c>
    </row>
    <row r="1006" spans="1:5" x14ac:dyDescent="0.3">
      <c r="A1006" s="17" t="str">
        <f>"24332"</f>
        <v>24332</v>
      </c>
      <c r="B1006" s="5" t="s">
        <v>1163</v>
      </c>
      <c r="C1006" s="17">
        <v>20230101</v>
      </c>
      <c r="D1006" s="17">
        <v>22991231</v>
      </c>
      <c r="E1006" s="25">
        <v>1450.8</v>
      </c>
    </row>
    <row r="1007" spans="1:5" x14ac:dyDescent="0.3">
      <c r="A1007" s="17" t="str">
        <f>"24340"</f>
        <v>24340</v>
      </c>
      <c r="B1007" s="5" t="s">
        <v>1164</v>
      </c>
      <c r="C1007" s="17">
        <v>19900101</v>
      </c>
      <c r="D1007" s="17">
        <v>22991231</v>
      </c>
      <c r="E1007" s="25">
        <v>3240.75</v>
      </c>
    </row>
    <row r="1008" spans="1:5" ht="26" x14ac:dyDescent="0.3">
      <c r="A1008" s="17" t="str">
        <f>"24341"</f>
        <v>24341</v>
      </c>
      <c r="B1008" s="5" t="s">
        <v>1165</v>
      </c>
      <c r="C1008" s="17">
        <v>19970101</v>
      </c>
      <c r="D1008" s="17">
        <v>22991231</v>
      </c>
      <c r="E1008" s="25">
        <v>3240.75</v>
      </c>
    </row>
    <row r="1009" spans="1:5" x14ac:dyDescent="0.3">
      <c r="A1009" s="17" t="str">
        <f>"24342"</f>
        <v>24342</v>
      </c>
      <c r="B1009" s="5" t="s">
        <v>1166</v>
      </c>
      <c r="C1009" s="17">
        <v>19900101</v>
      </c>
      <c r="D1009" s="17">
        <v>22991231</v>
      </c>
      <c r="E1009" s="25">
        <v>3240.75</v>
      </c>
    </row>
    <row r="1010" spans="1:5" x14ac:dyDescent="0.3">
      <c r="A1010" s="17" t="str">
        <f>"24343"</f>
        <v>24343</v>
      </c>
      <c r="B1010" s="5" t="s">
        <v>1167</v>
      </c>
      <c r="C1010" s="17">
        <v>20230101</v>
      </c>
      <c r="D1010" s="17">
        <v>22991231</v>
      </c>
      <c r="E1010" s="25">
        <v>1450.8</v>
      </c>
    </row>
    <row r="1011" spans="1:5" ht="26" x14ac:dyDescent="0.3">
      <c r="A1011" s="17" t="str">
        <f>"24344"</f>
        <v>24344</v>
      </c>
      <c r="B1011" s="5" t="s">
        <v>1168</v>
      </c>
      <c r="C1011" s="17">
        <v>20230101</v>
      </c>
      <c r="D1011" s="17">
        <v>22991231</v>
      </c>
      <c r="E1011" s="25">
        <v>3240.75</v>
      </c>
    </row>
    <row r="1012" spans="1:5" x14ac:dyDescent="0.3">
      <c r="A1012" s="17" t="str">
        <f>"24345"</f>
        <v>24345</v>
      </c>
      <c r="B1012" s="5" t="s">
        <v>1169</v>
      </c>
      <c r="C1012" s="17">
        <v>20030401</v>
      </c>
      <c r="D1012" s="17">
        <v>22991231</v>
      </c>
      <c r="E1012" s="25">
        <v>3240.75</v>
      </c>
    </row>
    <row r="1013" spans="1:5" ht="26" x14ac:dyDescent="0.3">
      <c r="A1013" s="17" t="str">
        <f>"24346"</f>
        <v>24346</v>
      </c>
      <c r="B1013" s="5" t="s">
        <v>1170</v>
      </c>
      <c r="C1013" s="17">
        <v>20230101</v>
      </c>
      <c r="D1013" s="17">
        <v>22991231</v>
      </c>
      <c r="E1013" s="25">
        <v>6208.9</v>
      </c>
    </row>
    <row r="1014" spans="1:5" x14ac:dyDescent="0.3">
      <c r="A1014" s="17" t="str">
        <f>"24357"</f>
        <v>24357</v>
      </c>
      <c r="B1014" s="5" t="s">
        <v>1171</v>
      </c>
      <c r="C1014" s="17">
        <v>20080101</v>
      </c>
      <c r="D1014" s="17">
        <v>22991231</v>
      </c>
      <c r="E1014" s="25">
        <v>1450.8</v>
      </c>
    </row>
    <row r="1015" spans="1:5" x14ac:dyDescent="0.3">
      <c r="A1015" s="17" t="str">
        <f>"24358"</f>
        <v>24358</v>
      </c>
      <c r="B1015" s="5" t="s">
        <v>1172</v>
      </c>
      <c r="C1015" s="17">
        <v>20080101</v>
      </c>
      <c r="D1015" s="17">
        <v>22991231</v>
      </c>
      <c r="E1015" s="25">
        <v>1450.8</v>
      </c>
    </row>
    <row r="1016" spans="1:5" ht="26" x14ac:dyDescent="0.3">
      <c r="A1016" s="17" t="str">
        <f>"24359"</f>
        <v>24359</v>
      </c>
      <c r="B1016" s="5" t="s">
        <v>1173</v>
      </c>
      <c r="C1016" s="17">
        <v>20080101</v>
      </c>
      <c r="D1016" s="17">
        <v>22991231</v>
      </c>
      <c r="E1016" s="25">
        <v>1450.8</v>
      </c>
    </row>
    <row r="1017" spans="1:5" x14ac:dyDescent="0.3">
      <c r="A1017" s="17" t="str">
        <f>"24360"</f>
        <v>24360</v>
      </c>
      <c r="B1017" s="5" t="s">
        <v>1174</v>
      </c>
      <c r="C1017" s="17">
        <v>19900101</v>
      </c>
      <c r="D1017" s="17">
        <v>22991231</v>
      </c>
      <c r="E1017" s="25">
        <v>5275.09</v>
      </c>
    </row>
    <row r="1018" spans="1:5" ht="26" x14ac:dyDescent="0.3">
      <c r="A1018" s="17" t="str">
        <f>"24361"</f>
        <v>24361</v>
      </c>
      <c r="B1018" s="5" t="s">
        <v>1175</v>
      </c>
      <c r="C1018" s="17">
        <v>19900101</v>
      </c>
      <c r="D1018" s="17">
        <v>22991231</v>
      </c>
      <c r="E1018" s="25">
        <v>13141.5</v>
      </c>
    </row>
    <row r="1019" spans="1:5" ht="26" x14ac:dyDescent="0.3">
      <c r="A1019" s="17" t="str">
        <f>"24362"</f>
        <v>24362</v>
      </c>
      <c r="B1019" s="5" t="s">
        <v>1176</v>
      </c>
      <c r="C1019" s="17">
        <v>19900101</v>
      </c>
      <c r="D1019" s="17">
        <v>22991231</v>
      </c>
      <c r="E1019" s="25">
        <v>8633.57</v>
      </c>
    </row>
    <row r="1020" spans="1:5" x14ac:dyDescent="0.3">
      <c r="A1020" s="17" t="str">
        <f>"24363"</f>
        <v>24363</v>
      </c>
      <c r="B1020" s="5" t="s">
        <v>1177</v>
      </c>
      <c r="C1020" s="17">
        <v>19900101</v>
      </c>
      <c r="D1020" s="17">
        <v>22991231</v>
      </c>
      <c r="E1020" s="25">
        <v>13041.39</v>
      </c>
    </row>
    <row r="1021" spans="1:5" ht="39" x14ac:dyDescent="0.3">
      <c r="A1021" s="17" t="str">
        <f>"24365"</f>
        <v>24365</v>
      </c>
      <c r="B1021" s="5" t="s">
        <v>1178</v>
      </c>
      <c r="C1021" s="17">
        <v>19900101</v>
      </c>
      <c r="D1021" s="17">
        <v>22991231</v>
      </c>
      <c r="E1021" s="25">
        <v>9165.58</v>
      </c>
    </row>
    <row r="1022" spans="1:5" ht="39" x14ac:dyDescent="0.3">
      <c r="A1022" s="17" t="str">
        <f>"24366"</f>
        <v>24366</v>
      </c>
      <c r="B1022" s="5" t="s">
        <v>1179</v>
      </c>
      <c r="C1022" s="17">
        <v>19900101</v>
      </c>
      <c r="D1022" s="17">
        <v>22991231</v>
      </c>
      <c r="E1022" s="25">
        <v>9149.99</v>
      </c>
    </row>
    <row r="1023" spans="1:5" ht="26" x14ac:dyDescent="0.3">
      <c r="A1023" s="17" t="str">
        <f>"24370"</f>
        <v>24370</v>
      </c>
      <c r="B1023" s="5" t="s">
        <v>1180</v>
      </c>
      <c r="C1023" s="17">
        <v>20130101</v>
      </c>
      <c r="D1023" s="17">
        <v>22991231</v>
      </c>
      <c r="E1023" s="25">
        <v>8239.76</v>
      </c>
    </row>
    <row r="1024" spans="1:5" ht="26" x14ac:dyDescent="0.3">
      <c r="A1024" s="17" t="str">
        <f>"24371"</f>
        <v>24371</v>
      </c>
      <c r="B1024" s="5" t="s">
        <v>1181</v>
      </c>
      <c r="C1024" s="17">
        <v>20130101</v>
      </c>
      <c r="D1024" s="17">
        <v>22991231</v>
      </c>
      <c r="E1024" s="25">
        <v>11867.6</v>
      </c>
    </row>
    <row r="1025" spans="1:5" x14ac:dyDescent="0.3">
      <c r="A1025" s="17" t="str">
        <f>"24400"</f>
        <v>24400</v>
      </c>
      <c r="B1025" s="5" t="s">
        <v>1182</v>
      </c>
      <c r="C1025" s="17">
        <v>19900101</v>
      </c>
      <c r="D1025" s="17">
        <v>22991231</v>
      </c>
      <c r="E1025" s="25">
        <v>3240.75</v>
      </c>
    </row>
    <row r="1026" spans="1:5" ht="26" x14ac:dyDescent="0.3">
      <c r="A1026" s="17" t="str">
        <f>"24410"</f>
        <v>24410</v>
      </c>
      <c r="B1026" s="5" t="s">
        <v>1183</v>
      </c>
      <c r="C1026" s="17">
        <v>19900101</v>
      </c>
      <c r="D1026" s="17">
        <v>22991231</v>
      </c>
      <c r="E1026" s="25">
        <v>6208.9</v>
      </c>
    </row>
    <row r="1027" spans="1:5" x14ac:dyDescent="0.3">
      <c r="A1027" s="17" t="str">
        <f>"24420"</f>
        <v>24420</v>
      </c>
      <c r="B1027" s="5" t="s">
        <v>1184</v>
      </c>
      <c r="C1027" s="17">
        <v>19900101</v>
      </c>
      <c r="D1027" s="17">
        <v>22991231</v>
      </c>
      <c r="E1027" s="25">
        <v>3240.75</v>
      </c>
    </row>
    <row r="1028" spans="1:5" x14ac:dyDescent="0.3">
      <c r="A1028" s="17" t="str">
        <f>"24430"</f>
        <v>24430</v>
      </c>
      <c r="B1028" s="5" t="s">
        <v>1185</v>
      </c>
      <c r="C1028" s="17">
        <v>19900101</v>
      </c>
      <c r="D1028" s="17">
        <v>22991231</v>
      </c>
      <c r="E1028" s="25">
        <v>8283.92</v>
      </c>
    </row>
    <row r="1029" spans="1:5" ht="26" x14ac:dyDescent="0.3">
      <c r="A1029" s="17" t="str">
        <f>"24435"</f>
        <v>24435</v>
      </c>
      <c r="B1029" s="5" t="s">
        <v>1186</v>
      </c>
      <c r="C1029" s="17">
        <v>19900101</v>
      </c>
      <c r="D1029" s="17">
        <v>22991231</v>
      </c>
      <c r="E1029" s="25">
        <v>8209.11</v>
      </c>
    </row>
    <row r="1030" spans="1:5" x14ac:dyDescent="0.3">
      <c r="A1030" s="17" t="str">
        <f>"24470"</f>
        <v>24470</v>
      </c>
      <c r="B1030" s="5" t="s">
        <v>1187</v>
      </c>
      <c r="C1030" s="17">
        <v>19900101</v>
      </c>
      <c r="D1030" s="17">
        <v>22991231</v>
      </c>
      <c r="E1030" s="25">
        <v>1450.8</v>
      </c>
    </row>
    <row r="1031" spans="1:5" ht="26" x14ac:dyDescent="0.3">
      <c r="A1031" s="17" t="str">
        <f>"24495"</f>
        <v>24495</v>
      </c>
      <c r="B1031" s="5" t="s">
        <v>1188</v>
      </c>
      <c r="C1031" s="17">
        <v>19900101</v>
      </c>
      <c r="D1031" s="17">
        <v>22991231</v>
      </c>
      <c r="E1031" s="25">
        <v>3240.75</v>
      </c>
    </row>
    <row r="1032" spans="1:5" x14ac:dyDescent="0.3">
      <c r="A1032" s="17" t="str">
        <f>"24498"</f>
        <v>24498</v>
      </c>
      <c r="B1032" s="5" t="s">
        <v>1189</v>
      </c>
      <c r="C1032" s="17">
        <v>19900101</v>
      </c>
      <c r="D1032" s="17">
        <v>22991231</v>
      </c>
      <c r="E1032" s="25">
        <v>8318.2099999999991</v>
      </c>
    </row>
    <row r="1033" spans="1:5" ht="26" x14ac:dyDescent="0.3">
      <c r="A1033" s="17" t="str">
        <f>"24500"</f>
        <v>24500</v>
      </c>
      <c r="B1033" s="5" t="s">
        <v>1190</v>
      </c>
      <c r="C1033" s="17">
        <v>19900101</v>
      </c>
      <c r="D1033" s="17">
        <v>22991231</v>
      </c>
      <c r="E1033" s="25">
        <v>116.84</v>
      </c>
    </row>
    <row r="1034" spans="1:5" ht="26" x14ac:dyDescent="0.3">
      <c r="A1034" s="17" t="str">
        <f>"24505"</f>
        <v>24505</v>
      </c>
      <c r="B1034" s="5" t="s">
        <v>1191</v>
      </c>
      <c r="C1034" s="17">
        <v>19900101</v>
      </c>
      <c r="D1034" s="17">
        <v>22991231</v>
      </c>
      <c r="E1034" s="25">
        <v>782.3</v>
      </c>
    </row>
    <row r="1035" spans="1:5" ht="39" x14ac:dyDescent="0.3">
      <c r="A1035" s="17" t="str">
        <f>"24515"</f>
        <v>24515</v>
      </c>
      <c r="B1035" s="5" t="s">
        <v>1192</v>
      </c>
      <c r="C1035" s="17">
        <v>19900101</v>
      </c>
      <c r="D1035" s="17">
        <v>22991231</v>
      </c>
      <c r="E1035" s="25">
        <v>8076.62</v>
      </c>
    </row>
    <row r="1036" spans="1:5" ht="39" x14ac:dyDescent="0.3">
      <c r="A1036" s="17" t="str">
        <f>"24516"</f>
        <v>24516</v>
      </c>
      <c r="B1036" s="5" t="s">
        <v>1193</v>
      </c>
      <c r="C1036" s="17">
        <v>19930101</v>
      </c>
      <c r="D1036" s="17">
        <v>22991231</v>
      </c>
      <c r="E1036" s="25">
        <v>8215.35</v>
      </c>
    </row>
    <row r="1037" spans="1:5" ht="26" x14ac:dyDescent="0.3">
      <c r="A1037" s="17" t="str">
        <f>"24530"</f>
        <v>24530</v>
      </c>
      <c r="B1037" s="5" t="s">
        <v>1194</v>
      </c>
      <c r="C1037" s="17">
        <v>19900101</v>
      </c>
      <c r="D1037" s="17">
        <v>22991231</v>
      </c>
      <c r="E1037" s="25">
        <v>116.84</v>
      </c>
    </row>
    <row r="1038" spans="1:5" ht="26" x14ac:dyDescent="0.3">
      <c r="A1038" s="17" t="str">
        <f>"24535"</f>
        <v>24535</v>
      </c>
      <c r="B1038" s="5" t="s">
        <v>1195</v>
      </c>
      <c r="C1038" s="17">
        <v>19900101</v>
      </c>
      <c r="D1038" s="17">
        <v>22991231</v>
      </c>
      <c r="E1038" s="25">
        <v>782.3</v>
      </c>
    </row>
    <row r="1039" spans="1:5" ht="26" x14ac:dyDescent="0.3">
      <c r="A1039" s="17" t="str">
        <f>"24538"</f>
        <v>24538</v>
      </c>
      <c r="B1039" s="5" t="s">
        <v>1196</v>
      </c>
      <c r="C1039" s="17">
        <v>19900101</v>
      </c>
      <c r="D1039" s="17">
        <v>22991231</v>
      </c>
      <c r="E1039" s="25">
        <v>3240.75</v>
      </c>
    </row>
    <row r="1040" spans="1:5" x14ac:dyDescent="0.3">
      <c r="A1040" s="17" t="str">
        <f>"24545"</f>
        <v>24545</v>
      </c>
      <c r="B1040" s="5" t="s">
        <v>1197</v>
      </c>
      <c r="C1040" s="17">
        <v>19900101</v>
      </c>
      <c r="D1040" s="17">
        <v>22991231</v>
      </c>
      <c r="E1040" s="25">
        <v>8481.8700000000008</v>
      </c>
    </row>
    <row r="1041" spans="1:5" ht="26" x14ac:dyDescent="0.3">
      <c r="A1041" s="17" t="str">
        <f>"24546"</f>
        <v>24546</v>
      </c>
      <c r="B1041" s="5" t="s">
        <v>1198</v>
      </c>
      <c r="C1041" s="17">
        <v>19930101</v>
      </c>
      <c r="D1041" s="17">
        <v>22991231</v>
      </c>
      <c r="E1041" s="25">
        <v>8646.56</v>
      </c>
    </row>
    <row r="1042" spans="1:5" ht="26" x14ac:dyDescent="0.3">
      <c r="A1042" s="17" t="str">
        <f>"24560"</f>
        <v>24560</v>
      </c>
      <c r="B1042" s="5" t="s">
        <v>1199</v>
      </c>
      <c r="C1042" s="17">
        <v>19900101</v>
      </c>
      <c r="D1042" s="17">
        <v>22991231</v>
      </c>
      <c r="E1042" s="25">
        <v>116.84</v>
      </c>
    </row>
    <row r="1043" spans="1:5" ht="26" x14ac:dyDescent="0.3">
      <c r="A1043" s="17" t="str">
        <f>"24565"</f>
        <v>24565</v>
      </c>
      <c r="B1043" s="5" t="s">
        <v>1200</v>
      </c>
      <c r="C1043" s="17">
        <v>19900101</v>
      </c>
      <c r="D1043" s="17">
        <v>22991231</v>
      </c>
      <c r="E1043" s="25">
        <v>782.3</v>
      </c>
    </row>
    <row r="1044" spans="1:5" ht="26" x14ac:dyDescent="0.3">
      <c r="A1044" s="17" t="str">
        <f>"24566"</f>
        <v>24566</v>
      </c>
      <c r="B1044" s="5" t="s">
        <v>1201</v>
      </c>
      <c r="C1044" s="17">
        <v>19940101</v>
      </c>
      <c r="D1044" s="17">
        <v>22991231</v>
      </c>
      <c r="E1044" s="25">
        <v>782.3</v>
      </c>
    </row>
    <row r="1045" spans="1:5" ht="26" x14ac:dyDescent="0.3">
      <c r="A1045" s="17" t="str">
        <f>"24575"</f>
        <v>24575</v>
      </c>
      <c r="B1045" s="5" t="s">
        <v>1202</v>
      </c>
      <c r="C1045" s="17">
        <v>19900101</v>
      </c>
      <c r="D1045" s="17">
        <v>22991231</v>
      </c>
      <c r="E1045" s="25">
        <v>7839.2</v>
      </c>
    </row>
    <row r="1046" spans="1:5" x14ac:dyDescent="0.3">
      <c r="A1046" s="17" t="str">
        <f>"24576"</f>
        <v>24576</v>
      </c>
      <c r="B1046" s="5" t="s">
        <v>1203</v>
      </c>
      <c r="C1046" s="17">
        <v>19900101</v>
      </c>
      <c r="D1046" s="17">
        <v>22991231</v>
      </c>
      <c r="E1046" s="25">
        <v>116.84</v>
      </c>
    </row>
    <row r="1047" spans="1:5" ht="26" x14ac:dyDescent="0.3">
      <c r="A1047" s="17" t="str">
        <f>"24577"</f>
        <v>24577</v>
      </c>
      <c r="B1047" s="5" t="s">
        <v>1204</v>
      </c>
      <c r="C1047" s="17">
        <v>19900101</v>
      </c>
      <c r="D1047" s="17">
        <v>22991231</v>
      </c>
      <c r="E1047" s="25">
        <v>782.3</v>
      </c>
    </row>
    <row r="1048" spans="1:5" x14ac:dyDescent="0.3">
      <c r="A1048" s="17" t="str">
        <f>"24579"</f>
        <v>24579</v>
      </c>
      <c r="B1048" s="5" t="s">
        <v>1205</v>
      </c>
      <c r="C1048" s="17">
        <v>19900101</v>
      </c>
      <c r="D1048" s="17">
        <v>22991231</v>
      </c>
      <c r="E1048" s="25">
        <v>7853.75</v>
      </c>
    </row>
    <row r="1049" spans="1:5" ht="26" x14ac:dyDescent="0.3">
      <c r="A1049" s="17" t="str">
        <f>"24582"</f>
        <v>24582</v>
      </c>
      <c r="B1049" s="5" t="s">
        <v>1206</v>
      </c>
      <c r="C1049" s="17">
        <v>19940101</v>
      </c>
      <c r="D1049" s="17">
        <v>22991231</v>
      </c>
      <c r="E1049" s="25">
        <v>3240.75</v>
      </c>
    </row>
    <row r="1050" spans="1:5" ht="26" x14ac:dyDescent="0.3">
      <c r="A1050" s="17" t="str">
        <f>"24586"</f>
        <v>24586</v>
      </c>
      <c r="B1050" s="5" t="s">
        <v>1207</v>
      </c>
      <c r="C1050" s="17">
        <v>19900101</v>
      </c>
      <c r="D1050" s="17">
        <v>22991231</v>
      </c>
      <c r="E1050" s="25">
        <v>8304.7000000000007</v>
      </c>
    </row>
    <row r="1051" spans="1:5" ht="26" x14ac:dyDescent="0.3">
      <c r="A1051" s="17" t="str">
        <f>"24587"</f>
        <v>24587</v>
      </c>
      <c r="B1051" s="5" t="s">
        <v>1208</v>
      </c>
      <c r="C1051" s="17">
        <v>19900101</v>
      </c>
      <c r="D1051" s="17">
        <v>22991231</v>
      </c>
      <c r="E1051" s="25">
        <v>8712.5400000000009</v>
      </c>
    </row>
    <row r="1052" spans="1:5" x14ac:dyDescent="0.3">
      <c r="A1052" s="17" t="str">
        <f>"24600"</f>
        <v>24600</v>
      </c>
      <c r="B1052" s="5" t="s">
        <v>1209</v>
      </c>
      <c r="C1052" s="17">
        <v>19900101</v>
      </c>
      <c r="D1052" s="17">
        <v>22991231</v>
      </c>
      <c r="E1052" s="25">
        <v>116.84</v>
      </c>
    </row>
    <row r="1053" spans="1:5" x14ac:dyDescent="0.3">
      <c r="A1053" s="17" t="str">
        <f>"24605"</f>
        <v>24605</v>
      </c>
      <c r="B1053" s="5" t="s">
        <v>1210</v>
      </c>
      <c r="C1053" s="17">
        <v>19900101</v>
      </c>
      <c r="D1053" s="17">
        <v>22991231</v>
      </c>
      <c r="E1053" s="25">
        <v>782.3</v>
      </c>
    </row>
    <row r="1054" spans="1:5" x14ac:dyDescent="0.3">
      <c r="A1054" s="17" t="str">
        <f>"24615"</f>
        <v>24615</v>
      </c>
      <c r="B1054" s="5" t="s">
        <v>1211</v>
      </c>
      <c r="C1054" s="17">
        <v>19900101</v>
      </c>
      <c r="D1054" s="17">
        <v>22991231</v>
      </c>
      <c r="E1054" s="25">
        <v>4719.7299999999996</v>
      </c>
    </row>
    <row r="1055" spans="1:5" ht="26" x14ac:dyDescent="0.3">
      <c r="A1055" s="17" t="str">
        <f>"24620"</f>
        <v>24620</v>
      </c>
      <c r="B1055" s="5" t="s">
        <v>1212</v>
      </c>
      <c r="C1055" s="17">
        <v>19900101</v>
      </c>
      <c r="D1055" s="17">
        <v>22991231</v>
      </c>
      <c r="E1055" s="25">
        <v>782.3</v>
      </c>
    </row>
    <row r="1056" spans="1:5" ht="26" x14ac:dyDescent="0.3">
      <c r="A1056" s="17" t="str">
        <f>"24635"</f>
        <v>24635</v>
      </c>
      <c r="B1056" s="5" t="s">
        <v>1213</v>
      </c>
      <c r="C1056" s="17">
        <v>19900101</v>
      </c>
      <c r="D1056" s="17">
        <v>22991231</v>
      </c>
      <c r="E1056" s="25">
        <v>4206.3900000000003</v>
      </c>
    </row>
    <row r="1057" spans="1:5" ht="26" x14ac:dyDescent="0.3">
      <c r="A1057" s="17" t="str">
        <f>"24640"</f>
        <v>24640</v>
      </c>
      <c r="B1057" s="5" t="s">
        <v>1214</v>
      </c>
      <c r="C1057" s="17">
        <v>19900101</v>
      </c>
      <c r="D1057" s="17">
        <v>22991231</v>
      </c>
      <c r="E1057" s="25">
        <v>56.92</v>
      </c>
    </row>
    <row r="1058" spans="1:5" ht="26" x14ac:dyDescent="0.3">
      <c r="A1058" s="17" t="str">
        <f>"24650"</f>
        <v>24650</v>
      </c>
      <c r="B1058" s="5" t="s">
        <v>1215</v>
      </c>
      <c r="C1058" s="17">
        <v>19900101</v>
      </c>
      <c r="D1058" s="17">
        <v>22991231</v>
      </c>
      <c r="E1058" s="25">
        <v>116.84</v>
      </c>
    </row>
    <row r="1059" spans="1:5" ht="26" x14ac:dyDescent="0.3">
      <c r="A1059" s="17" t="str">
        <f>"24655"</f>
        <v>24655</v>
      </c>
      <c r="B1059" s="5" t="s">
        <v>1216</v>
      </c>
      <c r="C1059" s="17">
        <v>19900101</v>
      </c>
      <c r="D1059" s="17">
        <v>22991231</v>
      </c>
      <c r="E1059" s="25">
        <v>782.3</v>
      </c>
    </row>
    <row r="1060" spans="1:5" ht="26" x14ac:dyDescent="0.3">
      <c r="A1060" s="17" t="str">
        <f>"24665"</f>
        <v>24665</v>
      </c>
      <c r="B1060" s="5" t="s">
        <v>1217</v>
      </c>
      <c r="C1060" s="17">
        <v>19900101</v>
      </c>
      <c r="D1060" s="17">
        <v>22991231</v>
      </c>
      <c r="E1060" s="25">
        <v>3240.75</v>
      </c>
    </row>
    <row r="1061" spans="1:5" ht="26" x14ac:dyDescent="0.3">
      <c r="A1061" s="17" t="str">
        <f>"24666"</f>
        <v>24666</v>
      </c>
      <c r="B1061" s="5" t="s">
        <v>1218</v>
      </c>
      <c r="C1061" s="17">
        <v>19900101</v>
      </c>
      <c r="D1061" s="17">
        <v>22991231</v>
      </c>
      <c r="E1061" s="25">
        <v>9045.57</v>
      </c>
    </row>
    <row r="1062" spans="1:5" ht="26" x14ac:dyDescent="0.3">
      <c r="A1062" s="17" t="str">
        <f>"24670"</f>
        <v>24670</v>
      </c>
      <c r="B1062" s="5" t="s">
        <v>1219</v>
      </c>
      <c r="C1062" s="17">
        <v>19900101</v>
      </c>
      <c r="D1062" s="17">
        <v>22991231</v>
      </c>
      <c r="E1062" s="25">
        <v>116.84</v>
      </c>
    </row>
    <row r="1063" spans="1:5" ht="26" x14ac:dyDescent="0.3">
      <c r="A1063" s="17" t="str">
        <f>"24675"</f>
        <v>24675</v>
      </c>
      <c r="B1063" s="5" t="s">
        <v>1220</v>
      </c>
      <c r="C1063" s="17">
        <v>19900101</v>
      </c>
      <c r="D1063" s="17">
        <v>22991231</v>
      </c>
      <c r="E1063" s="25">
        <v>782.3</v>
      </c>
    </row>
    <row r="1064" spans="1:5" ht="26" x14ac:dyDescent="0.3">
      <c r="A1064" s="17" t="str">
        <f>"24685"</f>
        <v>24685</v>
      </c>
      <c r="B1064" s="5" t="s">
        <v>1221</v>
      </c>
      <c r="C1064" s="17">
        <v>19900101</v>
      </c>
      <c r="D1064" s="17">
        <v>22991231</v>
      </c>
      <c r="E1064" s="25">
        <v>4126.13</v>
      </c>
    </row>
    <row r="1065" spans="1:5" ht="26" x14ac:dyDescent="0.3">
      <c r="A1065" s="17" t="str">
        <f>"24800"</f>
        <v>24800</v>
      </c>
      <c r="B1065" s="5" t="s">
        <v>1222</v>
      </c>
      <c r="C1065" s="17">
        <v>19900101</v>
      </c>
      <c r="D1065" s="17">
        <v>22991231</v>
      </c>
      <c r="E1065" s="25">
        <v>3240.75</v>
      </c>
    </row>
    <row r="1066" spans="1:5" ht="26" x14ac:dyDescent="0.3">
      <c r="A1066" s="17" t="str">
        <f>"24802"</f>
        <v>24802</v>
      </c>
      <c r="B1066" s="5" t="s">
        <v>1223</v>
      </c>
      <c r="C1066" s="17">
        <v>19900101</v>
      </c>
      <c r="D1066" s="17">
        <v>22991231</v>
      </c>
      <c r="E1066" s="25">
        <v>6208.9</v>
      </c>
    </row>
    <row r="1067" spans="1:5" ht="26" x14ac:dyDescent="0.3">
      <c r="A1067" s="17" t="str">
        <f>"24925"</f>
        <v>24925</v>
      </c>
      <c r="B1067" s="5" t="s">
        <v>1224</v>
      </c>
      <c r="C1067" s="17">
        <v>19900101</v>
      </c>
      <c r="D1067" s="17">
        <v>22991231</v>
      </c>
      <c r="E1067" s="25">
        <v>1450.8</v>
      </c>
    </row>
    <row r="1068" spans="1:5" x14ac:dyDescent="0.3">
      <c r="A1068" s="17" t="str">
        <f>"24935"</f>
        <v>24935</v>
      </c>
      <c r="B1068" s="5" t="s">
        <v>1225</v>
      </c>
      <c r="C1068" s="17">
        <v>19900101</v>
      </c>
      <c r="D1068" s="17">
        <v>22991231</v>
      </c>
      <c r="E1068" s="24" t="s">
        <v>7128</v>
      </c>
    </row>
    <row r="1069" spans="1:5" ht="26" x14ac:dyDescent="0.3">
      <c r="A1069" s="17" t="str">
        <f>"25000"</f>
        <v>25000</v>
      </c>
      <c r="B1069" s="5" t="s">
        <v>1226</v>
      </c>
      <c r="C1069" s="17">
        <v>19900101</v>
      </c>
      <c r="D1069" s="17">
        <v>22991231</v>
      </c>
      <c r="E1069" s="25">
        <v>782.3</v>
      </c>
    </row>
    <row r="1070" spans="1:5" ht="26" x14ac:dyDescent="0.3">
      <c r="A1070" s="17" t="str">
        <f>"25001"</f>
        <v>25001</v>
      </c>
      <c r="B1070" s="5" t="s">
        <v>1227</v>
      </c>
      <c r="C1070" s="17">
        <v>20230101</v>
      </c>
      <c r="D1070" s="17">
        <v>22991231</v>
      </c>
      <c r="E1070" s="25">
        <v>1450.8</v>
      </c>
    </row>
    <row r="1071" spans="1:5" ht="39" x14ac:dyDescent="0.3">
      <c r="A1071" s="17" t="str">
        <f>"25020"</f>
        <v>25020</v>
      </c>
      <c r="B1071" s="5" t="s">
        <v>1228</v>
      </c>
      <c r="C1071" s="17">
        <v>19900101</v>
      </c>
      <c r="D1071" s="17">
        <v>22991231</v>
      </c>
      <c r="E1071" s="25">
        <v>782.3</v>
      </c>
    </row>
    <row r="1072" spans="1:5" ht="39" x14ac:dyDescent="0.3">
      <c r="A1072" s="17" t="str">
        <f>"25023"</f>
        <v>25023</v>
      </c>
      <c r="B1072" s="5" t="s">
        <v>1229</v>
      </c>
      <c r="C1072" s="17">
        <v>19900101</v>
      </c>
      <c r="D1072" s="17">
        <v>22991231</v>
      </c>
      <c r="E1072" s="25">
        <v>1450.8</v>
      </c>
    </row>
    <row r="1073" spans="1:5" ht="39" x14ac:dyDescent="0.3">
      <c r="A1073" s="17" t="str">
        <f>"25024"</f>
        <v>25024</v>
      </c>
      <c r="B1073" s="5" t="s">
        <v>1230</v>
      </c>
      <c r="C1073" s="17">
        <v>20030401</v>
      </c>
      <c r="D1073" s="17">
        <v>22991231</v>
      </c>
      <c r="E1073" s="25">
        <v>1450.8</v>
      </c>
    </row>
    <row r="1074" spans="1:5" ht="39" x14ac:dyDescent="0.3">
      <c r="A1074" s="17" t="str">
        <f>"25025"</f>
        <v>25025</v>
      </c>
      <c r="B1074" s="5" t="s">
        <v>1231</v>
      </c>
      <c r="C1074" s="17">
        <v>20030401</v>
      </c>
      <c r="D1074" s="17">
        <v>22991231</v>
      </c>
      <c r="E1074" s="25">
        <v>782.3</v>
      </c>
    </row>
    <row r="1075" spans="1:5" ht="26" x14ac:dyDescent="0.3">
      <c r="A1075" s="17" t="str">
        <f>"25028"</f>
        <v>25028</v>
      </c>
      <c r="B1075" s="5" t="s">
        <v>1232</v>
      </c>
      <c r="C1075" s="17">
        <v>19900101</v>
      </c>
      <c r="D1075" s="17">
        <v>22991231</v>
      </c>
      <c r="E1075" s="25">
        <v>1450.8</v>
      </c>
    </row>
    <row r="1076" spans="1:5" x14ac:dyDescent="0.3">
      <c r="A1076" s="17" t="str">
        <f>"25031"</f>
        <v>25031</v>
      </c>
      <c r="B1076" s="5" t="s">
        <v>1233</v>
      </c>
      <c r="C1076" s="17">
        <v>19900101</v>
      </c>
      <c r="D1076" s="17">
        <v>22991231</v>
      </c>
      <c r="E1076" s="25">
        <v>782.3</v>
      </c>
    </row>
    <row r="1077" spans="1:5" x14ac:dyDescent="0.3">
      <c r="A1077" s="17" t="str">
        <f>"25035"</f>
        <v>25035</v>
      </c>
      <c r="B1077" s="5" t="s">
        <v>1234</v>
      </c>
      <c r="C1077" s="17">
        <v>19900101</v>
      </c>
      <c r="D1077" s="17">
        <v>22991231</v>
      </c>
      <c r="E1077" s="25">
        <v>3240.75</v>
      </c>
    </row>
    <row r="1078" spans="1:5" ht="26" x14ac:dyDescent="0.3">
      <c r="A1078" s="17" t="str">
        <f>"25040"</f>
        <v>25040</v>
      </c>
      <c r="B1078" s="5" t="s">
        <v>1235</v>
      </c>
      <c r="C1078" s="17">
        <v>19900101</v>
      </c>
      <c r="D1078" s="17">
        <v>22991231</v>
      </c>
      <c r="E1078" s="25">
        <v>1450.8</v>
      </c>
    </row>
    <row r="1079" spans="1:5" x14ac:dyDescent="0.3">
      <c r="A1079" s="17" t="str">
        <f>"25065"</f>
        <v>25065</v>
      </c>
      <c r="B1079" s="5" t="s">
        <v>1236</v>
      </c>
      <c r="C1079" s="17">
        <v>19900101</v>
      </c>
      <c r="D1079" s="17">
        <v>22991231</v>
      </c>
      <c r="E1079" s="25">
        <v>168.57</v>
      </c>
    </row>
    <row r="1080" spans="1:5" x14ac:dyDescent="0.3">
      <c r="A1080" s="17" t="str">
        <f>"25066"</f>
        <v>25066</v>
      </c>
      <c r="B1080" s="5" t="s">
        <v>1237</v>
      </c>
      <c r="C1080" s="17">
        <v>19900101</v>
      </c>
      <c r="D1080" s="17">
        <v>22991231</v>
      </c>
      <c r="E1080" s="25">
        <v>1105.24</v>
      </c>
    </row>
    <row r="1081" spans="1:5" ht="26" x14ac:dyDescent="0.3">
      <c r="A1081" s="17" t="str">
        <f>"25071"</f>
        <v>25071</v>
      </c>
      <c r="B1081" s="5" t="s">
        <v>1238</v>
      </c>
      <c r="C1081" s="17">
        <v>20100101</v>
      </c>
      <c r="D1081" s="17">
        <v>22991231</v>
      </c>
      <c r="E1081" s="25">
        <v>652.27</v>
      </c>
    </row>
    <row r="1082" spans="1:5" ht="26" x14ac:dyDescent="0.3">
      <c r="A1082" s="17" t="str">
        <f>"25073"</f>
        <v>25073</v>
      </c>
      <c r="B1082" s="5" t="s">
        <v>1239</v>
      </c>
      <c r="C1082" s="17">
        <v>20100101</v>
      </c>
      <c r="D1082" s="17">
        <v>22991231</v>
      </c>
      <c r="E1082" s="25">
        <v>1105.24</v>
      </c>
    </row>
    <row r="1083" spans="1:5" ht="26" x14ac:dyDescent="0.3">
      <c r="A1083" s="17" t="str">
        <f>"25075"</f>
        <v>25075</v>
      </c>
      <c r="B1083" s="5" t="s">
        <v>1240</v>
      </c>
      <c r="C1083" s="17">
        <v>19900101</v>
      </c>
      <c r="D1083" s="17">
        <v>22991231</v>
      </c>
      <c r="E1083" s="25">
        <v>652.27</v>
      </c>
    </row>
    <row r="1084" spans="1:5" ht="26" x14ac:dyDescent="0.3">
      <c r="A1084" s="17" t="str">
        <f>"25076"</f>
        <v>25076</v>
      </c>
      <c r="B1084" s="5" t="s">
        <v>1241</v>
      </c>
      <c r="C1084" s="17">
        <v>19900101</v>
      </c>
      <c r="D1084" s="17">
        <v>22991231</v>
      </c>
      <c r="E1084" s="25">
        <v>652.27</v>
      </c>
    </row>
    <row r="1085" spans="1:5" ht="26" x14ac:dyDescent="0.3">
      <c r="A1085" s="17" t="str">
        <f>"25077"</f>
        <v>25077</v>
      </c>
      <c r="B1085" s="5" t="s">
        <v>1242</v>
      </c>
      <c r="C1085" s="17">
        <v>19970801</v>
      </c>
      <c r="D1085" s="17">
        <v>22991231</v>
      </c>
      <c r="E1085" s="25">
        <v>1105.24</v>
      </c>
    </row>
    <row r="1086" spans="1:5" ht="26" x14ac:dyDescent="0.3">
      <c r="A1086" s="17" t="str">
        <f>"25078"</f>
        <v>25078</v>
      </c>
      <c r="B1086" s="5" t="s">
        <v>1243</v>
      </c>
      <c r="C1086" s="17">
        <v>20100101</v>
      </c>
      <c r="D1086" s="17">
        <v>22991231</v>
      </c>
      <c r="E1086" s="25">
        <v>1105.24</v>
      </c>
    </row>
    <row r="1087" spans="1:5" ht="26" x14ac:dyDescent="0.3">
      <c r="A1087" s="17" t="str">
        <f>"25085"</f>
        <v>25085</v>
      </c>
      <c r="B1087" s="5" t="s">
        <v>1244</v>
      </c>
      <c r="C1087" s="17">
        <v>19900101</v>
      </c>
      <c r="D1087" s="17">
        <v>22991231</v>
      </c>
      <c r="E1087" s="25">
        <v>1450.8</v>
      </c>
    </row>
    <row r="1088" spans="1:5" x14ac:dyDescent="0.3">
      <c r="A1088" s="17" t="str">
        <f>"25100"</f>
        <v>25100</v>
      </c>
      <c r="B1088" s="5" t="s">
        <v>1245</v>
      </c>
      <c r="C1088" s="17">
        <v>19900101</v>
      </c>
      <c r="D1088" s="17">
        <v>22991231</v>
      </c>
      <c r="E1088" s="25">
        <v>1450.8</v>
      </c>
    </row>
    <row r="1089" spans="1:5" x14ac:dyDescent="0.3">
      <c r="A1089" s="17" t="str">
        <f>"25101"</f>
        <v>25101</v>
      </c>
      <c r="B1089" s="5" t="s">
        <v>1246</v>
      </c>
      <c r="C1089" s="17">
        <v>19900101</v>
      </c>
      <c r="D1089" s="17">
        <v>22991231</v>
      </c>
      <c r="E1089" s="25">
        <v>1450.8</v>
      </c>
    </row>
    <row r="1090" spans="1:5" ht="26" x14ac:dyDescent="0.3">
      <c r="A1090" s="17" t="str">
        <f>"25105"</f>
        <v>25105</v>
      </c>
      <c r="B1090" s="5" t="s">
        <v>1247</v>
      </c>
      <c r="C1090" s="17">
        <v>19900101</v>
      </c>
      <c r="D1090" s="17">
        <v>22991231</v>
      </c>
      <c r="E1090" s="25">
        <v>1450.8</v>
      </c>
    </row>
    <row r="1091" spans="1:5" ht="26" x14ac:dyDescent="0.3">
      <c r="A1091" s="17" t="str">
        <f>"25107"</f>
        <v>25107</v>
      </c>
      <c r="B1091" s="5" t="s">
        <v>1248</v>
      </c>
      <c r="C1091" s="17">
        <v>19900101</v>
      </c>
      <c r="D1091" s="17">
        <v>22991231</v>
      </c>
      <c r="E1091" s="25">
        <v>1450.8</v>
      </c>
    </row>
    <row r="1092" spans="1:5" x14ac:dyDescent="0.3">
      <c r="A1092" s="17" t="str">
        <f>"25109"</f>
        <v>25109</v>
      </c>
      <c r="B1092" s="5" t="s">
        <v>1249</v>
      </c>
      <c r="C1092" s="17">
        <v>20230101</v>
      </c>
      <c r="D1092" s="17">
        <v>22991231</v>
      </c>
      <c r="E1092" s="25">
        <v>1450.8</v>
      </c>
    </row>
    <row r="1093" spans="1:5" ht="26" x14ac:dyDescent="0.3">
      <c r="A1093" s="17" t="str">
        <f>"25110"</f>
        <v>25110</v>
      </c>
      <c r="B1093" s="5" t="s">
        <v>1250</v>
      </c>
      <c r="C1093" s="17">
        <v>19900101</v>
      </c>
      <c r="D1093" s="17">
        <v>22991231</v>
      </c>
      <c r="E1093" s="25">
        <v>782.3</v>
      </c>
    </row>
    <row r="1094" spans="1:5" x14ac:dyDescent="0.3">
      <c r="A1094" s="17" t="str">
        <f>"25111"</f>
        <v>25111</v>
      </c>
      <c r="B1094" s="5" t="s">
        <v>1251</v>
      </c>
      <c r="C1094" s="17">
        <v>19900101</v>
      </c>
      <c r="D1094" s="17">
        <v>22991231</v>
      </c>
      <c r="E1094" s="25">
        <v>782.3</v>
      </c>
    </row>
    <row r="1095" spans="1:5" x14ac:dyDescent="0.3">
      <c r="A1095" s="17" t="str">
        <f>"25112"</f>
        <v>25112</v>
      </c>
      <c r="B1095" s="5" t="s">
        <v>1252</v>
      </c>
      <c r="C1095" s="17">
        <v>19900101</v>
      </c>
      <c r="D1095" s="17">
        <v>22991231</v>
      </c>
      <c r="E1095" s="25">
        <v>782.3</v>
      </c>
    </row>
    <row r="1096" spans="1:5" ht="26" x14ac:dyDescent="0.3">
      <c r="A1096" s="17" t="str">
        <f>"25115"</f>
        <v>25115</v>
      </c>
      <c r="B1096" s="5" t="s">
        <v>1253</v>
      </c>
      <c r="C1096" s="17">
        <v>19900101</v>
      </c>
      <c r="D1096" s="17">
        <v>22991231</v>
      </c>
      <c r="E1096" s="25">
        <v>782.3</v>
      </c>
    </row>
    <row r="1097" spans="1:5" ht="26" x14ac:dyDescent="0.3">
      <c r="A1097" s="17" t="str">
        <f>"25116"</f>
        <v>25116</v>
      </c>
      <c r="B1097" s="5" t="s">
        <v>1254</v>
      </c>
      <c r="C1097" s="17">
        <v>19900101</v>
      </c>
      <c r="D1097" s="17">
        <v>22991231</v>
      </c>
      <c r="E1097" s="25">
        <v>1450.8</v>
      </c>
    </row>
    <row r="1098" spans="1:5" x14ac:dyDescent="0.3">
      <c r="A1098" s="17" t="str">
        <f>"25118"</f>
        <v>25118</v>
      </c>
      <c r="B1098" s="5" t="s">
        <v>1255</v>
      </c>
      <c r="C1098" s="17">
        <v>19900101</v>
      </c>
      <c r="D1098" s="17">
        <v>22991231</v>
      </c>
      <c r="E1098" s="25">
        <v>782.3</v>
      </c>
    </row>
    <row r="1099" spans="1:5" ht="26" x14ac:dyDescent="0.3">
      <c r="A1099" s="17" t="str">
        <f>"25119"</f>
        <v>25119</v>
      </c>
      <c r="B1099" s="5" t="s">
        <v>1256</v>
      </c>
      <c r="C1099" s="17">
        <v>19900101</v>
      </c>
      <c r="D1099" s="17">
        <v>22991231</v>
      </c>
      <c r="E1099" s="25">
        <v>1450.8</v>
      </c>
    </row>
    <row r="1100" spans="1:5" ht="26" x14ac:dyDescent="0.3">
      <c r="A1100" s="17" t="str">
        <f>"25120"</f>
        <v>25120</v>
      </c>
      <c r="B1100" s="5" t="s">
        <v>1257</v>
      </c>
      <c r="C1100" s="17">
        <v>19900101</v>
      </c>
      <c r="D1100" s="17">
        <v>22991231</v>
      </c>
      <c r="E1100" s="25">
        <v>1450.8</v>
      </c>
    </row>
    <row r="1101" spans="1:5" ht="26" x14ac:dyDescent="0.3">
      <c r="A1101" s="17" t="str">
        <f>"25125"</f>
        <v>25125</v>
      </c>
      <c r="B1101" s="5" t="s">
        <v>1258</v>
      </c>
      <c r="C1101" s="17">
        <v>19900101</v>
      </c>
      <c r="D1101" s="17">
        <v>22991231</v>
      </c>
      <c r="E1101" s="25">
        <v>782.3</v>
      </c>
    </row>
    <row r="1102" spans="1:5" ht="26" x14ac:dyDescent="0.3">
      <c r="A1102" s="17" t="str">
        <f>"25126"</f>
        <v>25126</v>
      </c>
      <c r="B1102" s="5" t="s">
        <v>1259</v>
      </c>
      <c r="C1102" s="17">
        <v>19900101</v>
      </c>
      <c r="D1102" s="17">
        <v>22991231</v>
      </c>
      <c r="E1102" s="25">
        <v>1827.13</v>
      </c>
    </row>
    <row r="1103" spans="1:5" x14ac:dyDescent="0.3">
      <c r="A1103" s="17" t="str">
        <f>"25130"</f>
        <v>25130</v>
      </c>
      <c r="B1103" s="5" t="s">
        <v>1260</v>
      </c>
      <c r="C1103" s="17">
        <v>19900101</v>
      </c>
      <c r="D1103" s="17">
        <v>22991231</v>
      </c>
      <c r="E1103" s="25">
        <v>1450.8</v>
      </c>
    </row>
    <row r="1104" spans="1:5" ht="26" x14ac:dyDescent="0.3">
      <c r="A1104" s="17" t="str">
        <f>"25135"</f>
        <v>25135</v>
      </c>
      <c r="B1104" s="5" t="s">
        <v>1261</v>
      </c>
      <c r="C1104" s="17">
        <v>19900101</v>
      </c>
      <c r="D1104" s="17">
        <v>22991231</v>
      </c>
      <c r="E1104" s="25">
        <v>3240.75</v>
      </c>
    </row>
    <row r="1105" spans="1:5" ht="26" x14ac:dyDescent="0.3">
      <c r="A1105" s="17" t="str">
        <f>"25136"</f>
        <v>25136</v>
      </c>
      <c r="B1105" s="5" t="s">
        <v>1262</v>
      </c>
      <c r="C1105" s="17">
        <v>19900101</v>
      </c>
      <c r="D1105" s="17">
        <v>22991231</v>
      </c>
      <c r="E1105" s="25">
        <v>3240.75</v>
      </c>
    </row>
    <row r="1106" spans="1:5" ht="26" x14ac:dyDescent="0.3">
      <c r="A1106" s="17" t="str">
        <f>"25145"</f>
        <v>25145</v>
      </c>
      <c r="B1106" s="5" t="s">
        <v>1263</v>
      </c>
      <c r="C1106" s="17">
        <v>19900101</v>
      </c>
      <c r="D1106" s="17">
        <v>22991231</v>
      </c>
      <c r="E1106" s="25">
        <v>1450.8</v>
      </c>
    </row>
    <row r="1107" spans="1:5" ht="26" x14ac:dyDescent="0.3">
      <c r="A1107" s="17" t="str">
        <f>"25150"</f>
        <v>25150</v>
      </c>
      <c r="B1107" s="5" t="s">
        <v>1264</v>
      </c>
      <c r="C1107" s="17">
        <v>19900101</v>
      </c>
      <c r="D1107" s="17">
        <v>22991231</v>
      </c>
      <c r="E1107" s="25">
        <v>1450.8</v>
      </c>
    </row>
    <row r="1108" spans="1:5" ht="26" x14ac:dyDescent="0.3">
      <c r="A1108" s="17" t="str">
        <f>"25151"</f>
        <v>25151</v>
      </c>
      <c r="B1108" s="5" t="s">
        <v>1265</v>
      </c>
      <c r="C1108" s="17">
        <v>19900101</v>
      </c>
      <c r="D1108" s="17">
        <v>22991231</v>
      </c>
      <c r="E1108" s="25">
        <v>1450.8</v>
      </c>
    </row>
    <row r="1109" spans="1:5" ht="26" x14ac:dyDescent="0.3">
      <c r="A1109" s="17" t="str">
        <f>"25170"</f>
        <v>25170</v>
      </c>
      <c r="B1109" s="5" t="s">
        <v>1266</v>
      </c>
      <c r="C1109" s="17">
        <v>19900101</v>
      </c>
      <c r="D1109" s="17">
        <v>22991231</v>
      </c>
      <c r="E1109" s="24" t="s">
        <v>7128</v>
      </c>
    </row>
    <row r="1110" spans="1:5" x14ac:dyDescent="0.3">
      <c r="A1110" s="17" t="str">
        <f>"25210"</f>
        <v>25210</v>
      </c>
      <c r="B1110" s="5" t="s">
        <v>1267</v>
      </c>
      <c r="C1110" s="17">
        <v>19900101</v>
      </c>
      <c r="D1110" s="17">
        <v>22991231</v>
      </c>
      <c r="E1110" s="25">
        <v>1450.8</v>
      </c>
    </row>
    <row r="1111" spans="1:5" x14ac:dyDescent="0.3">
      <c r="A1111" s="17" t="str">
        <f>"25215"</f>
        <v>25215</v>
      </c>
      <c r="B1111" s="5" t="s">
        <v>1268</v>
      </c>
      <c r="C1111" s="17">
        <v>19900101</v>
      </c>
      <c r="D1111" s="17">
        <v>22991231</v>
      </c>
      <c r="E1111" s="25">
        <v>1450.8</v>
      </c>
    </row>
    <row r="1112" spans="1:5" x14ac:dyDescent="0.3">
      <c r="A1112" s="17" t="str">
        <f>"25230"</f>
        <v>25230</v>
      </c>
      <c r="B1112" s="5" t="s">
        <v>1269</v>
      </c>
      <c r="C1112" s="17">
        <v>19900101</v>
      </c>
      <c r="D1112" s="17">
        <v>22991231</v>
      </c>
      <c r="E1112" s="25">
        <v>1450.8</v>
      </c>
    </row>
    <row r="1113" spans="1:5" ht="26" x14ac:dyDescent="0.3">
      <c r="A1113" s="17" t="str">
        <f>"25240"</f>
        <v>25240</v>
      </c>
      <c r="B1113" s="5" t="s">
        <v>1270</v>
      </c>
      <c r="C1113" s="17">
        <v>19900101</v>
      </c>
      <c r="D1113" s="17">
        <v>22991231</v>
      </c>
      <c r="E1113" s="25">
        <v>1450.8</v>
      </c>
    </row>
    <row r="1114" spans="1:5" x14ac:dyDescent="0.3">
      <c r="A1114" s="17" t="str">
        <f>"25246"</f>
        <v>25246</v>
      </c>
      <c r="B1114" s="5" t="s">
        <v>1271</v>
      </c>
      <c r="C1114" s="17">
        <v>19900101</v>
      </c>
      <c r="D1114" s="17">
        <v>22991231</v>
      </c>
      <c r="E1114" s="25">
        <v>0</v>
      </c>
    </row>
    <row r="1115" spans="1:5" ht="26" x14ac:dyDescent="0.3">
      <c r="A1115" s="17" t="str">
        <f>"25248"</f>
        <v>25248</v>
      </c>
      <c r="B1115" s="5" t="s">
        <v>1272</v>
      </c>
      <c r="C1115" s="17">
        <v>19900101</v>
      </c>
      <c r="D1115" s="17">
        <v>22991231</v>
      </c>
      <c r="E1115" s="25">
        <v>782.3</v>
      </c>
    </row>
    <row r="1116" spans="1:5" x14ac:dyDescent="0.3">
      <c r="A1116" s="17" t="str">
        <f>"25250"</f>
        <v>25250</v>
      </c>
      <c r="B1116" s="5" t="s">
        <v>1273</v>
      </c>
      <c r="C1116" s="17">
        <v>19900101</v>
      </c>
      <c r="D1116" s="17">
        <v>22991231</v>
      </c>
      <c r="E1116" s="25">
        <v>782.3</v>
      </c>
    </row>
    <row r="1117" spans="1:5" x14ac:dyDescent="0.3">
      <c r="A1117" s="17" t="str">
        <f>"25251"</f>
        <v>25251</v>
      </c>
      <c r="B1117" s="5" t="s">
        <v>1274</v>
      </c>
      <c r="C1117" s="17">
        <v>19900101</v>
      </c>
      <c r="D1117" s="17">
        <v>22991231</v>
      </c>
      <c r="E1117" s="25">
        <v>1450.8</v>
      </c>
    </row>
    <row r="1118" spans="1:5" x14ac:dyDescent="0.3">
      <c r="A1118" s="17" t="str">
        <f>"25259"</f>
        <v>25259</v>
      </c>
      <c r="B1118" s="5" t="s">
        <v>1275</v>
      </c>
      <c r="C1118" s="17">
        <v>20230101</v>
      </c>
      <c r="D1118" s="17">
        <v>22991231</v>
      </c>
      <c r="E1118" s="25">
        <v>782.3</v>
      </c>
    </row>
    <row r="1119" spans="1:5" ht="26" x14ac:dyDescent="0.3">
      <c r="A1119" s="17" t="str">
        <f>"25260"</f>
        <v>25260</v>
      </c>
      <c r="B1119" s="5" t="s">
        <v>1276</v>
      </c>
      <c r="C1119" s="17">
        <v>19900101</v>
      </c>
      <c r="D1119" s="17">
        <v>22991231</v>
      </c>
      <c r="E1119" s="25">
        <v>1450.8</v>
      </c>
    </row>
    <row r="1120" spans="1:5" ht="26" x14ac:dyDescent="0.3">
      <c r="A1120" s="17" t="str">
        <f>"25263"</f>
        <v>25263</v>
      </c>
      <c r="B1120" s="5" t="s">
        <v>1277</v>
      </c>
      <c r="C1120" s="17">
        <v>19900101</v>
      </c>
      <c r="D1120" s="17">
        <v>22991231</v>
      </c>
      <c r="E1120" s="25">
        <v>3240.75</v>
      </c>
    </row>
    <row r="1121" spans="1:5" ht="26" x14ac:dyDescent="0.3">
      <c r="A1121" s="17" t="str">
        <f>"25265"</f>
        <v>25265</v>
      </c>
      <c r="B1121" s="5" t="s">
        <v>1278</v>
      </c>
      <c r="C1121" s="17">
        <v>19900101</v>
      </c>
      <c r="D1121" s="17">
        <v>22991231</v>
      </c>
      <c r="E1121" s="25">
        <v>1450.8</v>
      </c>
    </row>
    <row r="1122" spans="1:5" ht="26" x14ac:dyDescent="0.3">
      <c r="A1122" s="17" t="str">
        <f>"25270"</f>
        <v>25270</v>
      </c>
      <c r="B1122" s="5" t="s">
        <v>1279</v>
      </c>
      <c r="C1122" s="17">
        <v>19900101</v>
      </c>
      <c r="D1122" s="17">
        <v>22991231</v>
      </c>
      <c r="E1122" s="25">
        <v>1450.8</v>
      </c>
    </row>
    <row r="1123" spans="1:5" ht="26" x14ac:dyDescent="0.3">
      <c r="A1123" s="17" t="str">
        <f>"25272"</f>
        <v>25272</v>
      </c>
      <c r="B1123" s="5" t="s">
        <v>1280</v>
      </c>
      <c r="C1123" s="17">
        <v>19900101</v>
      </c>
      <c r="D1123" s="17">
        <v>22991231</v>
      </c>
      <c r="E1123" s="25">
        <v>1450.8</v>
      </c>
    </row>
    <row r="1124" spans="1:5" ht="26" x14ac:dyDescent="0.3">
      <c r="A1124" s="17" t="str">
        <f>"25274"</f>
        <v>25274</v>
      </c>
      <c r="B1124" s="5" t="s">
        <v>1281</v>
      </c>
      <c r="C1124" s="17">
        <v>19900101</v>
      </c>
      <c r="D1124" s="17">
        <v>22991231</v>
      </c>
      <c r="E1124" s="25">
        <v>1450.8</v>
      </c>
    </row>
    <row r="1125" spans="1:5" ht="26" x14ac:dyDescent="0.3">
      <c r="A1125" s="17" t="str">
        <f>"25275"</f>
        <v>25275</v>
      </c>
      <c r="B1125" s="5" t="s">
        <v>1282</v>
      </c>
      <c r="C1125" s="17">
        <v>20030401</v>
      </c>
      <c r="D1125" s="17">
        <v>22991231</v>
      </c>
      <c r="E1125" s="25">
        <v>1450.8</v>
      </c>
    </row>
    <row r="1126" spans="1:5" ht="26" x14ac:dyDescent="0.3">
      <c r="A1126" s="17" t="str">
        <f>"25280"</f>
        <v>25280</v>
      </c>
      <c r="B1126" s="5" t="s">
        <v>1283</v>
      </c>
      <c r="C1126" s="17">
        <v>19900101</v>
      </c>
      <c r="D1126" s="17">
        <v>22991231</v>
      </c>
      <c r="E1126" s="25">
        <v>1450.8</v>
      </c>
    </row>
    <row r="1127" spans="1:5" ht="26" x14ac:dyDescent="0.3">
      <c r="A1127" s="17" t="str">
        <f>"25290"</f>
        <v>25290</v>
      </c>
      <c r="B1127" s="5" t="s">
        <v>1284</v>
      </c>
      <c r="C1127" s="17">
        <v>19900101</v>
      </c>
      <c r="D1127" s="17">
        <v>22991231</v>
      </c>
      <c r="E1127" s="25">
        <v>1450.8</v>
      </c>
    </row>
    <row r="1128" spans="1:5" ht="26" x14ac:dyDescent="0.3">
      <c r="A1128" s="17" t="str">
        <f>"25295"</f>
        <v>25295</v>
      </c>
      <c r="B1128" s="5" t="s">
        <v>1285</v>
      </c>
      <c r="C1128" s="17">
        <v>19900101</v>
      </c>
      <c r="D1128" s="17">
        <v>22991231</v>
      </c>
      <c r="E1128" s="25">
        <v>1450.8</v>
      </c>
    </row>
    <row r="1129" spans="1:5" ht="26" x14ac:dyDescent="0.3">
      <c r="A1129" s="17" t="str">
        <f>"25300"</f>
        <v>25300</v>
      </c>
      <c r="B1129" s="5" t="s">
        <v>1286</v>
      </c>
      <c r="C1129" s="17">
        <v>19900101</v>
      </c>
      <c r="D1129" s="17">
        <v>22991231</v>
      </c>
      <c r="E1129" s="25">
        <v>1450.8</v>
      </c>
    </row>
    <row r="1130" spans="1:5" ht="26" x14ac:dyDescent="0.3">
      <c r="A1130" s="17" t="str">
        <f>"25301"</f>
        <v>25301</v>
      </c>
      <c r="B1130" s="5" t="s">
        <v>1287</v>
      </c>
      <c r="C1130" s="17">
        <v>19900101</v>
      </c>
      <c r="D1130" s="17">
        <v>22991231</v>
      </c>
      <c r="E1130" s="25">
        <v>1450.8</v>
      </c>
    </row>
    <row r="1131" spans="1:5" x14ac:dyDescent="0.3">
      <c r="A1131" s="17" t="str">
        <f>"25310"</f>
        <v>25310</v>
      </c>
      <c r="B1131" s="5" t="s">
        <v>1288</v>
      </c>
      <c r="C1131" s="17">
        <v>19900101</v>
      </c>
      <c r="D1131" s="17">
        <v>22991231</v>
      </c>
      <c r="E1131" s="25">
        <v>1450.8</v>
      </c>
    </row>
    <row r="1132" spans="1:5" ht="26" x14ac:dyDescent="0.3">
      <c r="A1132" s="17" t="str">
        <f>"25312"</f>
        <v>25312</v>
      </c>
      <c r="B1132" s="5" t="s">
        <v>1289</v>
      </c>
      <c r="C1132" s="17">
        <v>19900101</v>
      </c>
      <c r="D1132" s="17">
        <v>22991231</v>
      </c>
      <c r="E1132" s="25">
        <v>1450.8</v>
      </c>
    </row>
    <row r="1133" spans="1:5" x14ac:dyDescent="0.3">
      <c r="A1133" s="17" t="str">
        <f>"25315"</f>
        <v>25315</v>
      </c>
      <c r="B1133" s="5" t="s">
        <v>1290</v>
      </c>
      <c r="C1133" s="17">
        <v>19900101</v>
      </c>
      <c r="D1133" s="17">
        <v>22991231</v>
      </c>
      <c r="E1133" s="25">
        <v>3240.75</v>
      </c>
    </row>
    <row r="1134" spans="1:5" ht="26" x14ac:dyDescent="0.3">
      <c r="A1134" s="17" t="str">
        <f>"25316"</f>
        <v>25316</v>
      </c>
      <c r="B1134" s="5" t="s">
        <v>1291</v>
      </c>
      <c r="C1134" s="17">
        <v>19900101</v>
      </c>
      <c r="D1134" s="17">
        <v>22991231</v>
      </c>
      <c r="E1134" s="25">
        <v>3240.75</v>
      </c>
    </row>
    <row r="1135" spans="1:5" x14ac:dyDescent="0.3">
      <c r="A1135" s="17" t="str">
        <f>"25320"</f>
        <v>25320</v>
      </c>
      <c r="B1135" s="5" t="s">
        <v>1292</v>
      </c>
      <c r="C1135" s="17">
        <v>19900101</v>
      </c>
      <c r="D1135" s="17">
        <v>22991231</v>
      </c>
      <c r="E1135" s="25">
        <v>3240.75</v>
      </c>
    </row>
    <row r="1136" spans="1:5" x14ac:dyDescent="0.3">
      <c r="A1136" s="17" t="str">
        <f>"25332"</f>
        <v>25332</v>
      </c>
      <c r="B1136" s="5" t="s">
        <v>1293</v>
      </c>
      <c r="C1136" s="17">
        <v>19900101</v>
      </c>
      <c r="D1136" s="17">
        <v>22991231</v>
      </c>
      <c r="E1136" s="25">
        <v>1867.67</v>
      </c>
    </row>
    <row r="1137" spans="1:5" ht="26" x14ac:dyDescent="0.3">
      <c r="A1137" s="17" t="str">
        <f>"25335"</f>
        <v>25335</v>
      </c>
      <c r="B1137" s="5" t="s">
        <v>1294</v>
      </c>
      <c r="C1137" s="17">
        <v>19900101</v>
      </c>
      <c r="D1137" s="17">
        <v>22991231</v>
      </c>
      <c r="E1137" s="25">
        <v>1450.8</v>
      </c>
    </row>
    <row r="1138" spans="1:5" x14ac:dyDescent="0.3">
      <c r="A1138" s="17" t="str">
        <f>"25337"</f>
        <v>25337</v>
      </c>
      <c r="B1138" s="5" t="s">
        <v>1295</v>
      </c>
      <c r="C1138" s="17">
        <v>19900101</v>
      </c>
      <c r="D1138" s="17">
        <v>22991231</v>
      </c>
      <c r="E1138" s="25">
        <v>3240.75</v>
      </c>
    </row>
    <row r="1139" spans="1:5" ht="26" x14ac:dyDescent="0.3">
      <c r="A1139" s="17" t="str">
        <f>"25350"</f>
        <v>25350</v>
      </c>
      <c r="B1139" s="5" t="s">
        <v>1296</v>
      </c>
      <c r="C1139" s="17">
        <v>19900101</v>
      </c>
      <c r="D1139" s="17">
        <v>22991231</v>
      </c>
      <c r="E1139" s="25">
        <v>4631.6000000000004</v>
      </c>
    </row>
    <row r="1140" spans="1:5" ht="26" x14ac:dyDescent="0.3">
      <c r="A1140" s="17" t="str">
        <f>"25355"</f>
        <v>25355</v>
      </c>
      <c r="B1140" s="5" t="s">
        <v>1297</v>
      </c>
      <c r="C1140" s="17">
        <v>19900101</v>
      </c>
      <c r="D1140" s="17">
        <v>22991231</v>
      </c>
      <c r="E1140" s="25">
        <v>1450.8</v>
      </c>
    </row>
    <row r="1141" spans="1:5" ht="26" x14ac:dyDescent="0.3">
      <c r="A1141" s="17" t="str">
        <f>"25360"</f>
        <v>25360</v>
      </c>
      <c r="B1141" s="5" t="s">
        <v>1298</v>
      </c>
      <c r="C1141" s="17">
        <v>19900101</v>
      </c>
      <c r="D1141" s="17">
        <v>22991231</v>
      </c>
      <c r="E1141" s="25">
        <v>4180.09</v>
      </c>
    </row>
    <row r="1142" spans="1:5" ht="26" x14ac:dyDescent="0.3">
      <c r="A1142" s="17" t="str">
        <f>"25365"</f>
        <v>25365</v>
      </c>
      <c r="B1142" s="5" t="s">
        <v>1299</v>
      </c>
      <c r="C1142" s="17">
        <v>19900101</v>
      </c>
      <c r="D1142" s="17">
        <v>22991231</v>
      </c>
      <c r="E1142" s="25">
        <v>6208.9</v>
      </c>
    </row>
    <row r="1143" spans="1:5" ht="26" x14ac:dyDescent="0.3">
      <c r="A1143" s="17" t="str">
        <f>"25370"</f>
        <v>25370</v>
      </c>
      <c r="B1143" s="5" t="s">
        <v>1300</v>
      </c>
      <c r="C1143" s="17">
        <v>19900101</v>
      </c>
      <c r="D1143" s="17">
        <v>22991231</v>
      </c>
      <c r="E1143" s="25">
        <v>1450.8</v>
      </c>
    </row>
    <row r="1144" spans="1:5" ht="26" x14ac:dyDescent="0.3">
      <c r="A1144" s="17" t="str">
        <f>"25375"</f>
        <v>25375</v>
      </c>
      <c r="B1144" s="5" t="s">
        <v>1301</v>
      </c>
      <c r="C1144" s="17">
        <v>19900101</v>
      </c>
      <c r="D1144" s="17">
        <v>22991231</v>
      </c>
      <c r="E1144" s="25">
        <v>1450.8</v>
      </c>
    </row>
    <row r="1145" spans="1:5" x14ac:dyDescent="0.3">
      <c r="A1145" s="17" t="str">
        <f>"25390"</f>
        <v>25390</v>
      </c>
      <c r="B1145" s="5" t="s">
        <v>1302</v>
      </c>
      <c r="C1145" s="17">
        <v>19900101</v>
      </c>
      <c r="D1145" s="17">
        <v>22991231</v>
      </c>
      <c r="E1145" s="25">
        <v>4290.46</v>
      </c>
    </row>
    <row r="1146" spans="1:5" ht="26" x14ac:dyDescent="0.3">
      <c r="A1146" s="17" t="str">
        <f>"25391"</f>
        <v>25391</v>
      </c>
      <c r="B1146" s="5" t="s">
        <v>1303</v>
      </c>
      <c r="C1146" s="17">
        <v>19900101</v>
      </c>
      <c r="D1146" s="17">
        <v>22991231</v>
      </c>
      <c r="E1146" s="25">
        <v>8384.7199999999993</v>
      </c>
    </row>
    <row r="1147" spans="1:5" x14ac:dyDescent="0.3">
      <c r="A1147" s="17" t="str">
        <f>"25392"</f>
        <v>25392</v>
      </c>
      <c r="B1147" s="5" t="s">
        <v>1304</v>
      </c>
      <c r="C1147" s="17">
        <v>19900101</v>
      </c>
      <c r="D1147" s="17">
        <v>22991231</v>
      </c>
      <c r="E1147" s="25">
        <v>3240.75</v>
      </c>
    </row>
    <row r="1148" spans="1:5" ht="26" x14ac:dyDescent="0.3">
      <c r="A1148" s="17" t="str">
        <f>"25393"</f>
        <v>25393</v>
      </c>
      <c r="B1148" s="5" t="s">
        <v>1305</v>
      </c>
      <c r="C1148" s="17">
        <v>19900101</v>
      </c>
      <c r="D1148" s="17">
        <v>22991231</v>
      </c>
      <c r="E1148" s="25">
        <v>4119.62</v>
      </c>
    </row>
    <row r="1149" spans="1:5" x14ac:dyDescent="0.3">
      <c r="A1149" s="17" t="str">
        <f>"25394"</f>
        <v>25394</v>
      </c>
      <c r="B1149" s="5" t="s">
        <v>1306</v>
      </c>
      <c r="C1149" s="17">
        <v>20230101</v>
      </c>
      <c r="D1149" s="17">
        <v>22991231</v>
      </c>
      <c r="E1149" s="25">
        <v>1450.8</v>
      </c>
    </row>
    <row r="1150" spans="1:5" x14ac:dyDescent="0.3">
      <c r="A1150" s="17" t="str">
        <f>"25400"</f>
        <v>25400</v>
      </c>
      <c r="B1150" s="5" t="s">
        <v>1307</v>
      </c>
      <c r="C1150" s="17">
        <v>19900101</v>
      </c>
      <c r="D1150" s="17">
        <v>22991231</v>
      </c>
      <c r="E1150" s="25">
        <v>4318.9399999999996</v>
      </c>
    </row>
    <row r="1151" spans="1:5" ht="26" x14ac:dyDescent="0.3">
      <c r="A1151" s="17" t="str">
        <f>"25405"</f>
        <v>25405</v>
      </c>
      <c r="B1151" s="5" t="s">
        <v>1308</v>
      </c>
      <c r="C1151" s="17">
        <v>19900101</v>
      </c>
      <c r="D1151" s="17">
        <v>22991231</v>
      </c>
      <c r="E1151" s="25">
        <v>4276.6400000000003</v>
      </c>
    </row>
    <row r="1152" spans="1:5" ht="26" x14ac:dyDescent="0.3">
      <c r="A1152" s="17" t="str">
        <f>"25415"</f>
        <v>25415</v>
      </c>
      <c r="B1152" s="5" t="s">
        <v>1309</v>
      </c>
      <c r="C1152" s="17">
        <v>19900101</v>
      </c>
      <c r="D1152" s="17">
        <v>22991231</v>
      </c>
      <c r="E1152" s="25">
        <v>4081.38</v>
      </c>
    </row>
    <row r="1153" spans="1:5" ht="26" x14ac:dyDescent="0.3">
      <c r="A1153" s="17" t="str">
        <f>"25420"</f>
        <v>25420</v>
      </c>
      <c r="B1153" s="5" t="s">
        <v>1310</v>
      </c>
      <c r="C1153" s="17">
        <v>19900101</v>
      </c>
      <c r="D1153" s="17">
        <v>22991231</v>
      </c>
      <c r="E1153" s="25">
        <v>4081.38</v>
      </c>
    </row>
    <row r="1154" spans="1:5" x14ac:dyDescent="0.3">
      <c r="A1154" s="17" t="str">
        <f>"25425"</f>
        <v>25425</v>
      </c>
      <c r="B1154" s="5" t="s">
        <v>1311</v>
      </c>
      <c r="C1154" s="17">
        <v>19900101</v>
      </c>
      <c r="D1154" s="17">
        <v>22991231</v>
      </c>
      <c r="E1154" s="25">
        <v>4127.21</v>
      </c>
    </row>
    <row r="1155" spans="1:5" ht="26" x14ac:dyDescent="0.3">
      <c r="A1155" s="17" t="str">
        <f>"25426"</f>
        <v>25426</v>
      </c>
      <c r="B1155" s="5" t="s">
        <v>1312</v>
      </c>
      <c r="C1155" s="17">
        <v>19900101</v>
      </c>
      <c r="D1155" s="17">
        <v>22991231</v>
      </c>
      <c r="E1155" s="25">
        <v>1900.09</v>
      </c>
    </row>
    <row r="1156" spans="1:5" x14ac:dyDescent="0.3">
      <c r="A1156" s="17" t="str">
        <f>"25430"</f>
        <v>25430</v>
      </c>
      <c r="B1156" s="5" t="s">
        <v>1313</v>
      </c>
      <c r="C1156" s="17">
        <v>20230101</v>
      </c>
      <c r="D1156" s="17">
        <v>22991231</v>
      </c>
      <c r="E1156" s="25">
        <v>1450.8</v>
      </c>
    </row>
    <row r="1157" spans="1:5" ht="26" x14ac:dyDescent="0.3">
      <c r="A1157" s="17" t="str">
        <f>"25431"</f>
        <v>25431</v>
      </c>
      <c r="B1157" s="5" t="s">
        <v>1314</v>
      </c>
      <c r="C1157" s="17">
        <v>20230101</v>
      </c>
      <c r="D1157" s="17">
        <v>22991231</v>
      </c>
      <c r="E1157" s="25">
        <v>4471.33</v>
      </c>
    </row>
    <row r="1158" spans="1:5" ht="26" x14ac:dyDescent="0.3">
      <c r="A1158" s="17" t="str">
        <f>"25440"</f>
        <v>25440</v>
      </c>
      <c r="B1158" s="5" t="s">
        <v>1315</v>
      </c>
      <c r="C1158" s="17">
        <v>19900101</v>
      </c>
      <c r="D1158" s="17">
        <v>22991231</v>
      </c>
      <c r="E1158" s="25">
        <v>4243.82</v>
      </c>
    </row>
    <row r="1159" spans="1:5" ht="26" x14ac:dyDescent="0.3">
      <c r="A1159" s="17" t="str">
        <f>"25441"</f>
        <v>25441</v>
      </c>
      <c r="B1159" s="5" t="s">
        <v>1316</v>
      </c>
      <c r="C1159" s="17">
        <v>19900101</v>
      </c>
      <c r="D1159" s="17">
        <v>22991231</v>
      </c>
      <c r="E1159" s="25">
        <v>9910.07</v>
      </c>
    </row>
    <row r="1160" spans="1:5" ht="39" x14ac:dyDescent="0.3">
      <c r="A1160" s="17" t="str">
        <f>"25442"</f>
        <v>25442</v>
      </c>
      <c r="B1160" s="5" t="s">
        <v>1317</v>
      </c>
      <c r="C1160" s="17">
        <v>19900101</v>
      </c>
      <c r="D1160" s="17">
        <v>22991231</v>
      </c>
      <c r="E1160" s="25">
        <v>13406.95</v>
      </c>
    </row>
    <row r="1161" spans="1:5" ht="26" x14ac:dyDescent="0.3">
      <c r="A1161" s="17" t="str">
        <f>"25443"</f>
        <v>25443</v>
      </c>
      <c r="B1161" s="5" t="s">
        <v>1318</v>
      </c>
      <c r="C1161" s="17">
        <v>19900101</v>
      </c>
      <c r="D1161" s="17">
        <v>22991231</v>
      </c>
      <c r="E1161" s="25">
        <v>4618.58</v>
      </c>
    </row>
    <row r="1162" spans="1:5" ht="26" x14ac:dyDescent="0.3">
      <c r="A1162" s="17" t="str">
        <f>"25444"</f>
        <v>25444</v>
      </c>
      <c r="B1162" s="5" t="s">
        <v>1319</v>
      </c>
      <c r="C1162" s="17">
        <v>19900101</v>
      </c>
      <c r="D1162" s="17">
        <v>22991231</v>
      </c>
      <c r="E1162" s="25">
        <v>9571.85</v>
      </c>
    </row>
    <row r="1163" spans="1:5" ht="26" x14ac:dyDescent="0.3">
      <c r="A1163" s="17" t="str">
        <f>"25445"</f>
        <v>25445</v>
      </c>
      <c r="B1163" s="5" t="s">
        <v>1320</v>
      </c>
      <c r="C1163" s="17">
        <v>19900101</v>
      </c>
      <c r="D1163" s="17">
        <v>22991231</v>
      </c>
      <c r="E1163" s="25">
        <v>4456.1499999999996</v>
      </c>
    </row>
    <row r="1164" spans="1:5" ht="26" x14ac:dyDescent="0.3">
      <c r="A1164" s="17" t="str">
        <f>"25446"</f>
        <v>25446</v>
      </c>
      <c r="B1164" s="5" t="s">
        <v>1321</v>
      </c>
      <c r="C1164" s="17">
        <v>19900101</v>
      </c>
      <c r="D1164" s="17">
        <v>22991231</v>
      </c>
      <c r="E1164" s="25">
        <v>13707.26</v>
      </c>
    </row>
    <row r="1165" spans="1:5" ht="26" x14ac:dyDescent="0.3">
      <c r="A1165" s="17" t="str">
        <f>"25447"</f>
        <v>25447</v>
      </c>
      <c r="B1165" s="5" t="s">
        <v>1322</v>
      </c>
      <c r="C1165" s="17">
        <v>19900101</v>
      </c>
      <c r="D1165" s="17">
        <v>22991231</v>
      </c>
      <c r="E1165" s="25">
        <v>1450.8</v>
      </c>
    </row>
    <row r="1166" spans="1:5" ht="26" x14ac:dyDescent="0.3">
      <c r="A1166" s="17" t="str">
        <f>"25449"</f>
        <v>25449</v>
      </c>
      <c r="B1166" s="5" t="s">
        <v>1323</v>
      </c>
      <c r="C1166" s="17">
        <v>19900101</v>
      </c>
      <c r="D1166" s="17">
        <v>22991231</v>
      </c>
      <c r="E1166" s="25">
        <v>3240.75</v>
      </c>
    </row>
    <row r="1167" spans="1:5" ht="26" x14ac:dyDescent="0.3">
      <c r="A1167" s="17" t="str">
        <f>"25450"</f>
        <v>25450</v>
      </c>
      <c r="B1167" s="5" t="s">
        <v>1324</v>
      </c>
      <c r="C1167" s="17">
        <v>19900101</v>
      </c>
      <c r="D1167" s="17">
        <v>22991231</v>
      </c>
      <c r="E1167" s="25">
        <v>1450.8</v>
      </c>
    </row>
    <row r="1168" spans="1:5" ht="26" x14ac:dyDescent="0.3">
      <c r="A1168" s="17" t="str">
        <f>"25455"</f>
        <v>25455</v>
      </c>
      <c r="B1168" s="5" t="s">
        <v>1325</v>
      </c>
      <c r="C1168" s="17">
        <v>19900101</v>
      </c>
      <c r="D1168" s="17">
        <v>22991231</v>
      </c>
      <c r="E1168" s="25">
        <v>1450.8</v>
      </c>
    </row>
    <row r="1169" spans="1:5" ht="26" x14ac:dyDescent="0.3">
      <c r="A1169" s="17" t="str">
        <f>"25490"</f>
        <v>25490</v>
      </c>
      <c r="B1169" s="5" t="s">
        <v>1326</v>
      </c>
      <c r="C1169" s="17">
        <v>19900101</v>
      </c>
      <c r="D1169" s="17">
        <v>22991231</v>
      </c>
      <c r="E1169" s="25">
        <v>3240.75</v>
      </c>
    </row>
    <row r="1170" spans="1:5" ht="26" x14ac:dyDescent="0.3">
      <c r="A1170" s="17" t="str">
        <f>"25491"</f>
        <v>25491</v>
      </c>
      <c r="B1170" s="5" t="s">
        <v>1327</v>
      </c>
      <c r="C1170" s="17">
        <v>19900101</v>
      </c>
      <c r="D1170" s="17">
        <v>22991231</v>
      </c>
      <c r="E1170" s="25">
        <v>6208.9</v>
      </c>
    </row>
    <row r="1171" spans="1:5" x14ac:dyDescent="0.3">
      <c r="A1171" s="17" t="str">
        <f>"25492"</f>
        <v>25492</v>
      </c>
      <c r="B1171" s="5" t="s">
        <v>1328</v>
      </c>
      <c r="C1171" s="17">
        <v>19900101</v>
      </c>
      <c r="D1171" s="17">
        <v>22991231</v>
      </c>
      <c r="E1171" s="25">
        <v>1450.8</v>
      </c>
    </row>
    <row r="1172" spans="1:5" ht="26" x14ac:dyDescent="0.3">
      <c r="A1172" s="17" t="str">
        <f>"25500"</f>
        <v>25500</v>
      </c>
      <c r="B1172" s="5" t="s">
        <v>1329</v>
      </c>
      <c r="C1172" s="17">
        <v>19900101</v>
      </c>
      <c r="D1172" s="17">
        <v>22991231</v>
      </c>
      <c r="E1172" s="25">
        <v>116.84</v>
      </c>
    </row>
    <row r="1173" spans="1:5" ht="26" x14ac:dyDescent="0.3">
      <c r="A1173" s="17" t="str">
        <f>"25505"</f>
        <v>25505</v>
      </c>
      <c r="B1173" s="5" t="s">
        <v>1330</v>
      </c>
      <c r="C1173" s="17">
        <v>19900101</v>
      </c>
      <c r="D1173" s="17">
        <v>22991231</v>
      </c>
      <c r="E1173" s="25">
        <v>782.3</v>
      </c>
    </row>
    <row r="1174" spans="1:5" ht="26" x14ac:dyDescent="0.3">
      <c r="A1174" s="17" t="str">
        <f>"25515"</f>
        <v>25515</v>
      </c>
      <c r="B1174" s="5" t="s">
        <v>1331</v>
      </c>
      <c r="C1174" s="17">
        <v>19900101</v>
      </c>
      <c r="D1174" s="17">
        <v>22991231</v>
      </c>
      <c r="E1174" s="25">
        <v>4222.9399999999996</v>
      </c>
    </row>
    <row r="1175" spans="1:5" ht="26" x14ac:dyDescent="0.3">
      <c r="A1175" s="17" t="str">
        <f>"25520"</f>
        <v>25520</v>
      </c>
      <c r="B1175" s="5" t="s">
        <v>1332</v>
      </c>
      <c r="C1175" s="17">
        <v>19930101</v>
      </c>
      <c r="D1175" s="17">
        <v>22991231</v>
      </c>
      <c r="E1175" s="25">
        <v>782.3</v>
      </c>
    </row>
    <row r="1176" spans="1:5" ht="39" x14ac:dyDescent="0.3">
      <c r="A1176" s="17" t="str">
        <f>"25525"</f>
        <v>25525</v>
      </c>
      <c r="B1176" s="5" t="s">
        <v>1333</v>
      </c>
      <c r="C1176" s="17">
        <v>19930101</v>
      </c>
      <c r="D1176" s="17">
        <v>22991231</v>
      </c>
      <c r="E1176" s="25">
        <v>4280.43</v>
      </c>
    </row>
    <row r="1177" spans="1:5" ht="39" x14ac:dyDescent="0.3">
      <c r="A1177" s="17" t="str">
        <f>"25526"</f>
        <v>25526</v>
      </c>
      <c r="B1177" s="5" t="s">
        <v>1334</v>
      </c>
      <c r="C1177" s="17">
        <v>19930101</v>
      </c>
      <c r="D1177" s="17">
        <v>22991231</v>
      </c>
      <c r="E1177" s="25">
        <v>3240.75</v>
      </c>
    </row>
    <row r="1178" spans="1:5" ht="26" x14ac:dyDescent="0.3">
      <c r="A1178" s="17" t="str">
        <f>"25530"</f>
        <v>25530</v>
      </c>
      <c r="B1178" s="5" t="s">
        <v>1335</v>
      </c>
      <c r="C1178" s="17">
        <v>19900101</v>
      </c>
      <c r="D1178" s="17">
        <v>22991231</v>
      </c>
      <c r="E1178" s="25">
        <v>116.84</v>
      </c>
    </row>
    <row r="1179" spans="1:5" ht="26" x14ac:dyDescent="0.3">
      <c r="A1179" s="17" t="str">
        <f>"25535"</f>
        <v>25535</v>
      </c>
      <c r="B1179" s="5" t="s">
        <v>1336</v>
      </c>
      <c r="C1179" s="17">
        <v>19900101</v>
      </c>
      <c r="D1179" s="17">
        <v>22991231</v>
      </c>
      <c r="E1179" s="25">
        <v>116.84</v>
      </c>
    </row>
    <row r="1180" spans="1:5" ht="26" x14ac:dyDescent="0.3">
      <c r="A1180" s="17" t="str">
        <f>"25545"</f>
        <v>25545</v>
      </c>
      <c r="B1180" s="5" t="s">
        <v>1337</v>
      </c>
      <c r="C1180" s="17">
        <v>19900101</v>
      </c>
      <c r="D1180" s="17">
        <v>22991231</v>
      </c>
      <c r="E1180" s="25">
        <v>4067.29</v>
      </c>
    </row>
    <row r="1181" spans="1:5" ht="26" x14ac:dyDescent="0.3">
      <c r="A1181" s="17" t="str">
        <f>"25560"</f>
        <v>25560</v>
      </c>
      <c r="B1181" s="5" t="s">
        <v>1338</v>
      </c>
      <c r="C1181" s="17">
        <v>19900101</v>
      </c>
      <c r="D1181" s="17">
        <v>22991231</v>
      </c>
      <c r="E1181" s="25">
        <v>116.84</v>
      </c>
    </row>
    <row r="1182" spans="1:5" ht="26" x14ac:dyDescent="0.3">
      <c r="A1182" s="17" t="str">
        <f>"25565"</f>
        <v>25565</v>
      </c>
      <c r="B1182" s="5" t="s">
        <v>1339</v>
      </c>
      <c r="C1182" s="17">
        <v>19900101</v>
      </c>
      <c r="D1182" s="17">
        <v>22991231</v>
      </c>
      <c r="E1182" s="25">
        <v>782.3</v>
      </c>
    </row>
    <row r="1183" spans="1:5" ht="39" x14ac:dyDescent="0.3">
      <c r="A1183" s="17" t="str">
        <f>"25574"</f>
        <v>25574</v>
      </c>
      <c r="B1183" s="5" t="s">
        <v>1340</v>
      </c>
      <c r="C1183" s="17">
        <v>19930101</v>
      </c>
      <c r="D1183" s="17">
        <v>22991231</v>
      </c>
      <c r="E1183" s="25">
        <v>4081.38</v>
      </c>
    </row>
    <row r="1184" spans="1:5" ht="39" x14ac:dyDescent="0.3">
      <c r="A1184" s="17" t="str">
        <f>"25575"</f>
        <v>25575</v>
      </c>
      <c r="B1184" s="5" t="s">
        <v>1341</v>
      </c>
      <c r="C1184" s="17">
        <v>19900101</v>
      </c>
      <c r="D1184" s="17">
        <v>22991231</v>
      </c>
      <c r="E1184" s="25">
        <v>4357.17</v>
      </c>
    </row>
    <row r="1185" spans="1:5" ht="39" x14ac:dyDescent="0.3">
      <c r="A1185" s="17" t="str">
        <f>"25600"</f>
        <v>25600</v>
      </c>
      <c r="B1185" s="5" t="s">
        <v>1342</v>
      </c>
      <c r="C1185" s="17">
        <v>19900101</v>
      </c>
      <c r="D1185" s="17">
        <v>22991231</v>
      </c>
      <c r="E1185" s="25">
        <v>116.84</v>
      </c>
    </row>
    <row r="1186" spans="1:5" ht="39" x14ac:dyDescent="0.3">
      <c r="A1186" s="17" t="str">
        <f>"25605"</f>
        <v>25605</v>
      </c>
      <c r="B1186" s="5" t="s">
        <v>1343</v>
      </c>
      <c r="C1186" s="17">
        <v>19900101</v>
      </c>
      <c r="D1186" s="17">
        <v>22991231</v>
      </c>
      <c r="E1186" s="25">
        <v>782.3</v>
      </c>
    </row>
    <row r="1187" spans="1:5" ht="26" x14ac:dyDescent="0.3">
      <c r="A1187" s="17" t="str">
        <f>"25606"</f>
        <v>25606</v>
      </c>
      <c r="B1187" s="5" t="s">
        <v>1344</v>
      </c>
      <c r="C1187" s="17">
        <v>20070101</v>
      </c>
      <c r="D1187" s="17">
        <v>22991231</v>
      </c>
      <c r="E1187" s="25">
        <v>1450.8</v>
      </c>
    </row>
    <row r="1188" spans="1:5" ht="39" x14ac:dyDescent="0.3">
      <c r="A1188" s="17" t="str">
        <f>"25607"</f>
        <v>25607</v>
      </c>
      <c r="B1188" s="5" t="s">
        <v>1345</v>
      </c>
      <c r="C1188" s="17">
        <v>20070101</v>
      </c>
      <c r="D1188" s="17">
        <v>22991231</v>
      </c>
      <c r="E1188" s="25">
        <v>4345.24</v>
      </c>
    </row>
    <row r="1189" spans="1:5" ht="39" x14ac:dyDescent="0.3">
      <c r="A1189" s="17" t="str">
        <f>"25608"</f>
        <v>25608</v>
      </c>
      <c r="B1189" s="5" t="s">
        <v>1346</v>
      </c>
      <c r="C1189" s="17">
        <v>20070101</v>
      </c>
      <c r="D1189" s="17">
        <v>22991231</v>
      </c>
      <c r="E1189" s="25">
        <v>4391.6099999999997</v>
      </c>
    </row>
    <row r="1190" spans="1:5" ht="39" x14ac:dyDescent="0.3">
      <c r="A1190" s="17" t="str">
        <f>"25609"</f>
        <v>25609</v>
      </c>
      <c r="B1190" s="5" t="s">
        <v>1347</v>
      </c>
      <c r="C1190" s="17">
        <v>20070101</v>
      </c>
      <c r="D1190" s="17">
        <v>22991231</v>
      </c>
      <c r="E1190" s="25">
        <v>4397.3</v>
      </c>
    </row>
    <row r="1191" spans="1:5" ht="26" x14ac:dyDescent="0.3">
      <c r="A1191" s="17" t="str">
        <f>"25622"</f>
        <v>25622</v>
      </c>
      <c r="B1191" s="5" t="s">
        <v>1348</v>
      </c>
      <c r="C1191" s="17">
        <v>19900101</v>
      </c>
      <c r="D1191" s="17">
        <v>22991231</v>
      </c>
      <c r="E1191" s="25">
        <v>116.84</v>
      </c>
    </row>
    <row r="1192" spans="1:5" ht="26" x14ac:dyDescent="0.3">
      <c r="A1192" s="17" t="str">
        <f>"25624"</f>
        <v>25624</v>
      </c>
      <c r="B1192" s="5" t="s">
        <v>1349</v>
      </c>
      <c r="C1192" s="17">
        <v>19900101</v>
      </c>
      <c r="D1192" s="17">
        <v>22991231</v>
      </c>
      <c r="E1192" s="25">
        <v>782.3</v>
      </c>
    </row>
    <row r="1193" spans="1:5" ht="26" x14ac:dyDescent="0.3">
      <c r="A1193" s="17" t="str">
        <f>"25628"</f>
        <v>25628</v>
      </c>
      <c r="B1193" s="5" t="s">
        <v>1350</v>
      </c>
      <c r="C1193" s="17">
        <v>19900101</v>
      </c>
      <c r="D1193" s="17">
        <v>22991231</v>
      </c>
      <c r="E1193" s="25">
        <v>3240.75</v>
      </c>
    </row>
    <row r="1194" spans="1:5" x14ac:dyDescent="0.3">
      <c r="A1194" s="17" t="str">
        <f>"25630"</f>
        <v>25630</v>
      </c>
      <c r="B1194" s="5" t="s">
        <v>1351</v>
      </c>
      <c r="C1194" s="17">
        <v>19900101</v>
      </c>
      <c r="D1194" s="17">
        <v>22991231</v>
      </c>
      <c r="E1194" s="25">
        <v>116.84</v>
      </c>
    </row>
    <row r="1195" spans="1:5" ht="26" x14ac:dyDescent="0.3">
      <c r="A1195" s="17" t="str">
        <f>"25635"</f>
        <v>25635</v>
      </c>
      <c r="B1195" s="5" t="s">
        <v>1352</v>
      </c>
      <c r="C1195" s="17">
        <v>19900101</v>
      </c>
      <c r="D1195" s="17">
        <v>22991231</v>
      </c>
      <c r="E1195" s="25">
        <v>782.3</v>
      </c>
    </row>
    <row r="1196" spans="1:5" x14ac:dyDescent="0.3">
      <c r="A1196" s="17" t="str">
        <f>"25645"</f>
        <v>25645</v>
      </c>
      <c r="B1196" s="5" t="s">
        <v>1353</v>
      </c>
      <c r="C1196" s="17">
        <v>19900101</v>
      </c>
      <c r="D1196" s="17">
        <v>22991231</v>
      </c>
      <c r="E1196" s="25">
        <v>1450.8</v>
      </c>
    </row>
    <row r="1197" spans="1:5" ht="26" x14ac:dyDescent="0.3">
      <c r="A1197" s="17" t="str">
        <f>"25650"</f>
        <v>25650</v>
      </c>
      <c r="B1197" s="5" t="s">
        <v>1354</v>
      </c>
      <c r="C1197" s="17">
        <v>19900101</v>
      </c>
      <c r="D1197" s="17">
        <v>22991231</v>
      </c>
      <c r="E1197" s="25">
        <v>116.84</v>
      </c>
    </row>
    <row r="1198" spans="1:5" ht="26" x14ac:dyDescent="0.3">
      <c r="A1198" s="17" t="str">
        <f>"25651"</f>
        <v>25651</v>
      </c>
      <c r="B1198" s="5" t="s">
        <v>1355</v>
      </c>
      <c r="C1198" s="17">
        <v>20230101</v>
      </c>
      <c r="D1198" s="17">
        <v>22991231</v>
      </c>
      <c r="E1198" s="25">
        <v>1450.8</v>
      </c>
    </row>
    <row r="1199" spans="1:5" ht="26" x14ac:dyDescent="0.3">
      <c r="A1199" s="17" t="str">
        <f>"25652"</f>
        <v>25652</v>
      </c>
      <c r="B1199" s="5" t="s">
        <v>1356</v>
      </c>
      <c r="C1199" s="17">
        <v>20230101</v>
      </c>
      <c r="D1199" s="17">
        <v>22991231</v>
      </c>
      <c r="E1199" s="25">
        <v>4081.38</v>
      </c>
    </row>
    <row r="1200" spans="1:5" ht="26" x14ac:dyDescent="0.3">
      <c r="A1200" s="17" t="str">
        <f>"25660"</f>
        <v>25660</v>
      </c>
      <c r="B1200" s="5" t="s">
        <v>1357</v>
      </c>
      <c r="C1200" s="17">
        <v>19900101</v>
      </c>
      <c r="D1200" s="17">
        <v>22991231</v>
      </c>
      <c r="E1200" s="25">
        <v>116.84</v>
      </c>
    </row>
    <row r="1201" spans="1:5" x14ac:dyDescent="0.3">
      <c r="A1201" s="17" t="str">
        <f>"25670"</f>
        <v>25670</v>
      </c>
      <c r="B1201" s="5" t="s">
        <v>1358</v>
      </c>
      <c r="C1201" s="17">
        <v>19900101</v>
      </c>
      <c r="D1201" s="17">
        <v>22991231</v>
      </c>
      <c r="E1201" s="25">
        <v>3240.75</v>
      </c>
    </row>
    <row r="1202" spans="1:5" ht="26" x14ac:dyDescent="0.3">
      <c r="A1202" s="17" t="str">
        <f>"25671"</f>
        <v>25671</v>
      </c>
      <c r="B1202" s="5" t="s">
        <v>1359</v>
      </c>
      <c r="C1202" s="17">
        <v>20030401</v>
      </c>
      <c r="D1202" s="17">
        <v>22991231</v>
      </c>
      <c r="E1202" s="25">
        <v>1450.8</v>
      </c>
    </row>
    <row r="1203" spans="1:5" ht="26" x14ac:dyDescent="0.3">
      <c r="A1203" s="17" t="str">
        <f>"25675"</f>
        <v>25675</v>
      </c>
      <c r="B1203" s="5" t="s">
        <v>1360</v>
      </c>
      <c r="C1203" s="17">
        <v>19900101</v>
      </c>
      <c r="D1203" s="17">
        <v>22991231</v>
      </c>
      <c r="E1203" s="25">
        <v>116.84</v>
      </c>
    </row>
    <row r="1204" spans="1:5" x14ac:dyDescent="0.3">
      <c r="A1204" s="17" t="str">
        <f>"25676"</f>
        <v>25676</v>
      </c>
      <c r="B1204" s="5" t="s">
        <v>1361</v>
      </c>
      <c r="C1204" s="17">
        <v>19900101</v>
      </c>
      <c r="D1204" s="17">
        <v>22991231</v>
      </c>
      <c r="E1204" s="25">
        <v>3240.75</v>
      </c>
    </row>
    <row r="1205" spans="1:5" ht="26" x14ac:dyDescent="0.3">
      <c r="A1205" s="17" t="str">
        <f>"25680"</f>
        <v>25680</v>
      </c>
      <c r="B1205" s="5" t="s">
        <v>1362</v>
      </c>
      <c r="C1205" s="17">
        <v>19900101</v>
      </c>
      <c r="D1205" s="17">
        <v>22991231</v>
      </c>
      <c r="E1205" s="25">
        <v>116.84</v>
      </c>
    </row>
    <row r="1206" spans="1:5" x14ac:dyDescent="0.3">
      <c r="A1206" s="17" t="str">
        <f>"25685"</f>
        <v>25685</v>
      </c>
      <c r="B1206" s="5" t="s">
        <v>1363</v>
      </c>
      <c r="C1206" s="17">
        <v>19900101</v>
      </c>
      <c r="D1206" s="17">
        <v>22991231</v>
      </c>
      <c r="E1206" s="25">
        <v>3240.75</v>
      </c>
    </row>
    <row r="1207" spans="1:5" ht="26" x14ac:dyDescent="0.3">
      <c r="A1207" s="17" t="str">
        <f>"25690"</f>
        <v>25690</v>
      </c>
      <c r="B1207" s="5" t="s">
        <v>1364</v>
      </c>
      <c r="C1207" s="17">
        <v>19900101</v>
      </c>
      <c r="D1207" s="17">
        <v>22991231</v>
      </c>
      <c r="E1207" s="25">
        <v>782.3</v>
      </c>
    </row>
    <row r="1208" spans="1:5" x14ac:dyDescent="0.3">
      <c r="A1208" s="17" t="str">
        <f>"25695"</f>
        <v>25695</v>
      </c>
      <c r="B1208" s="5" t="s">
        <v>1365</v>
      </c>
      <c r="C1208" s="17">
        <v>19900101</v>
      </c>
      <c r="D1208" s="17">
        <v>22991231</v>
      </c>
      <c r="E1208" s="25">
        <v>3240.75</v>
      </c>
    </row>
    <row r="1209" spans="1:5" x14ac:dyDescent="0.3">
      <c r="A1209" s="17" t="str">
        <f>"25800"</f>
        <v>25800</v>
      </c>
      <c r="B1209" s="5" t="s">
        <v>1366</v>
      </c>
      <c r="C1209" s="17">
        <v>19900101</v>
      </c>
      <c r="D1209" s="17">
        <v>22991231</v>
      </c>
      <c r="E1209" s="25">
        <v>4485.9799999999996</v>
      </c>
    </row>
    <row r="1210" spans="1:5" x14ac:dyDescent="0.3">
      <c r="A1210" s="17" t="str">
        <f>"25805"</f>
        <v>25805</v>
      </c>
      <c r="B1210" s="5" t="s">
        <v>1367</v>
      </c>
      <c r="C1210" s="17">
        <v>19900101</v>
      </c>
      <c r="D1210" s="17">
        <v>22991231</v>
      </c>
      <c r="E1210" s="25">
        <v>4449.6400000000003</v>
      </c>
    </row>
    <row r="1211" spans="1:5" ht="26" x14ac:dyDescent="0.3">
      <c r="A1211" s="17" t="str">
        <f>"25810"</f>
        <v>25810</v>
      </c>
      <c r="B1211" s="5" t="s">
        <v>1368</v>
      </c>
      <c r="C1211" s="17">
        <v>19900101</v>
      </c>
      <c r="D1211" s="17">
        <v>22991231</v>
      </c>
      <c r="E1211" s="25">
        <v>8315.1</v>
      </c>
    </row>
    <row r="1212" spans="1:5" x14ac:dyDescent="0.3">
      <c r="A1212" s="17" t="str">
        <f>"25820"</f>
        <v>25820</v>
      </c>
      <c r="B1212" s="5" t="s">
        <v>1369</v>
      </c>
      <c r="C1212" s="17">
        <v>19900101</v>
      </c>
      <c r="D1212" s="17">
        <v>22991231</v>
      </c>
      <c r="E1212" s="25">
        <v>4415.74</v>
      </c>
    </row>
    <row r="1213" spans="1:5" ht="26" x14ac:dyDescent="0.3">
      <c r="A1213" s="17" t="str">
        <f>"25825"</f>
        <v>25825</v>
      </c>
      <c r="B1213" s="5" t="s">
        <v>1370</v>
      </c>
      <c r="C1213" s="17">
        <v>19900101</v>
      </c>
      <c r="D1213" s="17">
        <v>22991231</v>
      </c>
      <c r="E1213" s="25">
        <v>4199.3500000000004</v>
      </c>
    </row>
    <row r="1214" spans="1:5" x14ac:dyDescent="0.3">
      <c r="A1214" s="17" t="str">
        <f>"25830"</f>
        <v>25830</v>
      </c>
      <c r="B1214" s="5" t="s">
        <v>1371</v>
      </c>
      <c r="C1214" s="17">
        <v>19950101</v>
      </c>
      <c r="D1214" s="17">
        <v>22991231</v>
      </c>
      <c r="E1214" s="25">
        <v>3240.75</v>
      </c>
    </row>
    <row r="1215" spans="1:5" ht="26" x14ac:dyDescent="0.3">
      <c r="A1215" s="17" t="str">
        <f>"25907"</f>
        <v>25907</v>
      </c>
      <c r="B1215" s="5" t="s">
        <v>1372</v>
      </c>
      <c r="C1215" s="17">
        <v>19900101</v>
      </c>
      <c r="D1215" s="17">
        <v>22991231</v>
      </c>
      <c r="E1215" s="25">
        <v>1450.8</v>
      </c>
    </row>
    <row r="1216" spans="1:5" x14ac:dyDescent="0.3">
      <c r="A1216" s="17" t="str">
        <f>"25909"</f>
        <v>25909</v>
      </c>
      <c r="B1216" s="5" t="s">
        <v>1373</v>
      </c>
      <c r="C1216" s="17">
        <v>19900101</v>
      </c>
      <c r="D1216" s="17">
        <v>22991231</v>
      </c>
      <c r="E1216" s="24" t="s">
        <v>7128</v>
      </c>
    </row>
    <row r="1217" spans="1:5" ht="26" x14ac:dyDescent="0.3">
      <c r="A1217" s="17" t="str">
        <f>"25922"</f>
        <v>25922</v>
      </c>
      <c r="B1217" s="5" t="s">
        <v>1374</v>
      </c>
      <c r="C1217" s="17">
        <v>19900101</v>
      </c>
      <c r="D1217" s="17">
        <v>22991231</v>
      </c>
      <c r="E1217" s="25">
        <v>782.3</v>
      </c>
    </row>
    <row r="1218" spans="1:5" ht="26" x14ac:dyDescent="0.3">
      <c r="A1218" s="17" t="str">
        <f>"25929"</f>
        <v>25929</v>
      </c>
      <c r="B1218" s="5" t="s">
        <v>1375</v>
      </c>
      <c r="C1218" s="17">
        <v>19900101</v>
      </c>
      <c r="D1218" s="17">
        <v>22991231</v>
      </c>
      <c r="E1218" s="25">
        <v>903.54</v>
      </c>
    </row>
    <row r="1219" spans="1:5" ht="26" x14ac:dyDescent="0.3">
      <c r="A1219" s="17" t="str">
        <f>"25931"</f>
        <v>25931</v>
      </c>
      <c r="B1219" s="5" t="s">
        <v>1376</v>
      </c>
      <c r="C1219" s="17">
        <v>19900101</v>
      </c>
      <c r="D1219" s="17">
        <v>22991231</v>
      </c>
      <c r="E1219" s="25">
        <v>1450.8</v>
      </c>
    </row>
    <row r="1220" spans="1:5" x14ac:dyDescent="0.3">
      <c r="A1220" s="17" t="str">
        <f>"26010"</f>
        <v>26010</v>
      </c>
      <c r="B1220" s="5" t="s">
        <v>1377</v>
      </c>
      <c r="C1220" s="17">
        <v>19900101</v>
      </c>
      <c r="D1220" s="17">
        <v>22991231</v>
      </c>
      <c r="E1220" s="25">
        <v>99.19</v>
      </c>
    </row>
    <row r="1221" spans="1:5" x14ac:dyDescent="0.3">
      <c r="A1221" s="17" t="str">
        <f>"26011"</f>
        <v>26011</v>
      </c>
      <c r="B1221" s="5" t="s">
        <v>1378</v>
      </c>
      <c r="C1221" s="17">
        <v>19900101</v>
      </c>
      <c r="D1221" s="17">
        <v>22991231</v>
      </c>
      <c r="E1221" s="25">
        <v>652.27</v>
      </c>
    </row>
    <row r="1222" spans="1:5" x14ac:dyDescent="0.3">
      <c r="A1222" s="17" t="str">
        <f>"26020"</f>
        <v>26020</v>
      </c>
      <c r="B1222" s="5" t="s">
        <v>1379</v>
      </c>
      <c r="C1222" s="17">
        <v>19900101</v>
      </c>
      <c r="D1222" s="17">
        <v>22991231</v>
      </c>
      <c r="E1222" s="25">
        <v>1450.8</v>
      </c>
    </row>
    <row r="1223" spans="1:5" x14ac:dyDescent="0.3">
      <c r="A1223" s="17" t="str">
        <f>"26025"</f>
        <v>26025</v>
      </c>
      <c r="B1223" s="5" t="s">
        <v>1380</v>
      </c>
      <c r="C1223" s="17">
        <v>19900101</v>
      </c>
      <c r="D1223" s="17">
        <v>22991231</v>
      </c>
      <c r="E1223" s="25">
        <v>1450.8</v>
      </c>
    </row>
    <row r="1224" spans="1:5" x14ac:dyDescent="0.3">
      <c r="A1224" s="17" t="str">
        <f>"26030"</f>
        <v>26030</v>
      </c>
      <c r="B1224" s="5" t="s">
        <v>1381</v>
      </c>
      <c r="C1224" s="17">
        <v>19900101</v>
      </c>
      <c r="D1224" s="17">
        <v>22991231</v>
      </c>
      <c r="E1224" s="25">
        <v>1450.8</v>
      </c>
    </row>
    <row r="1225" spans="1:5" x14ac:dyDescent="0.3">
      <c r="A1225" s="17" t="str">
        <f>"26034"</f>
        <v>26034</v>
      </c>
      <c r="B1225" s="5" t="s">
        <v>1382</v>
      </c>
      <c r="C1225" s="17">
        <v>19900101</v>
      </c>
      <c r="D1225" s="17">
        <v>22991231</v>
      </c>
      <c r="E1225" s="25">
        <v>782.3</v>
      </c>
    </row>
    <row r="1226" spans="1:5" ht="26" x14ac:dyDescent="0.3">
      <c r="A1226" s="17" t="str">
        <f>"26035"</f>
        <v>26035</v>
      </c>
      <c r="B1226" s="5" t="s">
        <v>1383</v>
      </c>
      <c r="C1226" s="17">
        <v>19900101</v>
      </c>
      <c r="D1226" s="17">
        <v>22991231</v>
      </c>
      <c r="E1226" s="25">
        <v>1450.8</v>
      </c>
    </row>
    <row r="1227" spans="1:5" x14ac:dyDescent="0.3">
      <c r="A1227" s="17" t="str">
        <f>"26037"</f>
        <v>26037</v>
      </c>
      <c r="B1227" s="5" t="s">
        <v>1384</v>
      </c>
      <c r="C1227" s="17">
        <v>19900401</v>
      </c>
      <c r="D1227" s="17">
        <v>22991231</v>
      </c>
      <c r="E1227" s="25">
        <v>1450.8</v>
      </c>
    </row>
    <row r="1228" spans="1:5" x14ac:dyDescent="0.3">
      <c r="A1228" s="17" t="str">
        <f>"26040"</f>
        <v>26040</v>
      </c>
      <c r="B1228" s="5" t="s">
        <v>1385</v>
      </c>
      <c r="C1228" s="17">
        <v>19900101</v>
      </c>
      <c r="D1228" s="17">
        <v>22991231</v>
      </c>
      <c r="E1228" s="25">
        <v>782.3</v>
      </c>
    </row>
    <row r="1229" spans="1:5" x14ac:dyDescent="0.3">
      <c r="A1229" s="17" t="str">
        <f>"26045"</f>
        <v>26045</v>
      </c>
      <c r="B1229" s="5" t="s">
        <v>1386</v>
      </c>
      <c r="C1229" s="17">
        <v>19900101</v>
      </c>
      <c r="D1229" s="17">
        <v>22991231</v>
      </c>
      <c r="E1229" s="25">
        <v>1450.8</v>
      </c>
    </row>
    <row r="1230" spans="1:5" x14ac:dyDescent="0.3">
      <c r="A1230" s="17" t="str">
        <f>"26055"</f>
        <v>26055</v>
      </c>
      <c r="B1230" s="5" t="s">
        <v>1387</v>
      </c>
      <c r="C1230" s="17">
        <v>19900101</v>
      </c>
      <c r="D1230" s="17">
        <v>22991231</v>
      </c>
      <c r="E1230" s="25">
        <v>782.3</v>
      </c>
    </row>
    <row r="1231" spans="1:5" x14ac:dyDescent="0.3">
      <c r="A1231" s="17" t="str">
        <f>"26060"</f>
        <v>26060</v>
      </c>
      <c r="B1231" s="5" t="s">
        <v>1388</v>
      </c>
      <c r="C1231" s="17">
        <v>19900101</v>
      </c>
      <c r="D1231" s="17">
        <v>22991231</v>
      </c>
      <c r="E1231" s="25">
        <v>782.3</v>
      </c>
    </row>
    <row r="1232" spans="1:5" ht="26" x14ac:dyDescent="0.3">
      <c r="A1232" s="17" t="str">
        <f>"26070"</f>
        <v>26070</v>
      </c>
      <c r="B1232" s="5" t="s">
        <v>1389</v>
      </c>
      <c r="C1232" s="17">
        <v>19900101</v>
      </c>
      <c r="D1232" s="17">
        <v>22991231</v>
      </c>
      <c r="E1232" s="25">
        <v>782.3</v>
      </c>
    </row>
    <row r="1233" spans="1:5" ht="26" x14ac:dyDescent="0.3">
      <c r="A1233" s="17" t="str">
        <f>"26075"</f>
        <v>26075</v>
      </c>
      <c r="B1233" s="5" t="s">
        <v>1390</v>
      </c>
      <c r="C1233" s="17">
        <v>19900101</v>
      </c>
      <c r="D1233" s="17">
        <v>22991231</v>
      </c>
      <c r="E1233" s="25">
        <v>1450.8</v>
      </c>
    </row>
    <row r="1234" spans="1:5" ht="26" x14ac:dyDescent="0.3">
      <c r="A1234" s="17" t="str">
        <f>"26080"</f>
        <v>26080</v>
      </c>
      <c r="B1234" s="5" t="s">
        <v>1391</v>
      </c>
      <c r="C1234" s="17">
        <v>19900101</v>
      </c>
      <c r="D1234" s="17">
        <v>22991231</v>
      </c>
      <c r="E1234" s="25">
        <v>782.3</v>
      </c>
    </row>
    <row r="1235" spans="1:5" x14ac:dyDescent="0.3">
      <c r="A1235" s="17" t="str">
        <f>"26100"</f>
        <v>26100</v>
      </c>
      <c r="B1235" s="5" t="s">
        <v>1392</v>
      </c>
      <c r="C1235" s="17">
        <v>19900101</v>
      </c>
      <c r="D1235" s="17">
        <v>22991231</v>
      </c>
      <c r="E1235" s="25">
        <v>1450.8</v>
      </c>
    </row>
    <row r="1236" spans="1:5" x14ac:dyDescent="0.3">
      <c r="A1236" s="17" t="str">
        <f>"26105"</f>
        <v>26105</v>
      </c>
      <c r="B1236" s="5" t="s">
        <v>1393</v>
      </c>
      <c r="C1236" s="17">
        <v>19900101</v>
      </c>
      <c r="D1236" s="17">
        <v>22991231</v>
      </c>
      <c r="E1236" s="25">
        <v>1450.8</v>
      </c>
    </row>
    <row r="1237" spans="1:5" x14ac:dyDescent="0.3">
      <c r="A1237" s="17" t="str">
        <f>"26110"</f>
        <v>26110</v>
      </c>
      <c r="B1237" s="5" t="s">
        <v>1394</v>
      </c>
      <c r="C1237" s="17">
        <v>19900101</v>
      </c>
      <c r="D1237" s="17">
        <v>22991231</v>
      </c>
      <c r="E1237" s="25">
        <v>782.3</v>
      </c>
    </row>
    <row r="1238" spans="1:5" ht="26" x14ac:dyDescent="0.3">
      <c r="A1238" s="17" t="str">
        <f>"26111"</f>
        <v>26111</v>
      </c>
      <c r="B1238" s="5" t="s">
        <v>1395</v>
      </c>
      <c r="C1238" s="17">
        <v>20100101</v>
      </c>
      <c r="D1238" s="17">
        <v>22991231</v>
      </c>
      <c r="E1238" s="25">
        <v>652.27</v>
      </c>
    </row>
    <row r="1239" spans="1:5" ht="26" x14ac:dyDescent="0.3">
      <c r="A1239" s="17" t="str">
        <f>"26113"</f>
        <v>26113</v>
      </c>
      <c r="B1239" s="5" t="s">
        <v>1396</v>
      </c>
      <c r="C1239" s="17">
        <v>20100101</v>
      </c>
      <c r="D1239" s="17">
        <v>22991231</v>
      </c>
      <c r="E1239" s="25">
        <v>652.27</v>
      </c>
    </row>
    <row r="1240" spans="1:5" ht="26" x14ac:dyDescent="0.3">
      <c r="A1240" s="17" t="str">
        <f>"26115"</f>
        <v>26115</v>
      </c>
      <c r="B1240" s="5" t="s">
        <v>1397</v>
      </c>
      <c r="C1240" s="17">
        <v>19900101</v>
      </c>
      <c r="D1240" s="17">
        <v>22991231</v>
      </c>
      <c r="E1240" s="25">
        <v>652.27</v>
      </c>
    </row>
    <row r="1241" spans="1:5" ht="26" x14ac:dyDescent="0.3">
      <c r="A1241" s="17" t="str">
        <f>"26116"</f>
        <v>26116</v>
      </c>
      <c r="B1241" s="5" t="s">
        <v>1398</v>
      </c>
      <c r="C1241" s="17">
        <v>19900101</v>
      </c>
      <c r="D1241" s="17">
        <v>22991231</v>
      </c>
      <c r="E1241" s="25">
        <v>652.27</v>
      </c>
    </row>
    <row r="1242" spans="1:5" ht="26" x14ac:dyDescent="0.3">
      <c r="A1242" s="17" t="str">
        <f>"26117"</f>
        <v>26117</v>
      </c>
      <c r="B1242" s="5" t="s">
        <v>1399</v>
      </c>
      <c r="C1242" s="17">
        <v>19970801</v>
      </c>
      <c r="D1242" s="17">
        <v>22991231</v>
      </c>
      <c r="E1242" s="25">
        <v>1105.24</v>
      </c>
    </row>
    <row r="1243" spans="1:5" ht="26" x14ac:dyDescent="0.3">
      <c r="A1243" s="17" t="str">
        <f>"26118"</f>
        <v>26118</v>
      </c>
      <c r="B1243" s="5" t="s">
        <v>1400</v>
      </c>
      <c r="C1243" s="17">
        <v>20100101</v>
      </c>
      <c r="D1243" s="17">
        <v>22991231</v>
      </c>
      <c r="E1243" s="25">
        <v>1105.24</v>
      </c>
    </row>
    <row r="1244" spans="1:5" x14ac:dyDescent="0.3">
      <c r="A1244" s="17" t="str">
        <f>"26121"</f>
        <v>26121</v>
      </c>
      <c r="B1244" s="5" t="s">
        <v>1401</v>
      </c>
      <c r="C1244" s="17">
        <v>19900401</v>
      </c>
      <c r="D1244" s="17">
        <v>22991231</v>
      </c>
      <c r="E1244" s="25">
        <v>1450.8</v>
      </c>
    </row>
    <row r="1245" spans="1:5" ht="26" x14ac:dyDescent="0.3">
      <c r="A1245" s="17" t="str">
        <f>"26123"</f>
        <v>26123</v>
      </c>
      <c r="B1245" s="5" t="s">
        <v>1402</v>
      </c>
      <c r="C1245" s="17">
        <v>19900401</v>
      </c>
      <c r="D1245" s="17">
        <v>22991231</v>
      </c>
      <c r="E1245" s="25">
        <v>1450.8</v>
      </c>
    </row>
    <row r="1246" spans="1:5" ht="26" x14ac:dyDescent="0.3">
      <c r="A1246" s="17" t="str">
        <f>"26125"</f>
        <v>26125</v>
      </c>
      <c r="B1246" s="5" t="s">
        <v>1403</v>
      </c>
      <c r="C1246" s="17">
        <v>19900401</v>
      </c>
      <c r="D1246" s="17">
        <v>22991231</v>
      </c>
      <c r="E1246" s="25">
        <v>0</v>
      </c>
    </row>
    <row r="1247" spans="1:5" x14ac:dyDescent="0.3">
      <c r="A1247" s="17" t="str">
        <f>"26130"</f>
        <v>26130</v>
      </c>
      <c r="B1247" s="5" t="s">
        <v>1404</v>
      </c>
      <c r="C1247" s="17">
        <v>19900101</v>
      </c>
      <c r="D1247" s="17">
        <v>22991231</v>
      </c>
      <c r="E1247" s="25">
        <v>1450.8</v>
      </c>
    </row>
    <row r="1248" spans="1:5" x14ac:dyDescent="0.3">
      <c r="A1248" s="17" t="str">
        <f>"26135"</f>
        <v>26135</v>
      </c>
      <c r="B1248" s="5" t="s">
        <v>1405</v>
      </c>
      <c r="C1248" s="17">
        <v>19900101</v>
      </c>
      <c r="D1248" s="17">
        <v>22991231</v>
      </c>
      <c r="E1248" s="25">
        <v>1450.8</v>
      </c>
    </row>
    <row r="1249" spans="1:5" ht="26" x14ac:dyDescent="0.3">
      <c r="A1249" s="17" t="str">
        <f>"26140"</f>
        <v>26140</v>
      </c>
      <c r="B1249" s="5" t="s">
        <v>1406</v>
      </c>
      <c r="C1249" s="17">
        <v>19900101</v>
      </c>
      <c r="D1249" s="17">
        <v>22991231</v>
      </c>
      <c r="E1249" s="25">
        <v>782.3</v>
      </c>
    </row>
    <row r="1250" spans="1:5" x14ac:dyDescent="0.3">
      <c r="A1250" s="17" t="str">
        <f>"26145"</f>
        <v>26145</v>
      </c>
      <c r="B1250" s="5" t="s">
        <v>1407</v>
      </c>
      <c r="C1250" s="17">
        <v>19900101</v>
      </c>
      <c r="D1250" s="17">
        <v>22991231</v>
      </c>
      <c r="E1250" s="25">
        <v>782.3</v>
      </c>
    </row>
    <row r="1251" spans="1:5" x14ac:dyDescent="0.3">
      <c r="A1251" s="17" t="str">
        <f>"26160"</f>
        <v>26160</v>
      </c>
      <c r="B1251" s="5" t="s">
        <v>1408</v>
      </c>
      <c r="C1251" s="17">
        <v>19900101</v>
      </c>
      <c r="D1251" s="17">
        <v>22991231</v>
      </c>
      <c r="E1251" s="25">
        <v>782.3</v>
      </c>
    </row>
    <row r="1252" spans="1:5" x14ac:dyDescent="0.3">
      <c r="A1252" s="17" t="str">
        <f>"26170"</f>
        <v>26170</v>
      </c>
      <c r="B1252" s="5" t="s">
        <v>1409</v>
      </c>
      <c r="C1252" s="17">
        <v>19900101</v>
      </c>
      <c r="D1252" s="17">
        <v>22991231</v>
      </c>
      <c r="E1252" s="25">
        <v>782.3</v>
      </c>
    </row>
    <row r="1253" spans="1:5" x14ac:dyDescent="0.3">
      <c r="A1253" s="17" t="str">
        <f>"26180"</f>
        <v>26180</v>
      </c>
      <c r="B1253" s="5" t="s">
        <v>1410</v>
      </c>
      <c r="C1253" s="17">
        <v>19900101</v>
      </c>
      <c r="D1253" s="17">
        <v>22991231</v>
      </c>
      <c r="E1253" s="25">
        <v>782.3</v>
      </c>
    </row>
    <row r="1254" spans="1:5" x14ac:dyDescent="0.3">
      <c r="A1254" s="17" t="str">
        <f>"26185"</f>
        <v>26185</v>
      </c>
      <c r="B1254" s="5" t="s">
        <v>1411</v>
      </c>
      <c r="C1254" s="17">
        <v>19970101</v>
      </c>
      <c r="D1254" s="17">
        <v>22991231</v>
      </c>
      <c r="E1254" s="25">
        <v>782.3</v>
      </c>
    </row>
    <row r="1255" spans="1:5" x14ac:dyDescent="0.3">
      <c r="A1255" s="17" t="str">
        <f>"26200"</f>
        <v>26200</v>
      </c>
      <c r="B1255" s="5" t="s">
        <v>1412</v>
      </c>
      <c r="C1255" s="17">
        <v>19900101</v>
      </c>
      <c r="D1255" s="17">
        <v>22991231</v>
      </c>
      <c r="E1255" s="25">
        <v>782.3</v>
      </c>
    </row>
    <row r="1256" spans="1:5" ht="26" x14ac:dyDescent="0.3">
      <c r="A1256" s="17" t="str">
        <f>"26205"</f>
        <v>26205</v>
      </c>
      <c r="B1256" s="5" t="s">
        <v>1413</v>
      </c>
      <c r="C1256" s="17">
        <v>19900101</v>
      </c>
      <c r="D1256" s="17">
        <v>22991231</v>
      </c>
      <c r="E1256" s="25">
        <v>3240.75</v>
      </c>
    </row>
    <row r="1257" spans="1:5" x14ac:dyDescent="0.3">
      <c r="A1257" s="17" t="str">
        <f>"26210"</f>
        <v>26210</v>
      </c>
      <c r="B1257" s="5" t="s">
        <v>1414</v>
      </c>
      <c r="C1257" s="17">
        <v>19900101</v>
      </c>
      <c r="D1257" s="17">
        <v>22991231</v>
      </c>
      <c r="E1257" s="25">
        <v>782.3</v>
      </c>
    </row>
    <row r="1258" spans="1:5" ht="26" x14ac:dyDescent="0.3">
      <c r="A1258" s="17" t="str">
        <f>"26215"</f>
        <v>26215</v>
      </c>
      <c r="B1258" s="5" t="s">
        <v>1415</v>
      </c>
      <c r="C1258" s="17">
        <v>19900101</v>
      </c>
      <c r="D1258" s="17">
        <v>22991231</v>
      </c>
      <c r="E1258" s="25">
        <v>1450.8</v>
      </c>
    </row>
    <row r="1259" spans="1:5" x14ac:dyDescent="0.3">
      <c r="A1259" s="17" t="str">
        <f>"26230"</f>
        <v>26230</v>
      </c>
      <c r="B1259" s="5" t="s">
        <v>1416</v>
      </c>
      <c r="C1259" s="17">
        <v>19900101</v>
      </c>
      <c r="D1259" s="17">
        <v>22991231</v>
      </c>
      <c r="E1259" s="25">
        <v>1450.8</v>
      </c>
    </row>
    <row r="1260" spans="1:5" ht="26" x14ac:dyDescent="0.3">
      <c r="A1260" s="17" t="str">
        <f>"26235"</f>
        <v>26235</v>
      </c>
      <c r="B1260" s="5" t="s">
        <v>1417</v>
      </c>
      <c r="C1260" s="17">
        <v>19900101</v>
      </c>
      <c r="D1260" s="17">
        <v>22991231</v>
      </c>
      <c r="E1260" s="25">
        <v>782.3</v>
      </c>
    </row>
    <row r="1261" spans="1:5" x14ac:dyDescent="0.3">
      <c r="A1261" s="17" t="str">
        <f>"26236"</f>
        <v>26236</v>
      </c>
      <c r="B1261" s="5" t="s">
        <v>1418</v>
      </c>
      <c r="C1261" s="17">
        <v>19900101</v>
      </c>
      <c r="D1261" s="17">
        <v>22991231</v>
      </c>
      <c r="E1261" s="25">
        <v>782.3</v>
      </c>
    </row>
    <row r="1262" spans="1:5" x14ac:dyDescent="0.3">
      <c r="A1262" s="17" t="str">
        <f>"26250"</f>
        <v>26250</v>
      </c>
      <c r="B1262" s="5" t="s">
        <v>1419</v>
      </c>
      <c r="C1262" s="17">
        <v>19900101</v>
      </c>
      <c r="D1262" s="17">
        <v>22991231</v>
      </c>
      <c r="E1262" s="25">
        <v>1450.8</v>
      </c>
    </row>
    <row r="1263" spans="1:5" x14ac:dyDescent="0.3">
      <c r="A1263" s="17" t="str">
        <f>"26260"</f>
        <v>26260</v>
      </c>
      <c r="B1263" s="5" t="s">
        <v>1420</v>
      </c>
      <c r="C1263" s="17">
        <v>19900101</v>
      </c>
      <c r="D1263" s="17">
        <v>22991231</v>
      </c>
      <c r="E1263" s="25">
        <v>1450.8</v>
      </c>
    </row>
    <row r="1264" spans="1:5" ht="26" x14ac:dyDescent="0.3">
      <c r="A1264" s="17" t="str">
        <f>"26262"</f>
        <v>26262</v>
      </c>
      <c r="B1264" s="5" t="s">
        <v>1421</v>
      </c>
      <c r="C1264" s="17">
        <v>19900101</v>
      </c>
      <c r="D1264" s="17">
        <v>22991231</v>
      </c>
      <c r="E1264" s="25">
        <v>782.3</v>
      </c>
    </row>
    <row r="1265" spans="1:5" x14ac:dyDescent="0.3">
      <c r="A1265" s="17" t="str">
        <f>"26320"</f>
        <v>26320</v>
      </c>
      <c r="B1265" s="5" t="s">
        <v>1422</v>
      </c>
      <c r="C1265" s="17">
        <v>19900101</v>
      </c>
      <c r="D1265" s="17">
        <v>22991231</v>
      </c>
      <c r="E1265" s="25">
        <v>652.27</v>
      </c>
    </row>
    <row r="1266" spans="1:5" x14ac:dyDescent="0.3">
      <c r="A1266" s="17" t="str">
        <f>"26340"</f>
        <v>26340</v>
      </c>
      <c r="B1266" s="5" t="s">
        <v>1423</v>
      </c>
      <c r="C1266" s="17">
        <v>20230101</v>
      </c>
      <c r="D1266" s="17">
        <v>22991231</v>
      </c>
      <c r="E1266" s="25">
        <v>782.3</v>
      </c>
    </row>
    <row r="1267" spans="1:5" ht="26" x14ac:dyDescent="0.3">
      <c r="A1267" s="17" t="str">
        <f>"26341"</f>
        <v>26341</v>
      </c>
      <c r="B1267" s="5" t="s">
        <v>1424</v>
      </c>
      <c r="C1267" s="17">
        <v>20120101</v>
      </c>
      <c r="D1267" s="17">
        <v>22991231</v>
      </c>
      <c r="E1267" s="25">
        <v>77.569999999999993</v>
      </c>
    </row>
    <row r="1268" spans="1:5" ht="26" x14ac:dyDescent="0.3">
      <c r="A1268" s="17" t="str">
        <f>"26350"</f>
        <v>26350</v>
      </c>
      <c r="B1268" s="5" t="s">
        <v>1425</v>
      </c>
      <c r="C1268" s="17">
        <v>19900101</v>
      </c>
      <c r="D1268" s="17">
        <v>22991231</v>
      </c>
      <c r="E1268" s="25">
        <v>1450.8</v>
      </c>
    </row>
    <row r="1269" spans="1:5" ht="26" x14ac:dyDescent="0.3">
      <c r="A1269" s="17" t="str">
        <f>"26352"</f>
        <v>26352</v>
      </c>
      <c r="B1269" s="5" t="s">
        <v>1426</v>
      </c>
      <c r="C1269" s="17">
        <v>19900101</v>
      </c>
      <c r="D1269" s="17">
        <v>22991231</v>
      </c>
      <c r="E1269" s="25">
        <v>3240.75</v>
      </c>
    </row>
    <row r="1270" spans="1:5" ht="26" x14ac:dyDescent="0.3">
      <c r="A1270" s="17" t="str">
        <f>"26356"</f>
        <v>26356</v>
      </c>
      <c r="B1270" s="5" t="s">
        <v>1427</v>
      </c>
      <c r="C1270" s="17">
        <v>19900101</v>
      </c>
      <c r="D1270" s="17">
        <v>22991231</v>
      </c>
      <c r="E1270" s="25">
        <v>1450.8</v>
      </c>
    </row>
    <row r="1271" spans="1:5" ht="26" x14ac:dyDescent="0.3">
      <c r="A1271" s="17" t="str">
        <f>"26357"</f>
        <v>26357</v>
      </c>
      <c r="B1271" s="5" t="s">
        <v>1428</v>
      </c>
      <c r="C1271" s="17">
        <v>19970801</v>
      </c>
      <c r="D1271" s="17">
        <v>22991231</v>
      </c>
      <c r="E1271" s="25">
        <v>1450.8</v>
      </c>
    </row>
    <row r="1272" spans="1:5" ht="26" x14ac:dyDescent="0.3">
      <c r="A1272" s="17" t="str">
        <f>"26358"</f>
        <v>26358</v>
      </c>
      <c r="B1272" s="5" t="s">
        <v>1429</v>
      </c>
      <c r="C1272" s="17">
        <v>19900101</v>
      </c>
      <c r="D1272" s="17">
        <v>22991231</v>
      </c>
      <c r="E1272" s="25">
        <v>3240.75</v>
      </c>
    </row>
    <row r="1273" spans="1:5" x14ac:dyDescent="0.3">
      <c r="A1273" s="17" t="str">
        <f>"26370"</f>
        <v>26370</v>
      </c>
      <c r="B1273" s="5" t="s">
        <v>1430</v>
      </c>
      <c r="C1273" s="17">
        <v>19900101</v>
      </c>
      <c r="D1273" s="17">
        <v>22991231</v>
      </c>
      <c r="E1273" s="25">
        <v>1450.8</v>
      </c>
    </row>
    <row r="1274" spans="1:5" ht="26" x14ac:dyDescent="0.3">
      <c r="A1274" s="17" t="str">
        <f>"26372"</f>
        <v>26372</v>
      </c>
      <c r="B1274" s="5" t="s">
        <v>1431</v>
      </c>
      <c r="C1274" s="17">
        <v>19900101</v>
      </c>
      <c r="D1274" s="17">
        <v>22991231</v>
      </c>
      <c r="E1274" s="25">
        <v>3240.75</v>
      </c>
    </row>
    <row r="1275" spans="1:5" ht="26" x14ac:dyDescent="0.3">
      <c r="A1275" s="17" t="str">
        <f>"26373"</f>
        <v>26373</v>
      </c>
      <c r="B1275" s="5" t="s">
        <v>1432</v>
      </c>
      <c r="C1275" s="17">
        <v>19900101</v>
      </c>
      <c r="D1275" s="17">
        <v>22991231</v>
      </c>
      <c r="E1275" s="25">
        <v>1450.8</v>
      </c>
    </row>
    <row r="1276" spans="1:5" ht="26" x14ac:dyDescent="0.3">
      <c r="A1276" s="17" t="str">
        <f>"26390"</f>
        <v>26390</v>
      </c>
      <c r="B1276" s="5" t="s">
        <v>1433</v>
      </c>
      <c r="C1276" s="17">
        <v>19900101</v>
      </c>
      <c r="D1276" s="17">
        <v>22991231</v>
      </c>
      <c r="E1276" s="25">
        <v>4325.17</v>
      </c>
    </row>
    <row r="1277" spans="1:5" ht="26" x14ac:dyDescent="0.3">
      <c r="A1277" s="17" t="str">
        <f>"26392"</f>
        <v>26392</v>
      </c>
      <c r="B1277" s="5" t="s">
        <v>1434</v>
      </c>
      <c r="C1277" s="17">
        <v>19900101</v>
      </c>
      <c r="D1277" s="17">
        <v>22991231</v>
      </c>
      <c r="E1277" s="25">
        <v>3240.75</v>
      </c>
    </row>
    <row r="1278" spans="1:5" x14ac:dyDescent="0.3">
      <c r="A1278" s="17" t="str">
        <f>"26410"</f>
        <v>26410</v>
      </c>
      <c r="B1278" s="5" t="s">
        <v>1435</v>
      </c>
      <c r="C1278" s="17">
        <v>19900101</v>
      </c>
      <c r="D1278" s="17">
        <v>22991231</v>
      </c>
      <c r="E1278" s="25">
        <v>782.3</v>
      </c>
    </row>
    <row r="1279" spans="1:5" x14ac:dyDescent="0.3">
      <c r="A1279" s="17" t="str">
        <f>"26412"</f>
        <v>26412</v>
      </c>
      <c r="B1279" s="5" t="s">
        <v>1436</v>
      </c>
      <c r="C1279" s="17">
        <v>19900101</v>
      </c>
      <c r="D1279" s="17">
        <v>22991231</v>
      </c>
      <c r="E1279" s="25">
        <v>1450.8</v>
      </c>
    </row>
    <row r="1280" spans="1:5" ht="26" x14ac:dyDescent="0.3">
      <c r="A1280" s="17" t="str">
        <f>"26415"</f>
        <v>26415</v>
      </c>
      <c r="B1280" s="5" t="s">
        <v>1437</v>
      </c>
      <c r="C1280" s="17">
        <v>19900101</v>
      </c>
      <c r="D1280" s="17">
        <v>22991231</v>
      </c>
      <c r="E1280" s="25">
        <v>1450.8</v>
      </c>
    </row>
    <row r="1281" spans="1:5" ht="26" x14ac:dyDescent="0.3">
      <c r="A1281" s="17" t="str">
        <f>"26416"</f>
        <v>26416</v>
      </c>
      <c r="B1281" s="5" t="s">
        <v>1438</v>
      </c>
      <c r="C1281" s="17">
        <v>19900101</v>
      </c>
      <c r="D1281" s="17">
        <v>22991231</v>
      </c>
      <c r="E1281" s="25">
        <v>1450.8</v>
      </c>
    </row>
    <row r="1282" spans="1:5" x14ac:dyDescent="0.3">
      <c r="A1282" s="17" t="str">
        <f>"26418"</f>
        <v>26418</v>
      </c>
      <c r="B1282" s="5" t="s">
        <v>1439</v>
      </c>
      <c r="C1282" s="17">
        <v>19900101</v>
      </c>
      <c r="D1282" s="17">
        <v>22991231</v>
      </c>
      <c r="E1282" s="25">
        <v>782.3</v>
      </c>
    </row>
    <row r="1283" spans="1:5" x14ac:dyDescent="0.3">
      <c r="A1283" s="17" t="str">
        <f>"26420"</f>
        <v>26420</v>
      </c>
      <c r="B1283" s="5" t="s">
        <v>1440</v>
      </c>
      <c r="C1283" s="17">
        <v>19900101</v>
      </c>
      <c r="D1283" s="17">
        <v>22991231</v>
      </c>
      <c r="E1283" s="25">
        <v>1450.8</v>
      </c>
    </row>
    <row r="1284" spans="1:5" ht="26" x14ac:dyDescent="0.3">
      <c r="A1284" s="17" t="str">
        <f>"26426"</f>
        <v>26426</v>
      </c>
      <c r="B1284" s="5" t="s">
        <v>1441</v>
      </c>
      <c r="C1284" s="17">
        <v>19900101</v>
      </c>
      <c r="D1284" s="17">
        <v>22991231</v>
      </c>
      <c r="E1284" s="25">
        <v>1450.8</v>
      </c>
    </row>
    <row r="1285" spans="1:5" ht="26" x14ac:dyDescent="0.3">
      <c r="A1285" s="17" t="str">
        <f>"26428"</f>
        <v>26428</v>
      </c>
      <c r="B1285" s="5" t="s">
        <v>1442</v>
      </c>
      <c r="C1285" s="17">
        <v>19900101</v>
      </c>
      <c r="D1285" s="17">
        <v>22991231</v>
      </c>
      <c r="E1285" s="25">
        <v>1450.8</v>
      </c>
    </row>
    <row r="1286" spans="1:5" ht="26" x14ac:dyDescent="0.3">
      <c r="A1286" s="17" t="str">
        <f>"26432"</f>
        <v>26432</v>
      </c>
      <c r="B1286" s="5" t="s">
        <v>1443</v>
      </c>
      <c r="C1286" s="17">
        <v>19900101</v>
      </c>
      <c r="D1286" s="17">
        <v>22991231</v>
      </c>
      <c r="E1286" s="25">
        <v>782.3</v>
      </c>
    </row>
    <row r="1287" spans="1:5" x14ac:dyDescent="0.3">
      <c r="A1287" s="17" t="str">
        <f>"26433"</f>
        <v>26433</v>
      </c>
      <c r="B1287" s="5" t="s">
        <v>1444</v>
      </c>
      <c r="C1287" s="17">
        <v>19900101</v>
      </c>
      <c r="D1287" s="17">
        <v>22991231</v>
      </c>
      <c r="E1287" s="25">
        <v>1450.8</v>
      </c>
    </row>
    <row r="1288" spans="1:5" ht="26" x14ac:dyDescent="0.3">
      <c r="A1288" s="17" t="str">
        <f>"26434"</f>
        <v>26434</v>
      </c>
      <c r="B1288" s="5" t="s">
        <v>1445</v>
      </c>
      <c r="C1288" s="17">
        <v>19900101</v>
      </c>
      <c r="D1288" s="17">
        <v>22991231</v>
      </c>
      <c r="E1288" s="25">
        <v>1450.8</v>
      </c>
    </row>
    <row r="1289" spans="1:5" x14ac:dyDescent="0.3">
      <c r="A1289" s="17" t="str">
        <f>"26437"</f>
        <v>26437</v>
      </c>
      <c r="B1289" s="5" t="s">
        <v>1446</v>
      </c>
      <c r="C1289" s="17">
        <v>19900101</v>
      </c>
      <c r="D1289" s="17">
        <v>22991231</v>
      </c>
      <c r="E1289" s="25">
        <v>1450.8</v>
      </c>
    </row>
    <row r="1290" spans="1:5" x14ac:dyDescent="0.3">
      <c r="A1290" s="17" t="str">
        <f>"26440"</f>
        <v>26440</v>
      </c>
      <c r="B1290" s="5" t="s">
        <v>1447</v>
      </c>
      <c r="C1290" s="17">
        <v>19900101</v>
      </c>
      <c r="D1290" s="17">
        <v>22991231</v>
      </c>
      <c r="E1290" s="25">
        <v>782.3</v>
      </c>
    </row>
    <row r="1291" spans="1:5" x14ac:dyDescent="0.3">
      <c r="A1291" s="17" t="str">
        <f>"26442"</f>
        <v>26442</v>
      </c>
      <c r="B1291" s="5" t="s">
        <v>1448</v>
      </c>
      <c r="C1291" s="17">
        <v>19900101</v>
      </c>
      <c r="D1291" s="17">
        <v>22991231</v>
      </c>
      <c r="E1291" s="25">
        <v>1450.8</v>
      </c>
    </row>
    <row r="1292" spans="1:5" x14ac:dyDescent="0.3">
      <c r="A1292" s="17" t="str">
        <f>"26445"</f>
        <v>26445</v>
      </c>
      <c r="B1292" s="5" t="s">
        <v>1449</v>
      </c>
      <c r="C1292" s="17">
        <v>19900101</v>
      </c>
      <c r="D1292" s="17">
        <v>22991231</v>
      </c>
      <c r="E1292" s="25">
        <v>1450.8</v>
      </c>
    </row>
    <row r="1293" spans="1:5" ht="26" x14ac:dyDescent="0.3">
      <c r="A1293" s="17" t="str">
        <f>"26449"</f>
        <v>26449</v>
      </c>
      <c r="B1293" s="5" t="s">
        <v>1450</v>
      </c>
      <c r="C1293" s="17">
        <v>19900101</v>
      </c>
      <c r="D1293" s="17">
        <v>22991231</v>
      </c>
      <c r="E1293" s="25">
        <v>1450.8</v>
      </c>
    </row>
    <row r="1294" spans="1:5" x14ac:dyDescent="0.3">
      <c r="A1294" s="17" t="str">
        <f>"26450"</f>
        <v>26450</v>
      </c>
      <c r="B1294" s="5" t="s">
        <v>1451</v>
      </c>
      <c r="C1294" s="17">
        <v>19900101</v>
      </c>
      <c r="D1294" s="17">
        <v>22991231</v>
      </c>
      <c r="E1294" s="25">
        <v>1450.8</v>
      </c>
    </row>
    <row r="1295" spans="1:5" x14ac:dyDescent="0.3">
      <c r="A1295" s="17" t="str">
        <f>"26455"</f>
        <v>26455</v>
      </c>
      <c r="B1295" s="5" t="s">
        <v>1452</v>
      </c>
      <c r="C1295" s="17">
        <v>19900101</v>
      </c>
      <c r="D1295" s="17">
        <v>22991231</v>
      </c>
      <c r="E1295" s="25">
        <v>782.3</v>
      </c>
    </row>
    <row r="1296" spans="1:5" x14ac:dyDescent="0.3">
      <c r="A1296" s="17" t="str">
        <f>"26460"</f>
        <v>26460</v>
      </c>
      <c r="B1296" s="5" t="s">
        <v>1453</v>
      </c>
      <c r="C1296" s="17">
        <v>19900101</v>
      </c>
      <c r="D1296" s="17">
        <v>22991231</v>
      </c>
      <c r="E1296" s="25">
        <v>782.3</v>
      </c>
    </row>
    <row r="1297" spans="1:5" x14ac:dyDescent="0.3">
      <c r="A1297" s="17" t="str">
        <f>"26471"</f>
        <v>26471</v>
      </c>
      <c r="B1297" s="5" t="s">
        <v>1454</v>
      </c>
      <c r="C1297" s="17">
        <v>19900101</v>
      </c>
      <c r="D1297" s="17">
        <v>22991231</v>
      </c>
      <c r="E1297" s="25">
        <v>1450.8</v>
      </c>
    </row>
    <row r="1298" spans="1:5" ht="26" x14ac:dyDescent="0.3">
      <c r="A1298" s="17" t="str">
        <f>"26474"</f>
        <v>26474</v>
      </c>
      <c r="B1298" s="5" t="s">
        <v>1455</v>
      </c>
      <c r="C1298" s="17">
        <v>19900101</v>
      </c>
      <c r="D1298" s="17">
        <v>22991231</v>
      </c>
      <c r="E1298" s="25">
        <v>782.3</v>
      </c>
    </row>
    <row r="1299" spans="1:5" ht="26" x14ac:dyDescent="0.3">
      <c r="A1299" s="17" t="str">
        <f>"26476"</f>
        <v>26476</v>
      </c>
      <c r="B1299" s="5" t="s">
        <v>1456</v>
      </c>
      <c r="C1299" s="17">
        <v>19900101</v>
      </c>
      <c r="D1299" s="17">
        <v>22991231</v>
      </c>
      <c r="E1299" s="25">
        <v>1450.8</v>
      </c>
    </row>
    <row r="1300" spans="1:5" ht="26" x14ac:dyDescent="0.3">
      <c r="A1300" s="17" t="str">
        <f>"26477"</f>
        <v>26477</v>
      </c>
      <c r="B1300" s="5" t="s">
        <v>1457</v>
      </c>
      <c r="C1300" s="17">
        <v>19900101</v>
      </c>
      <c r="D1300" s="17">
        <v>22991231</v>
      </c>
      <c r="E1300" s="25">
        <v>1450.8</v>
      </c>
    </row>
    <row r="1301" spans="1:5" ht="26" x14ac:dyDescent="0.3">
      <c r="A1301" s="17" t="str">
        <f>"26478"</f>
        <v>26478</v>
      </c>
      <c r="B1301" s="5" t="s">
        <v>1458</v>
      </c>
      <c r="C1301" s="17">
        <v>19900101</v>
      </c>
      <c r="D1301" s="17">
        <v>22991231</v>
      </c>
      <c r="E1301" s="25">
        <v>1450.8</v>
      </c>
    </row>
    <row r="1302" spans="1:5" ht="26" x14ac:dyDescent="0.3">
      <c r="A1302" s="17" t="str">
        <f>"26479"</f>
        <v>26479</v>
      </c>
      <c r="B1302" s="5" t="s">
        <v>1459</v>
      </c>
      <c r="C1302" s="17">
        <v>19900101</v>
      </c>
      <c r="D1302" s="17">
        <v>22991231</v>
      </c>
      <c r="E1302" s="25">
        <v>1450.8</v>
      </c>
    </row>
    <row r="1303" spans="1:5" x14ac:dyDescent="0.3">
      <c r="A1303" s="17" t="str">
        <f>"26480"</f>
        <v>26480</v>
      </c>
      <c r="B1303" s="5" t="s">
        <v>1460</v>
      </c>
      <c r="C1303" s="17">
        <v>19900101</v>
      </c>
      <c r="D1303" s="17">
        <v>22991231</v>
      </c>
      <c r="E1303" s="25">
        <v>1450.8</v>
      </c>
    </row>
    <row r="1304" spans="1:5" x14ac:dyDescent="0.3">
      <c r="A1304" s="17" t="str">
        <f>"26483"</f>
        <v>26483</v>
      </c>
      <c r="B1304" s="5" t="s">
        <v>1461</v>
      </c>
      <c r="C1304" s="17">
        <v>19900101</v>
      </c>
      <c r="D1304" s="17">
        <v>22991231</v>
      </c>
      <c r="E1304" s="25">
        <v>1450.8</v>
      </c>
    </row>
    <row r="1305" spans="1:5" x14ac:dyDescent="0.3">
      <c r="A1305" s="17" t="str">
        <f>"26485"</f>
        <v>26485</v>
      </c>
      <c r="B1305" s="5" t="s">
        <v>1462</v>
      </c>
      <c r="C1305" s="17">
        <v>19900101</v>
      </c>
      <c r="D1305" s="17">
        <v>22991231</v>
      </c>
      <c r="E1305" s="25">
        <v>1450.8</v>
      </c>
    </row>
    <row r="1306" spans="1:5" x14ac:dyDescent="0.3">
      <c r="A1306" s="17" t="str">
        <f>"26489"</f>
        <v>26489</v>
      </c>
      <c r="B1306" s="5" t="s">
        <v>1463</v>
      </c>
      <c r="C1306" s="17">
        <v>19900101</v>
      </c>
      <c r="D1306" s="17">
        <v>22991231</v>
      </c>
      <c r="E1306" s="25">
        <v>1450.8</v>
      </c>
    </row>
    <row r="1307" spans="1:5" x14ac:dyDescent="0.3">
      <c r="A1307" s="17" t="str">
        <f>"26490"</f>
        <v>26490</v>
      </c>
      <c r="B1307" s="5" t="s">
        <v>1464</v>
      </c>
      <c r="C1307" s="17">
        <v>19900101</v>
      </c>
      <c r="D1307" s="17">
        <v>22991231</v>
      </c>
      <c r="E1307" s="25">
        <v>1450.8</v>
      </c>
    </row>
    <row r="1308" spans="1:5" x14ac:dyDescent="0.3">
      <c r="A1308" s="17" t="str">
        <f>"26492"</f>
        <v>26492</v>
      </c>
      <c r="B1308" s="5" t="s">
        <v>1465</v>
      </c>
      <c r="C1308" s="17">
        <v>19900101</v>
      </c>
      <c r="D1308" s="17">
        <v>22991231</v>
      </c>
      <c r="E1308" s="25">
        <v>1450.8</v>
      </c>
    </row>
    <row r="1309" spans="1:5" x14ac:dyDescent="0.3">
      <c r="A1309" s="17" t="str">
        <f>"26494"</f>
        <v>26494</v>
      </c>
      <c r="B1309" s="5" t="s">
        <v>1466</v>
      </c>
      <c r="C1309" s="17">
        <v>19900101</v>
      </c>
      <c r="D1309" s="17">
        <v>22991231</v>
      </c>
      <c r="E1309" s="25">
        <v>1450.8</v>
      </c>
    </row>
    <row r="1310" spans="1:5" x14ac:dyDescent="0.3">
      <c r="A1310" s="17" t="str">
        <f>"26496"</f>
        <v>26496</v>
      </c>
      <c r="B1310" s="5" t="s">
        <v>1467</v>
      </c>
      <c r="C1310" s="17">
        <v>19900101</v>
      </c>
      <c r="D1310" s="17">
        <v>22991231</v>
      </c>
      <c r="E1310" s="25">
        <v>1450.8</v>
      </c>
    </row>
    <row r="1311" spans="1:5" x14ac:dyDescent="0.3">
      <c r="A1311" s="17" t="str">
        <f>"26497"</f>
        <v>26497</v>
      </c>
      <c r="B1311" s="5" t="s">
        <v>1468</v>
      </c>
      <c r="C1311" s="17">
        <v>19900101</v>
      </c>
      <c r="D1311" s="17">
        <v>22991231</v>
      </c>
      <c r="E1311" s="25">
        <v>1450.8</v>
      </c>
    </row>
    <row r="1312" spans="1:5" x14ac:dyDescent="0.3">
      <c r="A1312" s="17" t="str">
        <f>"26498"</f>
        <v>26498</v>
      </c>
      <c r="B1312" s="5" t="s">
        <v>1469</v>
      </c>
      <c r="C1312" s="17">
        <v>19900101</v>
      </c>
      <c r="D1312" s="17">
        <v>22991231</v>
      </c>
      <c r="E1312" s="25">
        <v>1450.8</v>
      </c>
    </row>
    <row r="1313" spans="1:5" x14ac:dyDescent="0.3">
      <c r="A1313" s="17" t="str">
        <f>"26499"</f>
        <v>26499</v>
      </c>
      <c r="B1313" s="5" t="s">
        <v>1470</v>
      </c>
      <c r="C1313" s="17">
        <v>19900101</v>
      </c>
      <c r="D1313" s="17">
        <v>22991231</v>
      </c>
      <c r="E1313" s="25">
        <v>1450.8</v>
      </c>
    </row>
    <row r="1314" spans="1:5" x14ac:dyDescent="0.3">
      <c r="A1314" s="17" t="str">
        <f>"26500"</f>
        <v>26500</v>
      </c>
      <c r="B1314" s="5" t="s">
        <v>1471</v>
      </c>
      <c r="C1314" s="17">
        <v>19900101</v>
      </c>
      <c r="D1314" s="17">
        <v>22991231</v>
      </c>
      <c r="E1314" s="25">
        <v>3240.75</v>
      </c>
    </row>
    <row r="1315" spans="1:5" ht="26" x14ac:dyDescent="0.3">
      <c r="A1315" s="17" t="str">
        <f>"26502"</f>
        <v>26502</v>
      </c>
      <c r="B1315" s="5" t="s">
        <v>1472</v>
      </c>
      <c r="C1315" s="17">
        <v>19900101</v>
      </c>
      <c r="D1315" s="17">
        <v>22991231</v>
      </c>
      <c r="E1315" s="25">
        <v>1450.8</v>
      </c>
    </row>
    <row r="1316" spans="1:5" x14ac:dyDescent="0.3">
      <c r="A1316" s="17" t="str">
        <f>"26508"</f>
        <v>26508</v>
      </c>
      <c r="B1316" s="5" t="s">
        <v>1473</v>
      </c>
      <c r="C1316" s="17">
        <v>19900101</v>
      </c>
      <c r="D1316" s="17">
        <v>22991231</v>
      </c>
      <c r="E1316" s="25">
        <v>1450.8</v>
      </c>
    </row>
    <row r="1317" spans="1:5" x14ac:dyDescent="0.3">
      <c r="A1317" s="17" t="str">
        <f>"26510"</f>
        <v>26510</v>
      </c>
      <c r="B1317" s="5" t="s">
        <v>1474</v>
      </c>
      <c r="C1317" s="17">
        <v>19900101</v>
      </c>
      <c r="D1317" s="17">
        <v>22991231</v>
      </c>
      <c r="E1317" s="25">
        <v>1450.8</v>
      </c>
    </row>
    <row r="1318" spans="1:5" ht="26" x14ac:dyDescent="0.3">
      <c r="A1318" s="17" t="str">
        <f>"26516"</f>
        <v>26516</v>
      </c>
      <c r="B1318" s="5" t="s">
        <v>1475</v>
      </c>
      <c r="C1318" s="17">
        <v>19900101</v>
      </c>
      <c r="D1318" s="17">
        <v>22991231</v>
      </c>
      <c r="E1318" s="25">
        <v>1861.97</v>
      </c>
    </row>
    <row r="1319" spans="1:5" ht="26" x14ac:dyDescent="0.3">
      <c r="A1319" s="17" t="str">
        <f>"26517"</f>
        <v>26517</v>
      </c>
      <c r="B1319" s="5" t="s">
        <v>1476</v>
      </c>
      <c r="C1319" s="17">
        <v>19900101</v>
      </c>
      <c r="D1319" s="17">
        <v>22991231</v>
      </c>
      <c r="E1319" s="25">
        <v>1450.8</v>
      </c>
    </row>
    <row r="1320" spans="1:5" ht="26" x14ac:dyDescent="0.3">
      <c r="A1320" s="17" t="str">
        <f>"26518"</f>
        <v>26518</v>
      </c>
      <c r="B1320" s="5" t="s">
        <v>1477</v>
      </c>
      <c r="C1320" s="17">
        <v>19900101</v>
      </c>
      <c r="D1320" s="17">
        <v>22991231</v>
      </c>
      <c r="E1320" s="25">
        <v>3240.75</v>
      </c>
    </row>
    <row r="1321" spans="1:5" ht="26" x14ac:dyDescent="0.3">
      <c r="A1321" s="17" t="str">
        <f>"26520"</f>
        <v>26520</v>
      </c>
      <c r="B1321" s="5" t="s">
        <v>1478</v>
      </c>
      <c r="C1321" s="17">
        <v>19900101</v>
      </c>
      <c r="D1321" s="17">
        <v>22991231</v>
      </c>
      <c r="E1321" s="25">
        <v>1450.8</v>
      </c>
    </row>
    <row r="1322" spans="1:5" x14ac:dyDescent="0.3">
      <c r="A1322" s="17" t="str">
        <f>"26525"</f>
        <v>26525</v>
      </c>
      <c r="B1322" s="5" t="s">
        <v>1479</v>
      </c>
      <c r="C1322" s="17">
        <v>19900101</v>
      </c>
      <c r="D1322" s="17">
        <v>22991231</v>
      </c>
      <c r="E1322" s="25">
        <v>782.3</v>
      </c>
    </row>
    <row r="1323" spans="1:5" ht="26" x14ac:dyDescent="0.3">
      <c r="A1323" s="17" t="str">
        <f>"26530"</f>
        <v>26530</v>
      </c>
      <c r="B1323" s="5" t="s">
        <v>1480</v>
      </c>
      <c r="C1323" s="17">
        <v>19900101</v>
      </c>
      <c r="D1323" s="17">
        <v>22991231</v>
      </c>
      <c r="E1323" s="25">
        <v>4183.3500000000004</v>
      </c>
    </row>
    <row r="1324" spans="1:5" ht="26" x14ac:dyDescent="0.3">
      <c r="A1324" s="17" t="str">
        <f>"26531"</f>
        <v>26531</v>
      </c>
      <c r="B1324" s="5" t="s">
        <v>1481</v>
      </c>
      <c r="C1324" s="17">
        <v>19900101</v>
      </c>
      <c r="D1324" s="17">
        <v>22991231</v>
      </c>
      <c r="E1324" s="25">
        <v>4398.93</v>
      </c>
    </row>
    <row r="1325" spans="1:5" x14ac:dyDescent="0.3">
      <c r="A1325" s="17" t="str">
        <f>"26535"</f>
        <v>26535</v>
      </c>
      <c r="B1325" s="5" t="s">
        <v>1482</v>
      </c>
      <c r="C1325" s="17">
        <v>19900101</v>
      </c>
      <c r="D1325" s="17">
        <v>22991231</v>
      </c>
      <c r="E1325" s="25">
        <v>1450.8</v>
      </c>
    </row>
    <row r="1326" spans="1:5" x14ac:dyDescent="0.3">
      <c r="A1326" s="17" t="str">
        <f>"26536"</f>
        <v>26536</v>
      </c>
      <c r="B1326" s="5" t="s">
        <v>1483</v>
      </c>
      <c r="C1326" s="17">
        <v>19900101</v>
      </c>
      <c r="D1326" s="17">
        <v>22991231</v>
      </c>
      <c r="E1326" s="25">
        <v>4250.05</v>
      </c>
    </row>
    <row r="1327" spans="1:5" ht="26" x14ac:dyDescent="0.3">
      <c r="A1327" s="17" t="str">
        <f>"26540"</f>
        <v>26540</v>
      </c>
      <c r="B1327" s="5" t="s">
        <v>1484</v>
      </c>
      <c r="C1327" s="17">
        <v>19900101</v>
      </c>
      <c r="D1327" s="17">
        <v>22991231</v>
      </c>
      <c r="E1327" s="25">
        <v>1450.8</v>
      </c>
    </row>
    <row r="1328" spans="1:5" ht="26" x14ac:dyDescent="0.3">
      <c r="A1328" s="17" t="str">
        <f>"26541"</f>
        <v>26541</v>
      </c>
      <c r="B1328" s="5" t="s">
        <v>1485</v>
      </c>
      <c r="C1328" s="17">
        <v>19900101</v>
      </c>
      <c r="D1328" s="17">
        <v>22991231</v>
      </c>
      <c r="E1328" s="25">
        <v>1919.99</v>
      </c>
    </row>
    <row r="1329" spans="1:5" ht="26" x14ac:dyDescent="0.3">
      <c r="A1329" s="17" t="str">
        <f>"26542"</f>
        <v>26542</v>
      </c>
      <c r="B1329" s="5" t="s">
        <v>1486</v>
      </c>
      <c r="C1329" s="17">
        <v>19900101</v>
      </c>
      <c r="D1329" s="17">
        <v>22991231</v>
      </c>
      <c r="E1329" s="25">
        <v>1450.8</v>
      </c>
    </row>
    <row r="1330" spans="1:5" x14ac:dyDescent="0.3">
      <c r="A1330" s="17" t="str">
        <f>"26545"</f>
        <v>26545</v>
      </c>
      <c r="B1330" s="5" t="s">
        <v>1487</v>
      </c>
      <c r="C1330" s="17">
        <v>19900101</v>
      </c>
      <c r="D1330" s="17">
        <v>22991231</v>
      </c>
      <c r="E1330" s="25">
        <v>1450.8</v>
      </c>
    </row>
    <row r="1331" spans="1:5" x14ac:dyDescent="0.3">
      <c r="A1331" s="17" t="str">
        <f>"26546"</f>
        <v>26546</v>
      </c>
      <c r="B1331" s="5" t="s">
        <v>1488</v>
      </c>
      <c r="C1331" s="17">
        <v>19970101</v>
      </c>
      <c r="D1331" s="17">
        <v>22991231</v>
      </c>
      <c r="E1331" s="25">
        <v>3240.75</v>
      </c>
    </row>
    <row r="1332" spans="1:5" x14ac:dyDescent="0.3">
      <c r="A1332" s="17" t="str">
        <f>"26548"</f>
        <v>26548</v>
      </c>
      <c r="B1332" s="5" t="s">
        <v>1489</v>
      </c>
      <c r="C1332" s="17">
        <v>20060101</v>
      </c>
      <c r="D1332" s="17">
        <v>22991231</v>
      </c>
      <c r="E1332" s="25">
        <v>1450.8</v>
      </c>
    </row>
    <row r="1333" spans="1:5" x14ac:dyDescent="0.3">
      <c r="A1333" s="17" t="str">
        <f>"26550"</f>
        <v>26550</v>
      </c>
      <c r="B1333" s="5" t="s">
        <v>1490</v>
      </c>
      <c r="C1333" s="17">
        <v>19900101</v>
      </c>
      <c r="D1333" s="17">
        <v>22991231</v>
      </c>
      <c r="E1333" s="25">
        <v>1450.8</v>
      </c>
    </row>
    <row r="1334" spans="1:5" x14ac:dyDescent="0.3">
      <c r="A1334" s="17" t="str">
        <f>"26555"</f>
        <v>26555</v>
      </c>
      <c r="B1334" s="5" t="s">
        <v>1491</v>
      </c>
      <c r="C1334" s="17">
        <v>19900101</v>
      </c>
      <c r="D1334" s="17">
        <v>22991231</v>
      </c>
      <c r="E1334" s="25">
        <v>3240.75</v>
      </c>
    </row>
    <row r="1335" spans="1:5" x14ac:dyDescent="0.3">
      <c r="A1335" s="17" t="str">
        <f>"26560"</f>
        <v>26560</v>
      </c>
      <c r="B1335" s="5" t="s">
        <v>1492</v>
      </c>
      <c r="C1335" s="17">
        <v>19900101</v>
      </c>
      <c r="D1335" s="17">
        <v>22991231</v>
      </c>
      <c r="E1335" s="25">
        <v>782.3</v>
      </c>
    </row>
    <row r="1336" spans="1:5" ht="26" x14ac:dyDescent="0.3">
      <c r="A1336" s="17" t="str">
        <f>"26561"</f>
        <v>26561</v>
      </c>
      <c r="B1336" s="5" t="s">
        <v>1493</v>
      </c>
      <c r="C1336" s="17">
        <v>19900101</v>
      </c>
      <c r="D1336" s="17">
        <v>22991231</v>
      </c>
      <c r="E1336" s="25">
        <v>1450.8</v>
      </c>
    </row>
    <row r="1337" spans="1:5" x14ac:dyDescent="0.3">
      <c r="A1337" s="17" t="str">
        <f>"26562"</f>
        <v>26562</v>
      </c>
      <c r="B1337" s="5" t="s">
        <v>1494</v>
      </c>
      <c r="C1337" s="17">
        <v>19900101</v>
      </c>
      <c r="D1337" s="17">
        <v>22991231</v>
      </c>
      <c r="E1337" s="25">
        <v>1450.8</v>
      </c>
    </row>
    <row r="1338" spans="1:5" x14ac:dyDescent="0.3">
      <c r="A1338" s="17" t="str">
        <f>"26565"</f>
        <v>26565</v>
      </c>
      <c r="B1338" s="5" t="s">
        <v>1495</v>
      </c>
      <c r="C1338" s="17">
        <v>19900101</v>
      </c>
      <c r="D1338" s="17">
        <v>22991231</v>
      </c>
      <c r="E1338" s="25">
        <v>1450.8</v>
      </c>
    </row>
    <row r="1339" spans="1:5" x14ac:dyDescent="0.3">
      <c r="A1339" s="17" t="str">
        <f>"26567"</f>
        <v>26567</v>
      </c>
      <c r="B1339" s="5" t="s">
        <v>1496</v>
      </c>
      <c r="C1339" s="17">
        <v>19900101</v>
      </c>
      <c r="D1339" s="17">
        <v>22991231</v>
      </c>
      <c r="E1339" s="25">
        <v>1450.8</v>
      </c>
    </row>
    <row r="1340" spans="1:5" x14ac:dyDescent="0.3">
      <c r="A1340" s="17" t="str">
        <f>"26568"</f>
        <v>26568</v>
      </c>
      <c r="B1340" s="5" t="s">
        <v>1497</v>
      </c>
      <c r="C1340" s="17">
        <v>19900101</v>
      </c>
      <c r="D1340" s="17">
        <v>22991231</v>
      </c>
      <c r="E1340" s="25">
        <v>4365.04</v>
      </c>
    </row>
    <row r="1341" spans="1:5" x14ac:dyDescent="0.3">
      <c r="A1341" s="17" t="str">
        <f>"26580"</f>
        <v>26580</v>
      </c>
      <c r="B1341" s="5" t="s">
        <v>1498</v>
      </c>
      <c r="C1341" s="17">
        <v>19900101</v>
      </c>
      <c r="D1341" s="17">
        <v>22991231</v>
      </c>
      <c r="E1341" s="25">
        <v>1450.8</v>
      </c>
    </row>
    <row r="1342" spans="1:5" x14ac:dyDescent="0.3">
      <c r="A1342" s="17" t="str">
        <f>"26587"</f>
        <v>26587</v>
      </c>
      <c r="B1342" s="5" t="s">
        <v>1499</v>
      </c>
      <c r="C1342" s="17">
        <v>19900101</v>
      </c>
      <c r="D1342" s="17">
        <v>22991231</v>
      </c>
      <c r="E1342" s="25">
        <v>1450.8</v>
      </c>
    </row>
    <row r="1343" spans="1:5" x14ac:dyDescent="0.3">
      <c r="A1343" s="17" t="str">
        <f>"26590"</f>
        <v>26590</v>
      </c>
      <c r="B1343" s="5" t="s">
        <v>1500</v>
      </c>
      <c r="C1343" s="17">
        <v>19900101</v>
      </c>
      <c r="D1343" s="17">
        <v>22991231</v>
      </c>
      <c r="E1343" s="25">
        <v>782.3</v>
      </c>
    </row>
    <row r="1344" spans="1:5" x14ac:dyDescent="0.3">
      <c r="A1344" s="17" t="str">
        <f>"26591"</f>
        <v>26591</v>
      </c>
      <c r="B1344" s="5" t="s">
        <v>1501</v>
      </c>
      <c r="C1344" s="17">
        <v>19900101</v>
      </c>
      <c r="D1344" s="17">
        <v>22991231</v>
      </c>
      <c r="E1344" s="25">
        <v>1450.8</v>
      </c>
    </row>
    <row r="1345" spans="1:5" x14ac:dyDescent="0.3">
      <c r="A1345" s="17" t="str">
        <f>"26593"</f>
        <v>26593</v>
      </c>
      <c r="B1345" s="5" t="s">
        <v>1502</v>
      </c>
      <c r="C1345" s="17">
        <v>19900101</v>
      </c>
      <c r="D1345" s="17">
        <v>22991231</v>
      </c>
      <c r="E1345" s="25">
        <v>1450.8</v>
      </c>
    </row>
    <row r="1346" spans="1:5" x14ac:dyDescent="0.3">
      <c r="A1346" s="17" t="str">
        <f>"26596"</f>
        <v>26596</v>
      </c>
      <c r="B1346" s="5" t="s">
        <v>1503</v>
      </c>
      <c r="C1346" s="17">
        <v>19900101</v>
      </c>
      <c r="D1346" s="17">
        <v>22991231</v>
      </c>
      <c r="E1346" s="25">
        <v>1450.8</v>
      </c>
    </row>
    <row r="1347" spans="1:5" x14ac:dyDescent="0.3">
      <c r="A1347" s="17" t="str">
        <f>"26600"</f>
        <v>26600</v>
      </c>
      <c r="B1347" s="5" t="s">
        <v>1504</v>
      </c>
      <c r="C1347" s="17">
        <v>19900101</v>
      </c>
      <c r="D1347" s="17">
        <v>22991231</v>
      </c>
      <c r="E1347" s="25">
        <v>116.84</v>
      </c>
    </row>
    <row r="1348" spans="1:5" ht="26" x14ac:dyDescent="0.3">
      <c r="A1348" s="17" t="str">
        <f>"26605"</f>
        <v>26605</v>
      </c>
      <c r="B1348" s="5" t="s">
        <v>1505</v>
      </c>
      <c r="C1348" s="17">
        <v>19900101</v>
      </c>
      <c r="D1348" s="17">
        <v>22991231</v>
      </c>
      <c r="E1348" s="25">
        <v>116.84</v>
      </c>
    </row>
    <row r="1349" spans="1:5" ht="39" x14ac:dyDescent="0.3">
      <c r="A1349" s="17" t="str">
        <f>"26607"</f>
        <v>26607</v>
      </c>
      <c r="B1349" s="5" t="s">
        <v>1506</v>
      </c>
      <c r="C1349" s="17">
        <v>19900101</v>
      </c>
      <c r="D1349" s="17">
        <v>22991231</v>
      </c>
      <c r="E1349" s="25">
        <v>1450.8</v>
      </c>
    </row>
    <row r="1350" spans="1:5" ht="26" x14ac:dyDescent="0.3">
      <c r="A1350" s="17" t="str">
        <f>"26608"</f>
        <v>26608</v>
      </c>
      <c r="B1350" s="5" t="s">
        <v>1507</v>
      </c>
      <c r="C1350" s="17">
        <v>20030801</v>
      </c>
      <c r="D1350" s="17">
        <v>22991231</v>
      </c>
      <c r="E1350" s="25">
        <v>1450.8</v>
      </c>
    </row>
    <row r="1351" spans="1:5" x14ac:dyDescent="0.3">
      <c r="A1351" s="17" t="str">
        <f>"26615"</f>
        <v>26615</v>
      </c>
      <c r="B1351" s="5" t="s">
        <v>1508</v>
      </c>
      <c r="C1351" s="17">
        <v>19900101</v>
      </c>
      <c r="D1351" s="17">
        <v>22991231</v>
      </c>
      <c r="E1351" s="25">
        <v>1450.8</v>
      </c>
    </row>
    <row r="1352" spans="1:5" ht="26" x14ac:dyDescent="0.3">
      <c r="A1352" s="17" t="str">
        <f>"26641"</f>
        <v>26641</v>
      </c>
      <c r="B1352" s="5" t="s">
        <v>1509</v>
      </c>
      <c r="C1352" s="17">
        <v>19900101</v>
      </c>
      <c r="D1352" s="17">
        <v>22991231</v>
      </c>
      <c r="E1352" s="25">
        <v>116.84</v>
      </c>
    </row>
    <row r="1353" spans="1:5" ht="26" x14ac:dyDescent="0.3">
      <c r="A1353" s="17" t="str">
        <f>"26645"</f>
        <v>26645</v>
      </c>
      <c r="B1353" s="5" t="s">
        <v>1510</v>
      </c>
      <c r="C1353" s="17">
        <v>19900101</v>
      </c>
      <c r="D1353" s="17">
        <v>22991231</v>
      </c>
      <c r="E1353" s="25">
        <v>782.3</v>
      </c>
    </row>
    <row r="1354" spans="1:5" ht="26" x14ac:dyDescent="0.3">
      <c r="A1354" s="17" t="str">
        <f>"26650"</f>
        <v>26650</v>
      </c>
      <c r="B1354" s="5" t="s">
        <v>1511</v>
      </c>
      <c r="C1354" s="17">
        <v>19900101</v>
      </c>
      <c r="D1354" s="17">
        <v>22991231</v>
      </c>
      <c r="E1354" s="25">
        <v>1450.8</v>
      </c>
    </row>
    <row r="1355" spans="1:5" x14ac:dyDescent="0.3">
      <c r="A1355" s="17" t="str">
        <f>"26665"</f>
        <v>26665</v>
      </c>
      <c r="B1355" s="5" t="s">
        <v>1512</v>
      </c>
      <c r="C1355" s="17">
        <v>19900101</v>
      </c>
      <c r="D1355" s="17">
        <v>22991231</v>
      </c>
      <c r="E1355" s="25">
        <v>1450.8</v>
      </c>
    </row>
    <row r="1356" spans="1:5" ht="26" x14ac:dyDescent="0.3">
      <c r="A1356" s="17" t="str">
        <f>"26670"</f>
        <v>26670</v>
      </c>
      <c r="B1356" s="5" t="s">
        <v>1513</v>
      </c>
      <c r="C1356" s="17">
        <v>19900101</v>
      </c>
      <c r="D1356" s="17">
        <v>22991231</v>
      </c>
      <c r="E1356" s="25">
        <v>116.84</v>
      </c>
    </row>
    <row r="1357" spans="1:5" ht="26" x14ac:dyDescent="0.3">
      <c r="A1357" s="17" t="str">
        <f>"26675"</f>
        <v>26675</v>
      </c>
      <c r="B1357" s="5" t="s">
        <v>1514</v>
      </c>
      <c r="C1357" s="17">
        <v>19900101</v>
      </c>
      <c r="D1357" s="17">
        <v>22991231</v>
      </c>
      <c r="E1357" s="25">
        <v>782.3</v>
      </c>
    </row>
    <row r="1358" spans="1:5" ht="26" x14ac:dyDescent="0.3">
      <c r="A1358" s="17" t="str">
        <f>"26676"</f>
        <v>26676</v>
      </c>
      <c r="B1358" s="5" t="s">
        <v>1515</v>
      </c>
      <c r="C1358" s="17">
        <v>19900101</v>
      </c>
      <c r="D1358" s="17">
        <v>22991231</v>
      </c>
      <c r="E1358" s="25">
        <v>1450.8</v>
      </c>
    </row>
    <row r="1359" spans="1:5" x14ac:dyDescent="0.3">
      <c r="A1359" s="17" t="str">
        <f>"26685"</f>
        <v>26685</v>
      </c>
      <c r="B1359" s="5" t="s">
        <v>1516</v>
      </c>
      <c r="C1359" s="17">
        <v>19900101</v>
      </c>
      <c r="D1359" s="17">
        <v>22991231</v>
      </c>
      <c r="E1359" s="25">
        <v>1450.8</v>
      </c>
    </row>
    <row r="1360" spans="1:5" ht="26" x14ac:dyDescent="0.3">
      <c r="A1360" s="17" t="str">
        <f>"26686"</f>
        <v>26686</v>
      </c>
      <c r="B1360" s="5" t="s">
        <v>1517</v>
      </c>
      <c r="C1360" s="17">
        <v>19900101</v>
      </c>
      <c r="D1360" s="17">
        <v>22991231</v>
      </c>
      <c r="E1360" s="25">
        <v>1450.8</v>
      </c>
    </row>
    <row r="1361" spans="1:5" ht="26" x14ac:dyDescent="0.3">
      <c r="A1361" s="17" t="str">
        <f>"26700"</f>
        <v>26700</v>
      </c>
      <c r="B1361" s="5" t="s">
        <v>1518</v>
      </c>
      <c r="C1361" s="17">
        <v>19900101</v>
      </c>
      <c r="D1361" s="17">
        <v>22991231</v>
      </c>
      <c r="E1361" s="25">
        <v>116.84</v>
      </c>
    </row>
    <row r="1362" spans="1:5" ht="26" x14ac:dyDescent="0.3">
      <c r="A1362" s="17" t="str">
        <f>"26705"</f>
        <v>26705</v>
      </c>
      <c r="B1362" s="5" t="s">
        <v>1519</v>
      </c>
      <c r="C1362" s="17">
        <v>19900101</v>
      </c>
      <c r="D1362" s="17">
        <v>22991231</v>
      </c>
      <c r="E1362" s="25">
        <v>782.3</v>
      </c>
    </row>
    <row r="1363" spans="1:5" ht="26" x14ac:dyDescent="0.3">
      <c r="A1363" s="17" t="str">
        <f>"26706"</f>
        <v>26706</v>
      </c>
      <c r="B1363" s="5" t="s">
        <v>1520</v>
      </c>
      <c r="C1363" s="17">
        <v>19900101</v>
      </c>
      <c r="D1363" s="17">
        <v>22991231</v>
      </c>
      <c r="E1363" s="25">
        <v>1450.8</v>
      </c>
    </row>
    <row r="1364" spans="1:5" ht="26" x14ac:dyDescent="0.3">
      <c r="A1364" s="17" t="str">
        <f>"26715"</f>
        <v>26715</v>
      </c>
      <c r="B1364" s="5" t="s">
        <v>1521</v>
      </c>
      <c r="C1364" s="17">
        <v>19900101</v>
      </c>
      <c r="D1364" s="17">
        <v>22991231</v>
      </c>
      <c r="E1364" s="25">
        <v>1450.8</v>
      </c>
    </row>
    <row r="1365" spans="1:5" ht="26" x14ac:dyDescent="0.3">
      <c r="A1365" s="17" t="str">
        <f>"26720"</f>
        <v>26720</v>
      </c>
      <c r="B1365" s="5" t="s">
        <v>1522</v>
      </c>
      <c r="C1365" s="17">
        <v>19900101</v>
      </c>
      <c r="D1365" s="17">
        <v>22991231</v>
      </c>
      <c r="E1365" s="25">
        <v>116.84</v>
      </c>
    </row>
    <row r="1366" spans="1:5" ht="26" x14ac:dyDescent="0.3">
      <c r="A1366" s="17" t="str">
        <f>"26725"</f>
        <v>26725</v>
      </c>
      <c r="B1366" s="5" t="s">
        <v>1523</v>
      </c>
      <c r="C1366" s="17">
        <v>19900101</v>
      </c>
      <c r="D1366" s="17">
        <v>22991231</v>
      </c>
      <c r="E1366" s="25">
        <v>116.84</v>
      </c>
    </row>
    <row r="1367" spans="1:5" ht="39" x14ac:dyDescent="0.3">
      <c r="A1367" s="17" t="str">
        <f>"26727"</f>
        <v>26727</v>
      </c>
      <c r="B1367" s="5" t="s">
        <v>1524</v>
      </c>
      <c r="C1367" s="17">
        <v>19900101</v>
      </c>
      <c r="D1367" s="17">
        <v>22991231</v>
      </c>
      <c r="E1367" s="25">
        <v>1450.8</v>
      </c>
    </row>
    <row r="1368" spans="1:5" ht="26" x14ac:dyDescent="0.3">
      <c r="A1368" s="17" t="str">
        <f>"26735"</f>
        <v>26735</v>
      </c>
      <c r="B1368" s="5" t="s">
        <v>1525</v>
      </c>
      <c r="C1368" s="17">
        <v>19900101</v>
      </c>
      <c r="D1368" s="17">
        <v>22991231</v>
      </c>
      <c r="E1368" s="25">
        <v>1450.8</v>
      </c>
    </row>
    <row r="1369" spans="1:5" ht="26" x14ac:dyDescent="0.3">
      <c r="A1369" s="17" t="str">
        <f>"26740"</f>
        <v>26740</v>
      </c>
      <c r="B1369" s="5" t="s">
        <v>1526</v>
      </c>
      <c r="C1369" s="17">
        <v>19900101</v>
      </c>
      <c r="D1369" s="17">
        <v>22991231</v>
      </c>
      <c r="E1369" s="25">
        <v>116.84</v>
      </c>
    </row>
    <row r="1370" spans="1:5" ht="26" x14ac:dyDescent="0.3">
      <c r="A1370" s="17" t="str">
        <f>"26742"</f>
        <v>26742</v>
      </c>
      <c r="B1370" s="5" t="s">
        <v>1527</v>
      </c>
      <c r="C1370" s="17">
        <v>19900101</v>
      </c>
      <c r="D1370" s="17">
        <v>22991231</v>
      </c>
      <c r="E1370" s="25">
        <v>782.3</v>
      </c>
    </row>
    <row r="1371" spans="1:5" ht="26" x14ac:dyDescent="0.3">
      <c r="A1371" s="17" t="str">
        <f>"26746"</f>
        <v>26746</v>
      </c>
      <c r="B1371" s="5" t="s">
        <v>1528</v>
      </c>
      <c r="C1371" s="17">
        <v>19900101</v>
      </c>
      <c r="D1371" s="17">
        <v>22991231</v>
      </c>
      <c r="E1371" s="25">
        <v>1450.8</v>
      </c>
    </row>
    <row r="1372" spans="1:5" ht="26" x14ac:dyDescent="0.3">
      <c r="A1372" s="17" t="str">
        <f>"26750"</f>
        <v>26750</v>
      </c>
      <c r="B1372" s="5" t="s">
        <v>1529</v>
      </c>
      <c r="C1372" s="17">
        <v>19900101</v>
      </c>
      <c r="D1372" s="17">
        <v>22991231</v>
      </c>
      <c r="E1372" s="25">
        <v>116.84</v>
      </c>
    </row>
    <row r="1373" spans="1:5" ht="26" x14ac:dyDescent="0.3">
      <c r="A1373" s="17" t="str">
        <f>"26755"</f>
        <v>26755</v>
      </c>
      <c r="B1373" s="5" t="s">
        <v>1530</v>
      </c>
      <c r="C1373" s="17">
        <v>19900101</v>
      </c>
      <c r="D1373" s="17">
        <v>22991231</v>
      </c>
      <c r="E1373" s="25">
        <v>116.84</v>
      </c>
    </row>
    <row r="1374" spans="1:5" ht="26" x14ac:dyDescent="0.3">
      <c r="A1374" s="17" t="str">
        <f>"26756"</f>
        <v>26756</v>
      </c>
      <c r="B1374" s="5" t="s">
        <v>1531</v>
      </c>
      <c r="C1374" s="17">
        <v>19900101</v>
      </c>
      <c r="D1374" s="17">
        <v>22991231</v>
      </c>
      <c r="E1374" s="25">
        <v>1450.8</v>
      </c>
    </row>
    <row r="1375" spans="1:5" x14ac:dyDescent="0.3">
      <c r="A1375" s="17" t="str">
        <f>"26765"</f>
        <v>26765</v>
      </c>
      <c r="B1375" s="5" t="s">
        <v>1532</v>
      </c>
      <c r="C1375" s="17">
        <v>19900101</v>
      </c>
      <c r="D1375" s="17">
        <v>22991231</v>
      </c>
      <c r="E1375" s="25">
        <v>1450.8</v>
      </c>
    </row>
    <row r="1376" spans="1:5" ht="26" x14ac:dyDescent="0.3">
      <c r="A1376" s="17" t="str">
        <f>"26770"</f>
        <v>26770</v>
      </c>
      <c r="B1376" s="5" t="s">
        <v>1533</v>
      </c>
      <c r="C1376" s="17">
        <v>19900101</v>
      </c>
      <c r="D1376" s="17">
        <v>22991231</v>
      </c>
      <c r="E1376" s="25">
        <v>116.84</v>
      </c>
    </row>
    <row r="1377" spans="1:5" ht="26" x14ac:dyDescent="0.3">
      <c r="A1377" s="17" t="str">
        <f>"26775"</f>
        <v>26775</v>
      </c>
      <c r="B1377" s="5" t="s">
        <v>1534</v>
      </c>
      <c r="C1377" s="17">
        <v>19900101</v>
      </c>
      <c r="D1377" s="17">
        <v>22991231</v>
      </c>
      <c r="E1377" s="25">
        <v>133.06</v>
      </c>
    </row>
    <row r="1378" spans="1:5" ht="26" x14ac:dyDescent="0.3">
      <c r="A1378" s="17" t="str">
        <f>"26776"</f>
        <v>26776</v>
      </c>
      <c r="B1378" s="5" t="s">
        <v>1535</v>
      </c>
      <c r="C1378" s="17">
        <v>19900101</v>
      </c>
      <c r="D1378" s="17">
        <v>22991231</v>
      </c>
      <c r="E1378" s="25">
        <v>1450.8</v>
      </c>
    </row>
    <row r="1379" spans="1:5" x14ac:dyDescent="0.3">
      <c r="A1379" s="17" t="str">
        <f>"26785"</f>
        <v>26785</v>
      </c>
      <c r="B1379" s="5" t="s">
        <v>1536</v>
      </c>
      <c r="C1379" s="17">
        <v>19900101</v>
      </c>
      <c r="D1379" s="17">
        <v>22991231</v>
      </c>
      <c r="E1379" s="25">
        <v>1450.8</v>
      </c>
    </row>
    <row r="1380" spans="1:5" x14ac:dyDescent="0.3">
      <c r="A1380" s="17" t="str">
        <f>"26820"</f>
        <v>26820</v>
      </c>
      <c r="B1380" s="5" t="s">
        <v>1537</v>
      </c>
      <c r="C1380" s="17">
        <v>19900101</v>
      </c>
      <c r="D1380" s="17">
        <v>22991231</v>
      </c>
      <c r="E1380" s="25">
        <v>3240.75</v>
      </c>
    </row>
    <row r="1381" spans="1:5" x14ac:dyDescent="0.3">
      <c r="A1381" s="17" t="str">
        <f>"26841"</f>
        <v>26841</v>
      </c>
      <c r="B1381" s="5" t="s">
        <v>1538</v>
      </c>
      <c r="C1381" s="17">
        <v>19900101</v>
      </c>
      <c r="D1381" s="17">
        <v>22991231</v>
      </c>
      <c r="E1381" s="25">
        <v>3240.75</v>
      </c>
    </row>
    <row r="1382" spans="1:5" x14ac:dyDescent="0.3">
      <c r="A1382" s="17" t="str">
        <f>"26842"</f>
        <v>26842</v>
      </c>
      <c r="B1382" s="5" t="s">
        <v>1539</v>
      </c>
      <c r="C1382" s="17">
        <v>19900101</v>
      </c>
      <c r="D1382" s="17">
        <v>22991231</v>
      </c>
      <c r="E1382" s="25">
        <v>3240.75</v>
      </c>
    </row>
    <row r="1383" spans="1:5" x14ac:dyDescent="0.3">
      <c r="A1383" s="17" t="str">
        <f>"26843"</f>
        <v>26843</v>
      </c>
      <c r="B1383" s="5" t="s">
        <v>1540</v>
      </c>
      <c r="C1383" s="17">
        <v>19900101</v>
      </c>
      <c r="D1383" s="17">
        <v>22991231</v>
      </c>
      <c r="E1383" s="25">
        <v>3240.75</v>
      </c>
    </row>
    <row r="1384" spans="1:5" x14ac:dyDescent="0.3">
      <c r="A1384" s="17" t="str">
        <f>"26844"</f>
        <v>26844</v>
      </c>
      <c r="B1384" s="5" t="s">
        <v>1541</v>
      </c>
      <c r="C1384" s="17">
        <v>19900101</v>
      </c>
      <c r="D1384" s="17">
        <v>22991231</v>
      </c>
      <c r="E1384" s="25">
        <v>4440.6899999999996</v>
      </c>
    </row>
    <row r="1385" spans="1:5" x14ac:dyDescent="0.3">
      <c r="A1385" s="17" t="str">
        <f>"26850"</f>
        <v>26850</v>
      </c>
      <c r="B1385" s="5" t="s">
        <v>1542</v>
      </c>
      <c r="C1385" s="17">
        <v>19900101</v>
      </c>
      <c r="D1385" s="17">
        <v>22991231</v>
      </c>
      <c r="E1385" s="25">
        <v>3240.75</v>
      </c>
    </row>
    <row r="1386" spans="1:5" x14ac:dyDescent="0.3">
      <c r="A1386" s="17" t="str">
        <f>"26852"</f>
        <v>26852</v>
      </c>
      <c r="B1386" s="5" t="s">
        <v>1543</v>
      </c>
      <c r="C1386" s="17">
        <v>19900101</v>
      </c>
      <c r="D1386" s="17">
        <v>22991231</v>
      </c>
      <c r="E1386" s="25">
        <v>3240.75</v>
      </c>
    </row>
    <row r="1387" spans="1:5" x14ac:dyDescent="0.3">
      <c r="A1387" s="17" t="str">
        <f>"26860"</f>
        <v>26860</v>
      </c>
      <c r="B1387" s="5" t="s">
        <v>1544</v>
      </c>
      <c r="C1387" s="17">
        <v>19900101</v>
      </c>
      <c r="D1387" s="17">
        <v>22991231</v>
      </c>
      <c r="E1387" s="25">
        <v>1450.8</v>
      </c>
    </row>
    <row r="1388" spans="1:5" x14ac:dyDescent="0.3">
      <c r="A1388" s="17" t="str">
        <f>"26861"</f>
        <v>26861</v>
      </c>
      <c r="B1388" s="5" t="s">
        <v>1545</v>
      </c>
      <c r="C1388" s="17">
        <v>19900101</v>
      </c>
      <c r="D1388" s="17">
        <v>22991231</v>
      </c>
      <c r="E1388" s="25">
        <v>0</v>
      </c>
    </row>
    <row r="1389" spans="1:5" ht="26" x14ac:dyDescent="0.3">
      <c r="A1389" s="17" t="str">
        <f>"26862"</f>
        <v>26862</v>
      </c>
      <c r="B1389" s="5" t="s">
        <v>1546</v>
      </c>
      <c r="C1389" s="17">
        <v>19900101</v>
      </c>
      <c r="D1389" s="17">
        <v>22991231</v>
      </c>
      <c r="E1389" s="25">
        <v>1450.8</v>
      </c>
    </row>
    <row r="1390" spans="1:5" ht="26" x14ac:dyDescent="0.3">
      <c r="A1390" s="17" t="str">
        <f>"26863"</f>
        <v>26863</v>
      </c>
      <c r="B1390" s="5" t="s">
        <v>1547</v>
      </c>
      <c r="C1390" s="17">
        <v>19900101</v>
      </c>
      <c r="D1390" s="17">
        <v>22991231</v>
      </c>
      <c r="E1390" s="25">
        <v>0</v>
      </c>
    </row>
    <row r="1391" spans="1:5" x14ac:dyDescent="0.3">
      <c r="A1391" s="17" t="str">
        <f>"26910"</f>
        <v>26910</v>
      </c>
      <c r="B1391" s="5" t="s">
        <v>1548</v>
      </c>
      <c r="C1391" s="17">
        <v>19900101</v>
      </c>
      <c r="D1391" s="17">
        <v>22991231</v>
      </c>
      <c r="E1391" s="25">
        <v>1450.8</v>
      </c>
    </row>
    <row r="1392" spans="1:5" ht="26" x14ac:dyDescent="0.3">
      <c r="A1392" s="17" t="str">
        <f>"26951"</f>
        <v>26951</v>
      </c>
      <c r="B1392" s="5" t="s">
        <v>1549</v>
      </c>
      <c r="C1392" s="17">
        <v>19900101</v>
      </c>
      <c r="D1392" s="17">
        <v>22991231</v>
      </c>
      <c r="E1392" s="25">
        <v>1450.8</v>
      </c>
    </row>
    <row r="1393" spans="1:5" x14ac:dyDescent="0.3">
      <c r="A1393" s="17" t="str">
        <f>"26952"</f>
        <v>26952</v>
      </c>
      <c r="B1393" s="5" t="s">
        <v>1550</v>
      </c>
      <c r="C1393" s="17">
        <v>19900101</v>
      </c>
      <c r="D1393" s="17">
        <v>22991231</v>
      </c>
      <c r="E1393" s="25">
        <v>1450.8</v>
      </c>
    </row>
    <row r="1394" spans="1:5" x14ac:dyDescent="0.3">
      <c r="A1394" s="17" t="str">
        <f>"26989"</f>
        <v>26989</v>
      </c>
      <c r="B1394" s="5" t="s">
        <v>1551</v>
      </c>
      <c r="C1394" s="17">
        <v>19900101</v>
      </c>
      <c r="D1394" s="17">
        <v>22991231</v>
      </c>
      <c r="E1394" s="24" t="s">
        <v>7128</v>
      </c>
    </row>
    <row r="1395" spans="1:5" ht="26" x14ac:dyDescent="0.3">
      <c r="A1395" s="17" t="str">
        <f>"26990"</f>
        <v>26990</v>
      </c>
      <c r="B1395" s="5" t="s">
        <v>1552</v>
      </c>
      <c r="C1395" s="17">
        <v>19900101</v>
      </c>
      <c r="D1395" s="17">
        <v>22991231</v>
      </c>
      <c r="E1395" s="25">
        <v>1450.8</v>
      </c>
    </row>
    <row r="1396" spans="1:5" ht="26" x14ac:dyDescent="0.3">
      <c r="A1396" s="17" t="str">
        <f>"26991"</f>
        <v>26991</v>
      </c>
      <c r="B1396" s="5" t="s">
        <v>1553</v>
      </c>
      <c r="C1396" s="17">
        <v>19900101</v>
      </c>
      <c r="D1396" s="17">
        <v>22991231</v>
      </c>
      <c r="E1396" s="25">
        <v>782.3</v>
      </c>
    </row>
    <row r="1397" spans="1:5" x14ac:dyDescent="0.3">
      <c r="A1397" s="17" t="str">
        <f>"27000"</f>
        <v>27000</v>
      </c>
      <c r="B1397" s="5" t="s">
        <v>1554</v>
      </c>
      <c r="C1397" s="17">
        <v>19900101</v>
      </c>
      <c r="D1397" s="17">
        <v>22991231</v>
      </c>
      <c r="E1397" s="25">
        <v>782.3</v>
      </c>
    </row>
    <row r="1398" spans="1:5" x14ac:dyDescent="0.3">
      <c r="A1398" s="17" t="str">
        <f>"27001"</f>
        <v>27001</v>
      </c>
      <c r="B1398" s="5" t="s">
        <v>1555</v>
      </c>
      <c r="C1398" s="17">
        <v>19900101</v>
      </c>
      <c r="D1398" s="17">
        <v>22991231</v>
      </c>
      <c r="E1398" s="25">
        <v>1450.8</v>
      </c>
    </row>
    <row r="1399" spans="1:5" x14ac:dyDescent="0.3">
      <c r="A1399" s="17" t="str">
        <f>"27003"</f>
        <v>27003</v>
      </c>
      <c r="B1399" s="5" t="s">
        <v>1556</v>
      </c>
      <c r="C1399" s="17">
        <v>19900101</v>
      </c>
      <c r="D1399" s="17">
        <v>22991231</v>
      </c>
      <c r="E1399" s="25">
        <v>3240.75</v>
      </c>
    </row>
    <row r="1400" spans="1:5" ht="26" x14ac:dyDescent="0.3">
      <c r="A1400" s="17" t="str">
        <f>"27006"</f>
        <v>27006</v>
      </c>
      <c r="B1400" s="5" t="s">
        <v>1557</v>
      </c>
      <c r="C1400" s="17">
        <v>19900101</v>
      </c>
      <c r="D1400" s="17">
        <v>22991231</v>
      </c>
      <c r="E1400" s="25">
        <v>1450.8</v>
      </c>
    </row>
    <row r="1401" spans="1:5" ht="26" x14ac:dyDescent="0.3">
      <c r="A1401" s="17" t="str">
        <f>"27033"</f>
        <v>27033</v>
      </c>
      <c r="B1401" s="5" t="s">
        <v>1558</v>
      </c>
      <c r="C1401" s="17">
        <v>19900101</v>
      </c>
      <c r="D1401" s="17">
        <v>22991231</v>
      </c>
      <c r="E1401" s="25">
        <v>3240.75</v>
      </c>
    </row>
    <row r="1402" spans="1:5" x14ac:dyDescent="0.3">
      <c r="A1402" s="17" t="str">
        <f>"27035"</f>
        <v>27035</v>
      </c>
      <c r="B1402" s="5" t="s">
        <v>1559</v>
      </c>
      <c r="C1402" s="17">
        <v>19900101</v>
      </c>
      <c r="D1402" s="17">
        <v>22991231</v>
      </c>
      <c r="E1402" s="25">
        <v>1450.8</v>
      </c>
    </row>
    <row r="1403" spans="1:5" x14ac:dyDescent="0.3">
      <c r="A1403" s="17" t="str">
        <f>"27040"</f>
        <v>27040</v>
      </c>
      <c r="B1403" s="5" t="s">
        <v>1560</v>
      </c>
      <c r="C1403" s="17">
        <v>19900101</v>
      </c>
      <c r="D1403" s="17">
        <v>22991231</v>
      </c>
      <c r="E1403" s="25">
        <v>652.27</v>
      </c>
    </row>
    <row r="1404" spans="1:5" x14ac:dyDescent="0.3">
      <c r="A1404" s="17" t="str">
        <f>"27041"</f>
        <v>27041</v>
      </c>
      <c r="B1404" s="5" t="s">
        <v>1561</v>
      </c>
      <c r="C1404" s="17">
        <v>19900101</v>
      </c>
      <c r="D1404" s="17">
        <v>22991231</v>
      </c>
      <c r="E1404" s="25">
        <v>652.27</v>
      </c>
    </row>
    <row r="1405" spans="1:5" ht="26" x14ac:dyDescent="0.3">
      <c r="A1405" s="17" t="str">
        <f>"27043"</f>
        <v>27043</v>
      </c>
      <c r="B1405" s="5" t="s">
        <v>1562</v>
      </c>
      <c r="C1405" s="17">
        <v>20100101</v>
      </c>
      <c r="D1405" s="17">
        <v>22991231</v>
      </c>
      <c r="E1405" s="25">
        <v>1105.24</v>
      </c>
    </row>
    <row r="1406" spans="1:5" ht="26" x14ac:dyDescent="0.3">
      <c r="A1406" s="17" t="str">
        <f>"27045"</f>
        <v>27045</v>
      </c>
      <c r="B1406" s="5" t="s">
        <v>1563</v>
      </c>
      <c r="C1406" s="17">
        <v>20100101</v>
      </c>
      <c r="D1406" s="17">
        <v>22991231</v>
      </c>
      <c r="E1406" s="25">
        <v>1105.24</v>
      </c>
    </row>
    <row r="1407" spans="1:5" ht="26" x14ac:dyDescent="0.3">
      <c r="A1407" s="17" t="str">
        <f>"27047"</f>
        <v>27047</v>
      </c>
      <c r="B1407" s="5" t="s">
        <v>1564</v>
      </c>
      <c r="C1407" s="17">
        <v>19900101</v>
      </c>
      <c r="D1407" s="17">
        <v>22991231</v>
      </c>
      <c r="E1407" s="25">
        <v>1105.24</v>
      </c>
    </row>
    <row r="1408" spans="1:5" ht="26" x14ac:dyDescent="0.3">
      <c r="A1408" s="17" t="str">
        <f>"27048"</f>
        <v>27048</v>
      </c>
      <c r="B1408" s="5" t="s">
        <v>1565</v>
      </c>
      <c r="C1408" s="17">
        <v>19900101</v>
      </c>
      <c r="D1408" s="17">
        <v>22991231</v>
      </c>
      <c r="E1408" s="25">
        <v>1105.24</v>
      </c>
    </row>
    <row r="1409" spans="1:5" ht="26" x14ac:dyDescent="0.3">
      <c r="A1409" s="17" t="str">
        <f>"27049"</f>
        <v>27049</v>
      </c>
      <c r="B1409" s="5" t="s">
        <v>1566</v>
      </c>
      <c r="C1409" s="17">
        <v>19970801</v>
      </c>
      <c r="D1409" s="17">
        <v>22991231</v>
      </c>
      <c r="E1409" s="25">
        <v>1105.24</v>
      </c>
    </row>
    <row r="1410" spans="1:5" x14ac:dyDescent="0.3">
      <c r="A1410" s="17" t="str">
        <f>"27050"</f>
        <v>27050</v>
      </c>
      <c r="B1410" s="5" t="s">
        <v>1567</v>
      </c>
      <c r="C1410" s="17">
        <v>19900101</v>
      </c>
      <c r="D1410" s="17">
        <v>22991231</v>
      </c>
      <c r="E1410" s="25">
        <v>782.3</v>
      </c>
    </row>
    <row r="1411" spans="1:5" x14ac:dyDescent="0.3">
      <c r="A1411" s="17" t="str">
        <f>"27052"</f>
        <v>27052</v>
      </c>
      <c r="B1411" s="5" t="s">
        <v>1568</v>
      </c>
      <c r="C1411" s="17">
        <v>19900101</v>
      </c>
      <c r="D1411" s="17">
        <v>22991231</v>
      </c>
      <c r="E1411" s="25">
        <v>782.3</v>
      </c>
    </row>
    <row r="1412" spans="1:5" ht="26" x14ac:dyDescent="0.3">
      <c r="A1412" s="17" t="str">
        <f>"27059"</f>
        <v>27059</v>
      </c>
      <c r="B1412" s="5" t="s">
        <v>1569</v>
      </c>
      <c r="C1412" s="17">
        <v>20100101</v>
      </c>
      <c r="D1412" s="17">
        <v>22991231</v>
      </c>
      <c r="E1412" s="25">
        <v>1105.24</v>
      </c>
    </row>
    <row r="1413" spans="1:5" x14ac:dyDescent="0.3">
      <c r="A1413" s="17" t="str">
        <f>"27060"</f>
        <v>27060</v>
      </c>
      <c r="B1413" s="5" t="s">
        <v>1570</v>
      </c>
      <c r="C1413" s="17">
        <v>19900101</v>
      </c>
      <c r="D1413" s="17">
        <v>22991231</v>
      </c>
      <c r="E1413" s="25">
        <v>3240.75</v>
      </c>
    </row>
    <row r="1414" spans="1:5" ht="26" x14ac:dyDescent="0.3">
      <c r="A1414" s="17" t="str">
        <f>"27062"</f>
        <v>27062</v>
      </c>
      <c r="B1414" s="5" t="s">
        <v>1571</v>
      </c>
      <c r="C1414" s="17">
        <v>19900101</v>
      </c>
      <c r="D1414" s="17">
        <v>22991231</v>
      </c>
      <c r="E1414" s="25">
        <v>1450.8</v>
      </c>
    </row>
    <row r="1415" spans="1:5" ht="26" x14ac:dyDescent="0.3">
      <c r="A1415" s="17" t="str">
        <f>"27065"</f>
        <v>27065</v>
      </c>
      <c r="B1415" s="5" t="s">
        <v>1572</v>
      </c>
      <c r="C1415" s="17">
        <v>19900101</v>
      </c>
      <c r="D1415" s="17">
        <v>22991231</v>
      </c>
      <c r="E1415" s="25">
        <v>3240.75</v>
      </c>
    </row>
    <row r="1416" spans="1:5" ht="26" x14ac:dyDescent="0.3">
      <c r="A1416" s="17" t="str">
        <f>"27066"</f>
        <v>27066</v>
      </c>
      <c r="B1416" s="5" t="s">
        <v>1573</v>
      </c>
      <c r="C1416" s="17">
        <v>19900101</v>
      </c>
      <c r="D1416" s="17">
        <v>22991231</v>
      </c>
      <c r="E1416" s="25">
        <v>1450.8</v>
      </c>
    </row>
    <row r="1417" spans="1:5" ht="39" x14ac:dyDescent="0.3">
      <c r="A1417" s="17" t="str">
        <f>"27067"</f>
        <v>27067</v>
      </c>
      <c r="B1417" s="5" t="s">
        <v>1574</v>
      </c>
      <c r="C1417" s="17">
        <v>19900101</v>
      </c>
      <c r="D1417" s="17">
        <v>22991231</v>
      </c>
      <c r="E1417" s="25">
        <v>3240.75</v>
      </c>
    </row>
    <row r="1418" spans="1:5" x14ac:dyDescent="0.3">
      <c r="A1418" s="17" t="str">
        <f>"27080"</f>
        <v>27080</v>
      </c>
      <c r="B1418" s="5" t="s">
        <v>1575</v>
      </c>
      <c r="C1418" s="17">
        <v>19900101</v>
      </c>
      <c r="D1418" s="17">
        <v>22991231</v>
      </c>
      <c r="E1418" s="25">
        <v>1450.8</v>
      </c>
    </row>
    <row r="1419" spans="1:5" ht="26" x14ac:dyDescent="0.3">
      <c r="A1419" s="17" t="str">
        <f>"27086"</f>
        <v>27086</v>
      </c>
      <c r="B1419" s="5" t="s">
        <v>1576</v>
      </c>
      <c r="C1419" s="17">
        <v>19900101</v>
      </c>
      <c r="D1419" s="17">
        <v>22991231</v>
      </c>
      <c r="E1419" s="25">
        <v>1105.24</v>
      </c>
    </row>
    <row r="1420" spans="1:5" ht="26" x14ac:dyDescent="0.3">
      <c r="A1420" s="17" t="str">
        <f>"27087"</f>
        <v>27087</v>
      </c>
      <c r="B1420" s="5" t="s">
        <v>1577</v>
      </c>
      <c r="C1420" s="17">
        <v>19900101</v>
      </c>
      <c r="D1420" s="17">
        <v>22991231</v>
      </c>
      <c r="E1420" s="25">
        <v>1450.8</v>
      </c>
    </row>
    <row r="1421" spans="1:5" x14ac:dyDescent="0.3">
      <c r="A1421" s="17" t="str">
        <f>"27093"</f>
        <v>27093</v>
      </c>
      <c r="B1421" s="5" t="s">
        <v>1578</v>
      </c>
      <c r="C1421" s="17">
        <v>19900101</v>
      </c>
      <c r="D1421" s="17">
        <v>22991231</v>
      </c>
      <c r="E1421" s="25">
        <v>0</v>
      </c>
    </row>
    <row r="1422" spans="1:5" ht="26" x14ac:dyDescent="0.3">
      <c r="A1422" s="17" t="str">
        <f>"27095"</f>
        <v>27095</v>
      </c>
      <c r="B1422" s="5" t="s">
        <v>1579</v>
      </c>
      <c r="C1422" s="17">
        <v>19900101</v>
      </c>
      <c r="D1422" s="17">
        <v>22991231</v>
      </c>
      <c r="E1422" s="25">
        <v>0</v>
      </c>
    </row>
    <row r="1423" spans="1:5" ht="39" x14ac:dyDescent="0.3">
      <c r="A1423" s="17" t="str">
        <f>"27096"</f>
        <v>27096</v>
      </c>
      <c r="B1423" s="5" t="s">
        <v>1580</v>
      </c>
      <c r="C1423" s="17">
        <v>20000101</v>
      </c>
      <c r="D1423" s="17">
        <v>22991231</v>
      </c>
      <c r="E1423" s="24" t="s">
        <v>7128</v>
      </c>
    </row>
    <row r="1424" spans="1:5" x14ac:dyDescent="0.3">
      <c r="A1424" s="17" t="str">
        <f>"27097"</f>
        <v>27097</v>
      </c>
      <c r="B1424" s="5" t="s">
        <v>1581</v>
      </c>
      <c r="C1424" s="17">
        <v>19900101</v>
      </c>
      <c r="D1424" s="17">
        <v>22991231</v>
      </c>
      <c r="E1424" s="25">
        <v>1450.8</v>
      </c>
    </row>
    <row r="1425" spans="1:5" x14ac:dyDescent="0.3">
      <c r="A1425" s="17" t="str">
        <f>"27098"</f>
        <v>27098</v>
      </c>
      <c r="B1425" s="5" t="s">
        <v>1582</v>
      </c>
      <c r="C1425" s="17">
        <v>19900101</v>
      </c>
      <c r="D1425" s="17">
        <v>22991231</v>
      </c>
      <c r="E1425" s="25">
        <v>1450.8</v>
      </c>
    </row>
    <row r="1426" spans="1:5" ht="26" x14ac:dyDescent="0.3">
      <c r="A1426" s="17" t="str">
        <f>"27100"</f>
        <v>27100</v>
      </c>
      <c r="B1426" s="5" t="s">
        <v>1583</v>
      </c>
      <c r="C1426" s="17">
        <v>19900101</v>
      </c>
      <c r="D1426" s="17">
        <v>22991231</v>
      </c>
      <c r="E1426" s="25">
        <v>3240.75</v>
      </c>
    </row>
    <row r="1427" spans="1:5" x14ac:dyDescent="0.3">
      <c r="A1427" s="17" t="str">
        <f>"27105"</f>
        <v>27105</v>
      </c>
      <c r="B1427" s="5" t="s">
        <v>1584</v>
      </c>
      <c r="C1427" s="17">
        <v>19900101</v>
      </c>
      <c r="D1427" s="17">
        <v>22991231</v>
      </c>
      <c r="E1427" s="25">
        <v>1450.8</v>
      </c>
    </row>
    <row r="1428" spans="1:5" x14ac:dyDescent="0.3">
      <c r="A1428" s="17" t="str">
        <f>"27110"</f>
        <v>27110</v>
      </c>
      <c r="B1428" s="5" t="s">
        <v>1585</v>
      </c>
      <c r="C1428" s="17">
        <v>19900101</v>
      </c>
      <c r="D1428" s="17">
        <v>22991231</v>
      </c>
      <c r="E1428" s="25">
        <v>4325.4399999999996</v>
      </c>
    </row>
    <row r="1429" spans="1:5" x14ac:dyDescent="0.3">
      <c r="A1429" s="17" t="str">
        <f>"27111"</f>
        <v>27111</v>
      </c>
      <c r="B1429" s="5" t="s">
        <v>1586</v>
      </c>
      <c r="C1429" s="17">
        <v>19900101</v>
      </c>
      <c r="D1429" s="17">
        <v>22991231</v>
      </c>
      <c r="E1429" s="25">
        <v>1450.8</v>
      </c>
    </row>
    <row r="1430" spans="1:5" ht="26" x14ac:dyDescent="0.3">
      <c r="A1430" s="17" t="str">
        <f>"27130"</f>
        <v>27130</v>
      </c>
      <c r="B1430" s="5" t="s">
        <v>1587</v>
      </c>
      <c r="C1430" s="17">
        <v>19900101</v>
      </c>
      <c r="D1430" s="17">
        <v>22991231</v>
      </c>
      <c r="E1430" s="25">
        <v>8823.7199999999993</v>
      </c>
    </row>
    <row r="1431" spans="1:5" ht="26" x14ac:dyDescent="0.3">
      <c r="A1431" s="17" t="str">
        <f>"27176"</f>
        <v>27176</v>
      </c>
      <c r="B1431" s="5" t="s">
        <v>1588</v>
      </c>
      <c r="C1431" s="17">
        <v>19900101</v>
      </c>
      <c r="D1431" s="17">
        <v>22991231</v>
      </c>
      <c r="E1431" s="24" t="s">
        <v>7128</v>
      </c>
    </row>
    <row r="1432" spans="1:5" x14ac:dyDescent="0.3">
      <c r="A1432" s="17" t="str">
        <f>"27179"</f>
        <v>27179</v>
      </c>
      <c r="B1432" s="5" t="s">
        <v>1589</v>
      </c>
      <c r="C1432" s="17">
        <v>19900101</v>
      </c>
      <c r="D1432" s="17">
        <v>22991231</v>
      </c>
      <c r="E1432" s="24" t="s">
        <v>7128</v>
      </c>
    </row>
    <row r="1433" spans="1:5" ht="26" x14ac:dyDescent="0.3">
      <c r="A1433" s="17" t="str">
        <f>"27197"</f>
        <v>27197</v>
      </c>
      <c r="B1433" s="5" t="s">
        <v>1590</v>
      </c>
      <c r="C1433" s="17">
        <v>20170101</v>
      </c>
      <c r="D1433" s="17">
        <v>22991231</v>
      </c>
      <c r="E1433" s="25">
        <v>116.84</v>
      </c>
    </row>
    <row r="1434" spans="1:5" ht="26" x14ac:dyDescent="0.3">
      <c r="A1434" s="17" t="str">
        <f>"27198"</f>
        <v>27198</v>
      </c>
      <c r="B1434" s="5" t="s">
        <v>1591</v>
      </c>
      <c r="C1434" s="17">
        <v>20170101</v>
      </c>
      <c r="D1434" s="17">
        <v>22991231</v>
      </c>
      <c r="E1434" s="25">
        <v>116.84</v>
      </c>
    </row>
    <row r="1435" spans="1:5" x14ac:dyDescent="0.3">
      <c r="A1435" s="17" t="str">
        <f>"27200"</f>
        <v>27200</v>
      </c>
      <c r="B1435" s="5" t="s">
        <v>1592</v>
      </c>
      <c r="C1435" s="17">
        <v>19900101</v>
      </c>
      <c r="D1435" s="17">
        <v>22991231</v>
      </c>
      <c r="E1435" s="25">
        <v>112.91</v>
      </c>
    </row>
    <row r="1436" spans="1:5" x14ac:dyDescent="0.3">
      <c r="A1436" s="17" t="str">
        <f>"27202"</f>
        <v>27202</v>
      </c>
      <c r="B1436" s="5" t="s">
        <v>1593</v>
      </c>
      <c r="C1436" s="17">
        <v>19900101</v>
      </c>
      <c r="D1436" s="17">
        <v>22991231</v>
      </c>
      <c r="E1436" s="25">
        <v>1450.8</v>
      </c>
    </row>
    <row r="1437" spans="1:5" x14ac:dyDescent="0.3">
      <c r="A1437" s="17" t="str">
        <f>"27220"</f>
        <v>27220</v>
      </c>
      <c r="B1437" s="5" t="s">
        <v>1594</v>
      </c>
      <c r="C1437" s="17">
        <v>19900101</v>
      </c>
      <c r="D1437" s="17">
        <v>22991231</v>
      </c>
      <c r="E1437" s="25">
        <v>116.84</v>
      </c>
    </row>
    <row r="1438" spans="1:5" x14ac:dyDescent="0.3">
      <c r="A1438" s="17" t="str">
        <f>"27230"</f>
        <v>27230</v>
      </c>
      <c r="B1438" s="5" t="s">
        <v>1595</v>
      </c>
      <c r="C1438" s="17">
        <v>19900101</v>
      </c>
      <c r="D1438" s="17">
        <v>22991231</v>
      </c>
      <c r="E1438" s="25">
        <v>116.84</v>
      </c>
    </row>
    <row r="1439" spans="1:5" ht="26" x14ac:dyDescent="0.3">
      <c r="A1439" s="17" t="str">
        <f>"27235"</f>
        <v>27235</v>
      </c>
      <c r="B1439" s="5" t="s">
        <v>1596</v>
      </c>
      <c r="C1439" s="17">
        <v>19900101</v>
      </c>
      <c r="D1439" s="17">
        <v>22991231</v>
      </c>
      <c r="E1439" s="24" t="s">
        <v>7128</v>
      </c>
    </row>
    <row r="1440" spans="1:5" ht="26" x14ac:dyDescent="0.3">
      <c r="A1440" s="17" t="str">
        <f>"27238"</f>
        <v>27238</v>
      </c>
      <c r="B1440" s="5" t="s">
        <v>1597</v>
      </c>
      <c r="C1440" s="17">
        <v>19900101</v>
      </c>
      <c r="D1440" s="17">
        <v>22991231</v>
      </c>
      <c r="E1440" s="25">
        <v>782.3</v>
      </c>
    </row>
    <row r="1441" spans="1:5" ht="26" x14ac:dyDescent="0.3">
      <c r="A1441" s="17" t="str">
        <f>"27246"</f>
        <v>27246</v>
      </c>
      <c r="B1441" s="5" t="s">
        <v>1598</v>
      </c>
      <c r="C1441" s="17">
        <v>19900101</v>
      </c>
      <c r="D1441" s="17">
        <v>22991231</v>
      </c>
      <c r="E1441" s="25">
        <v>116.84</v>
      </c>
    </row>
    <row r="1442" spans="1:5" x14ac:dyDescent="0.3">
      <c r="A1442" s="17" t="str">
        <f>"27250"</f>
        <v>27250</v>
      </c>
      <c r="B1442" s="5" t="s">
        <v>1599</v>
      </c>
      <c r="C1442" s="17">
        <v>19900101</v>
      </c>
      <c r="D1442" s="17">
        <v>22991231</v>
      </c>
      <c r="E1442" s="25">
        <v>116.84</v>
      </c>
    </row>
    <row r="1443" spans="1:5" ht="26" x14ac:dyDescent="0.3">
      <c r="A1443" s="17" t="str">
        <f>"27252"</f>
        <v>27252</v>
      </c>
      <c r="B1443" s="5" t="s">
        <v>1600</v>
      </c>
      <c r="C1443" s="17">
        <v>19900101</v>
      </c>
      <c r="D1443" s="17">
        <v>22991231</v>
      </c>
      <c r="E1443" s="25">
        <v>782.3</v>
      </c>
    </row>
    <row r="1444" spans="1:5" x14ac:dyDescent="0.3">
      <c r="A1444" s="17" t="str">
        <f>"27256"</f>
        <v>27256</v>
      </c>
      <c r="B1444" s="5" t="s">
        <v>1601</v>
      </c>
      <c r="C1444" s="17">
        <v>19900101</v>
      </c>
      <c r="D1444" s="17">
        <v>22991231</v>
      </c>
      <c r="E1444" s="25">
        <v>116.84</v>
      </c>
    </row>
    <row r="1445" spans="1:5" ht="26" x14ac:dyDescent="0.3">
      <c r="A1445" s="17" t="str">
        <f>"27257"</f>
        <v>27257</v>
      </c>
      <c r="B1445" s="5" t="s">
        <v>1602</v>
      </c>
      <c r="C1445" s="17">
        <v>19900101</v>
      </c>
      <c r="D1445" s="17">
        <v>22991231</v>
      </c>
      <c r="E1445" s="25">
        <v>782.3</v>
      </c>
    </row>
    <row r="1446" spans="1:5" x14ac:dyDescent="0.3">
      <c r="A1446" s="17" t="str">
        <f>"27265"</f>
        <v>27265</v>
      </c>
      <c r="B1446" s="5" t="s">
        <v>1603</v>
      </c>
      <c r="C1446" s="17">
        <v>19900101</v>
      </c>
      <c r="D1446" s="17">
        <v>22991231</v>
      </c>
      <c r="E1446" s="25">
        <v>116.84</v>
      </c>
    </row>
    <row r="1447" spans="1:5" ht="26" x14ac:dyDescent="0.3">
      <c r="A1447" s="17" t="str">
        <f>"27266"</f>
        <v>27266</v>
      </c>
      <c r="B1447" s="5" t="s">
        <v>1604</v>
      </c>
      <c r="C1447" s="17">
        <v>19900101</v>
      </c>
      <c r="D1447" s="17">
        <v>22991231</v>
      </c>
      <c r="E1447" s="25">
        <v>782.3</v>
      </c>
    </row>
    <row r="1448" spans="1:5" x14ac:dyDescent="0.3">
      <c r="A1448" s="17" t="str">
        <f>"27267"</f>
        <v>27267</v>
      </c>
      <c r="B1448" s="5" t="s">
        <v>1605</v>
      </c>
      <c r="C1448" s="17">
        <v>20080101</v>
      </c>
      <c r="D1448" s="17">
        <v>22991231</v>
      </c>
      <c r="E1448" s="25">
        <v>1450.8</v>
      </c>
    </row>
    <row r="1449" spans="1:5" ht="26" x14ac:dyDescent="0.3">
      <c r="A1449" s="17" t="str">
        <f>"27275"</f>
        <v>27275</v>
      </c>
      <c r="B1449" s="5" t="s">
        <v>1606</v>
      </c>
      <c r="C1449" s="17">
        <v>19900101</v>
      </c>
      <c r="D1449" s="17">
        <v>22991231</v>
      </c>
      <c r="E1449" s="25">
        <v>782.3</v>
      </c>
    </row>
    <row r="1450" spans="1:5" ht="26" x14ac:dyDescent="0.3">
      <c r="A1450" s="17" t="str">
        <f>"27278"</f>
        <v>27278</v>
      </c>
      <c r="B1450" s="5" t="s">
        <v>1607</v>
      </c>
      <c r="C1450" s="17">
        <v>20240101</v>
      </c>
      <c r="D1450" s="17">
        <v>22991231</v>
      </c>
      <c r="E1450" s="25">
        <v>11160.2</v>
      </c>
    </row>
    <row r="1451" spans="1:5" x14ac:dyDescent="0.3">
      <c r="A1451" s="17" t="str">
        <f>"27279"</f>
        <v>27279</v>
      </c>
      <c r="B1451" s="5" t="s">
        <v>1608</v>
      </c>
      <c r="C1451" s="17">
        <v>20230101</v>
      </c>
      <c r="D1451" s="17">
        <v>22991231</v>
      </c>
      <c r="E1451" s="25">
        <v>14043.9</v>
      </c>
    </row>
    <row r="1452" spans="1:5" x14ac:dyDescent="0.3">
      <c r="A1452" s="17" t="str">
        <f>"27299"</f>
        <v>27299</v>
      </c>
      <c r="B1452" s="5" t="s">
        <v>1609</v>
      </c>
      <c r="C1452" s="17">
        <v>19900101</v>
      </c>
      <c r="D1452" s="17">
        <v>22991231</v>
      </c>
      <c r="E1452" s="24" t="s">
        <v>7128</v>
      </c>
    </row>
    <row r="1453" spans="1:5" ht="26" x14ac:dyDescent="0.3">
      <c r="A1453" s="17" t="str">
        <f>"27301"</f>
        <v>27301</v>
      </c>
      <c r="B1453" s="5" t="s">
        <v>1610</v>
      </c>
      <c r="C1453" s="17">
        <v>19900101</v>
      </c>
      <c r="D1453" s="17">
        <v>22991231</v>
      </c>
      <c r="E1453" s="25">
        <v>1105.24</v>
      </c>
    </row>
    <row r="1454" spans="1:5" ht="26" x14ac:dyDescent="0.3">
      <c r="A1454" s="17" t="str">
        <f>"27305"</f>
        <v>27305</v>
      </c>
      <c r="B1454" s="5" t="s">
        <v>1611</v>
      </c>
      <c r="C1454" s="17">
        <v>19900101</v>
      </c>
      <c r="D1454" s="17">
        <v>22991231</v>
      </c>
      <c r="E1454" s="25">
        <v>1450.8</v>
      </c>
    </row>
    <row r="1455" spans="1:5" x14ac:dyDescent="0.3">
      <c r="A1455" s="17" t="str">
        <f>"27306"</f>
        <v>27306</v>
      </c>
      <c r="B1455" s="5" t="s">
        <v>1612</v>
      </c>
      <c r="C1455" s="17">
        <v>19900101</v>
      </c>
      <c r="D1455" s="17">
        <v>22991231</v>
      </c>
      <c r="E1455" s="25">
        <v>1450.8</v>
      </c>
    </row>
    <row r="1456" spans="1:5" ht="26" x14ac:dyDescent="0.3">
      <c r="A1456" s="17" t="str">
        <f>"27307"</f>
        <v>27307</v>
      </c>
      <c r="B1456" s="5" t="s">
        <v>1613</v>
      </c>
      <c r="C1456" s="17">
        <v>19900101</v>
      </c>
      <c r="D1456" s="17">
        <v>22991231</v>
      </c>
      <c r="E1456" s="25">
        <v>1450.8</v>
      </c>
    </row>
    <row r="1457" spans="1:5" ht="26" x14ac:dyDescent="0.3">
      <c r="A1457" s="17" t="str">
        <f>"27310"</f>
        <v>27310</v>
      </c>
      <c r="B1457" s="5" t="s">
        <v>1614</v>
      </c>
      <c r="C1457" s="17">
        <v>19900101</v>
      </c>
      <c r="D1457" s="17">
        <v>22991231</v>
      </c>
      <c r="E1457" s="25">
        <v>1450.8</v>
      </c>
    </row>
    <row r="1458" spans="1:5" x14ac:dyDescent="0.3">
      <c r="A1458" s="17" t="str">
        <f>"27323"</f>
        <v>27323</v>
      </c>
      <c r="B1458" s="5" t="s">
        <v>1615</v>
      </c>
      <c r="C1458" s="17">
        <v>19900101</v>
      </c>
      <c r="D1458" s="17">
        <v>22991231</v>
      </c>
      <c r="E1458" s="25">
        <v>652.27</v>
      </c>
    </row>
    <row r="1459" spans="1:5" x14ac:dyDescent="0.3">
      <c r="A1459" s="17" t="str">
        <f>"27324"</f>
        <v>27324</v>
      </c>
      <c r="B1459" s="5" t="s">
        <v>1616</v>
      </c>
      <c r="C1459" s="17">
        <v>19900101</v>
      </c>
      <c r="D1459" s="17">
        <v>22991231</v>
      </c>
      <c r="E1459" s="25">
        <v>1105.24</v>
      </c>
    </row>
    <row r="1460" spans="1:5" x14ac:dyDescent="0.3">
      <c r="A1460" s="17" t="str">
        <f>"27325"</f>
        <v>27325</v>
      </c>
      <c r="B1460" s="5" t="s">
        <v>1617</v>
      </c>
      <c r="C1460" s="17">
        <v>20070101</v>
      </c>
      <c r="D1460" s="17">
        <v>22991231</v>
      </c>
      <c r="E1460" s="25">
        <v>857.51</v>
      </c>
    </row>
    <row r="1461" spans="1:5" x14ac:dyDescent="0.3">
      <c r="A1461" s="17" t="str">
        <f>"27326"</f>
        <v>27326</v>
      </c>
      <c r="B1461" s="5" t="s">
        <v>1618</v>
      </c>
      <c r="C1461" s="17">
        <v>20070101</v>
      </c>
      <c r="D1461" s="17">
        <v>22991231</v>
      </c>
      <c r="E1461" s="25">
        <v>857.51</v>
      </c>
    </row>
    <row r="1462" spans="1:5" ht="26" x14ac:dyDescent="0.3">
      <c r="A1462" s="17" t="str">
        <f>"27327"</f>
        <v>27327</v>
      </c>
      <c r="B1462" s="5" t="s">
        <v>1619</v>
      </c>
      <c r="C1462" s="17">
        <v>19900101</v>
      </c>
      <c r="D1462" s="17">
        <v>22991231</v>
      </c>
      <c r="E1462" s="25">
        <v>652.27</v>
      </c>
    </row>
    <row r="1463" spans="1:5" ht="26" x14ac:dyDescent="0.3">
      <c r="A1463" s="17" t="str">
        <f>"27328"</f>
        <v>27328</v>
      </c>
      <c r="B1463" s="5" t="s">
        <v>1620</v>
      </c>
      <c r="C1463" s="17">
        <v>19900101</v>
      </c>
      <c r="D1463" s="17">
        <v>22991231</v>
      </c>
      <c r="E1463" s="25">
        <v>1105.24</v>
      </c>
    </row>
    <row r="1464" spans="1:5" ht="26" x14ac:dyDescent="0.3">
      <c r="A1464" s="17" t="str">
        <f>"27329"</f>
        <v>27329</v>
      </c>
      <c r="B1464" s="5" t="s">
        <v>1621</v>
      </c>
      <c r="C1464" s="17">
        <v>19900101</v>
      </c>
      <c r="D1464" s="17">
        <v>22991231</v>
      </c>
      <c r="E1464" s="25">
        <v>1105.24</v>
      </c>
    </row>
    <row r="1465" spans="1:5" x14ac:dyDescent="0.3">
      <c r="A1465" s="17" t="str">
        <f>"27330"</f>
        <v>27330</v>
      </c>
      <c r="B1465" s="5" t="s">
        <v>1622</v>
      </c>
      <c r="C1465" s="17">
        <v>19900101</v>
      </c>
      <c r="D1465" s="17">
        <v>22991231</v>
      </c>
      <c r="E1465" s="25">
        <v>1450.8</v>
      </c>
    </row>
    <row r="1466" spans="1:5" ht="26" x14ac:dyDescent="0.3">
      <c r="A1466" s="17" t="str">
        <f>"27331"</f>
        <v>27331</v>
      </c>
      <c r="B1466" s="5" t="s">
        <v>1623</v>
      </c>
      <c r="C1466" s="17">
        <v>19900101</v>
      </c>
      <c r="D1466" s="17">
        <v>22991231</v>
      </c>
      <c r="E1466" s="25">
        <v>1450.8</v>
      </c>
    </row>
    <row r="1467" spans="1:5" ht="26" x14ac:dyDescent="0.3">
      <c r="A1467" s="17" t="str">
        <f>"27332"</f>
        <v>27332</v>
      </c>
      <c r="B1467" s="5" t="s">
        <v>1624</v>
      </c>
      <c r="C1467" s="17">
        <v>19900101</v>
      </c>
      <c r="D1467" s="17">
        <v>22991231</v>
      </c>
      <c r="E1467" s="25">
        <v>1450.8</v>
      </c>
    </row>
    <row r="1468" spans="1:5" ht="26" x14ac:dyDescent="0.3">
      <c r="A1468" s="17" t="str">
        <f>"27333"</f>
        <v>27333</v>
      </c>
      <c r="B1468" s="5" t="s">
        <v>1625</v>
      </c>
      <c r="C1468" s="17">
        <v>19900101</v>
      </c>
      <c r="D1468" s="17">
        <v>22991231</v>
      </c>
      <c r="E1468" s="25">
        <v>1450.8</v>
      </c>
    </row>
    <row r="1469" spans="1:5" ht="26" x14ac:dyDescent="0.3">
      <c r="A1469" s="17" t="str">
        <f>"27334"</f>
        <v>27334</v>
      </c>
      <c r="B1469" s="5" t="s">
        <v>1626</v>
      </c>
      <c r="C1469" s="17">
        <v>19900101</v>
      </c>
      <c r="D1469" s="17">
        <v>22991231</v>
      </c>
      <c r="E1469" s="25">
        <v>1450.8</v>
      </c>
    </row>
    <row r="1470" spans="1:5" ht="26" x14ac:dyDescent="0.3">
      <c r="A1470" s="17" t="str">
        <f>"27335"</f>
        <v>27335</v>
      </c>
      <c r="B1470" s="5" t="s">
        <v>1627</v>
      </c>
      <c r="C1470" s="17">
        <v>19900101</v>
      </c>
      <c r="D1470" s="17">
        <v>22991231</v>
      </c>
      <c r="E1470" s="25">
        <v>3240.75</v>
      </c>
    </row>
    <row r="1471" spans="1:5" ht="26" x14ac:dyDescent="0.3">
      <c r="A1471" s="17" t="str">
        <f>"27337"</f>
        <v>27337</v>
      </c>
      <c r="B1471" s="5" t="s">
        <v>1628</v>
      </c>
      <c r="C1471" s="17">
        <v>20100101</v>
      </c>
      <c r="D1471" s="17">
        <v>22991231</v>
      </c>
      <c r="E1471" s="25">
        <v>1105.24</v>
      </c>
    </row>
    <row r="1472" spans="1:5" ht="26" x14ac:dyDescent="0.3">
      <c r="A1472" s="17" t="str">
        <f>"27339"</f>
        <v>27339</v>
      </c>
      <c r="B1472" s="5" t="s">
        <v>1629</v>
      </c>
      <c r="C1472" s="17">
        <v>20100101</v>
      </c>
      <c r="D1472" s="17">
        <v>22991231</v>
      </c>
      <c r="E1472" s="25">
        <v>1105.24</v>
      </c>
    </row>
    <row r="1473" spans="1:5" ht="26" x14ac:dyDescent="0.3">
      <c r="A1473" s="17" t="str">
        <f>"27340"</f>
        <v>27340</v>
      </c>
      <c r="B1473" s="5" t="s">
        <v>1630</v>
      </c>
      <c r="C1473" s="17">
        <v>19900101</v>
      </c>
      <c r="D1473" s="17">
        <v>22991231</v>
      </c>
      <c r="E1473" s="25">
        <v>1450.8</v>
      </c>
    </row>
    <row r="1474" spans="1:5" x14ac:dyDescent="0.3">
      <c r="A1474" s="17" t="str">
        <f>"27345"</f>
        <v>27345</v>
      </c>
      <c r="B1474" s="5" t="s">
        <v>1631</v>
      </c>
      <c r="C1474" s="17">
        <v>19900101</v>
      </c>
      <c r="D1474" s="17">
        <v>22991231</v>
      </c>
      <c r="E1474" s="25">
        <v>1450.8</v>
      </c>
    </row>
    <row r="1475" spans="1:5" x14ac:dyDescent="0.3">
      <c r="A1475" s="17" t="str">
        <f>"27347"</f>
        <v>27347</v>
      </c>
      <c r="B1475" s="5" t="s">
        <v>1632</v>
      </c>
      <c r="C1475" s="17">
        <v>19900101</v>
      </c>
      <c r="D1475" s="17">
        <v>22991231</v>
      </c>
      <c r="E1475" s="25">
        <v>1450.8</v>
      </c>
    </row>
    <row r="1476" spans="1:5" x14ac:dyDescent="0.3">
      <c r="A1476" s="17" t="str">
        <f>"27350"</f>
        <v>27350</v>
      </c>
      <c r="B1476" s="5" t="s">
        <v>1633</v>
      </c>
      <c r="C1476" s="17">
        <v>19900101</v>
      </c>
      <c r="D1476" s="17">
        <v>22991231</v>
      </c>
      <c r="E1476" s="25">
        <v>3240.75</v>
      </c>
    </row>
    <row r="1477" spans="1:5" x14ac:dyDescent="0.3">
      <c r="A1477" s="17" t="str">
        <f>"27355"</f>
        <v>27355</v>
      </c>
      <c r="B1477" s="5" t="s">
        <v>1634</v>
      </c>
      <c r="C1477" s="17">
        <v>19900101</v>
      </c>
      <c r="D1477" s="17">
        <v>22991231</v>
      </c>
      <c r="E1477" s="25">
        <v>1450.8</v>
      </c>
    </row>
    <row r="1478" spans="1:5" ht="26" x14ac:dyDescent="0.3">
      <c r="A1478" s="17" t="str">
        <f>"27356"</f>
        <v>27356</v>
      </c>
      <c r="B1478" s="5" t="s">
        <v>1635</v>
      </c>
      <c r="C1478" s="17">
        <v>19900101</v>
      </c>
      <c r="D1478" s="17">
        <v>22991231</v>
      </c>
      <c r="E1478" s="25">
        <v>7877.65</v>
      </c>
    </row>
    <row r="1479" spans="1:5" ht="26" x14ac:dyDescent="0.3">
      <c r="A1479" s="17" t="str">
        <f>"27357"</f>
        <v>27357</v>
      </c>
      <c r="B1479" s="5" t="s">
        <v>1636</v>
      </c>
      <c r="C1479" s="17">
        <v>19900101</v>
      </c>
      <c r="D1479" s="17">
        <v>22991231</v>
      </c>
      <c r="E1479" s="25">
        <v>4081.38</v>
      </c>
    </row>
    <row r="1480" spans="1:5" ht="26" x14ac:dyDescent="0.3">
      <c r="A1480" s="17" t="str">
        <f>"27358"</f>
        <v>27358</v>
      </c>
      <c r="B1480" s="5" t="s">
        <v>1637</v>
      </c>
      <c r="C1480" s="17">
        <v>19900101</v>
      </c>
      <c r="D1480" s="17">
        <v>22991231</v>
      </c>
      <c r="E1480" s="25">
        <v>0</v>
      </c>
    </row>
    <row r="1481" spans="1:5" x14ac:dyDescent="0.3">
      <c r="A1481" s="17" t="str">
        <f>"27360"</f>
        <v>27360</v>
      </c>
      <c r="B1481" s="5" t="s">
        <v>1638</v>
      </c>
      <c r="C1481" s="17">
        <v>19900101</v>
      </c>
      <c r="D1481" s="17">
        <v>22991231</v>
      </c>
      <c r="E1481" s="25">
        <v>1450.8</v>
      </c>
    </row>
    <row r="1482" spans="1:5" ht="26" x14ac:dyDescent="0.3">
      <c r="A1482" s="17" t="str">
        <f>"27364"</f>
        <v>27364</v>
      </c>
      <c r="B1482" s="5" t="s">
        <v>1639</v>
      </c>
      <c r="C1482" s="17">
        <v>20100101</v>
      </c>
      <c r="D1482" s="17">
        <v>22991231</v>
      </c>
      <c r="E1482" s="25">
        <v>1105.24</v>
      </c>
    </row>
    <row r="1483" spans="1:5" x14ac:dyDescent="0.3">
      <c r="A1483" s="17" t="str">
        <f>"27369"</f>
        <v>27369</v>
      </c>
      <c r="B1483" s="5" t="s">
        <v>1640</v>
      </c>
      <c r="C1483" s="17">
        <v>20190101</v>
      </c>
      <c r="D1483" s="17">
        <v>22991231</v>
      </c>
      <c r="E1483" s="25">
        <v>0</v>
      </c>
    </row>
    <row r="1484" spans="1:5" ht="26" x14ac:dyDescent="0.3">
      <c r="A1484" s="17" t="str">
        <f>"27372"</f>
        <v>27372</v>
      </c>
      <c r="B1484" s="5" t="s">
        <v>1641</v>
      </c>
      <c r="C1484" s="17">
        <v>19900101</v>
      </c>
      <c r="D1484" s="17">
        <v>22991231</v>
      </c>
      <c r="E1484" s="25">
        <v>1105.24</v>
      </c>
    </row>
    <row r="1485" spans="1:5" x14ac:dyDescent="0.3">
      <c r="A1485" s="17" t="str">
        <f>"27380"</f>
        <v>27380</v>
      </c>
      <c r="B1485" s="5" t="s">
        <v>1642</v>
      </c>
      <c r="C1485" s="17">
        <v>19900101</v>
      </c>
      <c r="D1485" s="17">
        <v>22991231</v>
      </c>
      <c r="E1485" s="25">
        <v>3240.75</v>
      </c>
    </row>
    <row r="1486" spans="1:5" x14ac:dyDescent="0.3">
      <c r="A1486" s="17" t="str">
        <f>"27381"</f>
        <v>27381</v>
      </c>
      <c r="B1486" s="5" t="s">
        <v>1643</v>
      </c>
      <c r="C1486" s="17">
        <v>19900101</v>
      </c>
      <c r="D1486" s="17">
        <v>22991231</v>
      </c>
      <c r="E1486" s="25">
        <v>4100.37</v>
      </c>
    </row>
    <row r="1487" spans="1:5" x14ac:dyDescent="0.3">
      <c r="A1487" s="17" t="str">
        <f>"27385"</f>
        <v>27385</v>
      </c>
      <c r="B1487" s="5" t="s">
        <v>1644</v>
      </c>
      <c r="C1487" s="17">
        <v>19900101</v>
      </c>
      <c r="D1487" s="17">
        <v>22991231</v>
      </c>
      <c r="E1487" s="25">
        <v>3240.75</v>
      </c>
    </row>
    <row r="1488" spans="1:5" x14ac:dyDescent="0.3">
      <c r="A1488" s="17" t="str">
        <f>"27386"</f>
        <v>27386</v>
      </c>
      <c r="B1488" s="5" t="s">
        <v>1645</v>
      </c>
      <c r="C1488" s="17">
        <v>19900101</v>
      </c>
      <c r="D1488" s="17">
        <v>22991231</v>
      </c>
      <c r="E1488" s="25">
        <v>3240.75</v>
      </c>
    </row>
    <row r="1489" spans="1:5" x14ac:dyDescent="0.3">
      <c r="A1489" s="17" t="str">
        <f>"27390"</f>
        <v>27390</v>
      </c>
      <c r="B1489" s="5" t="s">
        <v>1646</v>
      </c>
      <c r="C1489" s="17">
        <v>19900101</v>
      </c>
      <c r="D1489" s="17">
        <v>22991231</v>
      </c>
      <c r="E1489" s="25">
        <v>1450.8</v>
      </c>
    </row>
    <row r="1490" spans="1:5" x14ac:dyDescent="0.3">
      <c r="A1490" s="17" t="str">
        <f>"27391"</f>
        <v>27391</v>
      </c>
      <c r="B1490" s="5" t="s">
        <v>1647</v>
      </c>
      <c r="C1490" s="17">
        <v>19900101</v>
      </c>
      <c r="D1490" s="17">
        <v>22991231</v>
      </c>
      <c r="E1490" s="25">
        <v>1450.8</v>
      </c>
    </row>
    <row r="1491" spans="1:5" ht="26" x14ac:dyDescent="0.3">
      <c r="A1491" s="17" t="str">
        <f>"27392"</f>
        <v>27392</v>
      </c>
      <c r="B1491" s="5" t="s">
        <v>1648</v>
      </c>
      <c r="C1491" s="17">
        <v>19900101</v>
      </c>
      <c r="D1491" s="17">
        <v>22991231</v>
      </c>
      <c r="E1491" s="25">
        <v>1450.8</v>
      </c>
    </row>
    <row r="1492" spans="1:5" x14ac:dyDescent="0.3">
      <c r="A1492" s="17" t="str">
        <f>"27393"</f>
        <v>27393</v>
      </c>
      <c r="B1492" s="5" t="s">
        <v>1649</v>
      </c>
      <c r="C1492" s="17">
        <v>19900101</v>
      </c>
      <c r="D1492" s="17">
        <v>22991231</v>
      </c>
      <c r="E1492" s="25">
        <v>3240.75</v>
      </c>
    </row>
    <row r="1493" spans="1:5" x14ac:dyDescent="0.3">
      <c r="A1493" s="17" t="str">
        <f>"27394"</f>
        <v>27394</v>
      </c>
      <c r="B1493" s="5" t="s">
        <v>1650</v>
      </c>
      <c r="C1493" s="17">
        <v>19900101</v>
      </c>
      <c r="D1493" s="17">
        <v>22991231</v>
      </c>
      <c r="E1493" s="25">
        <v>3240.75</v>
      </c>
    </row>
    <row r="1494" spans="1:5" ht="26" x14ac:dyDescent="0.3">
      <c r="A1494" s="17" t="str">
        <f>"27395"</f>
        <v>27395</v>
      </c>
      <c r="B1494" s="5" t="s">
        <v>1651</v>
      </c>
      <c r="C1494" s="17">
        <v>19900101</v>
      </c>
      <c r="D1494" s="17">
        <v>22991231</v>
      </c>
      <c r="E1494" s="25">
        <v>1450.8</v>
      </c>
    </row>
    <row r="1495" spans="1:5" x14ac:dyDescent="0.3">
      <c r="A1495" s="17" t="str">
        <f>"27396"</f>
        <v>27396</v>
      </c>
      <c r="B1495" s="5" t="s">
        <v>1652</v>
      </c>
      <c r="C1495" s="17">
        <v>19900101</v>
      </c>
      <c r="D1495" s="17">
        <v>22991231</v>
      </c>
      <c r="E1495" s="25">
        <v>3240.75</v>
      </c>
    </row>
    <row r="1496" spans="1:5" x14ac:dyDescent="0.3">
      <c r="A1496" s="17" t="str">
        <f>"27397"</f>
        <v>27397</v>
      </c>
      <c r="B1496" s="5" t="s">
        <v>1653</v>
      </c>
      <c r="C1496" s="17">
        <v>19900101</v>
      </c>
      <c r="D1496" s="17">
        <v>22991231</v>
      </c>
      <c r="E1496" s="25">
        <v>3240.75</v>
      </c>
    </row>
    <row r="1497" spans="1:5" ht="26" x14ac:dyDescent="0.3">
      <c r="A1497" s="17" t="str">
        <f>"27400"</f>
        <v>27400</v>
      </c>
      <c r="B1497" s="5" t="s">
        <v>1654</v>
      </c>
      <c r="C1497" s="17">
        <v>19900101</v>
      </c>
      <c r="D1497" s="17">
        <v>22991231</v>
      </c>
      <c r="E1497" s="25">
        <v>3240.75</v>
      </c>
    </row>
    <row r="1498" spans="1:5" x14ac:dyDescent="0.3">
      <c r="A1498" s="17" t="str">
        <f>"27403"</f>
        <v>27403</v>
      </c>
      <c r="B1498" s="5" t="s">
        <v>1655</v>
      </c>
      <c r="C1498" s="17">
        <v>19900101</v>
      </c>
      <c r="D1498" s="17">
        <v>22991231</v>
      </c>
      <c r="E1498" s="25">
        <v>4513.37</v>
      </c>
    </row>
    <row r="1499" spans="1:5" ht="26" x14ac:dyDescent="0.3">
      <c r="A1499" s="17" t="str">
        <f>"27405"</f>
        <v>27405</v>
      </c>
      <c r="B1499" s="5" t="s">
        <v>1656</v>
      </c>
      <c r="C1499" s="17">
        <v>19900101</v>
      </c>
      <c r="D1499" s="17">
        <v>22991231</v>
      </c>
      <c r="E1499" s="25">
        <v>3240.75</v>
      </c>
    </row>
    <row r="1500" spans="1:5" ht="26" x14ac:dyDescent="0.3">
      <c r="A1500" s="17" t="str">
        <f>"27407"</f>
        <v>27407</v>
      </c>
      <c r="B1500" s="5" t="s">
        <v>1657</v>
      </c>
      <c r="C1500" s="17">
        <v>19900101</v>
      </c>
      <c r="D1500" s="17">
        <v>22991231</v>
      </c>
      <c r="E1500" s="25">
        <v>4431.74</v>
      </c>
    </row>
    <row r="1501" spans="1:5" ht="26" x14ac:dyDescent="0.3">
      <c r="A1501" s="17" t="str">
        <f>"27409"</f>
        <v>27409</v>
      </c>
      <c r="B1501" s="5" t="s">
        <v>1658</v>
      </c>
      <c r="C1501" s="17">
        <v>19900101</v>
      </c>
      <c r="D1501" s="17">
        <v>22991231</v>
      </c>
      <c r="E1501" s="25">
        <v>3240.75</v>
      </c>
    </row>
    <row r="1502" spans="1:5" x14ac:dyDescent="0.3">
      <c r="A1502" s="17" t="str">
        <f>"27412"</f>
        <v>27412</v>
      </c>
      <c r="B1502" s="5" t="s">
        <v>1659</v>
      </c>
      <c r="C1502" s="17">
        <v>20230101</v>
      </c>
      <c r="D1502" s="17">
        <v>22991231</v>
      </c>
      <c r="E1502" s="25">
        <v>5607.82</v>
      </c>
    </row>
    <row r="1503" spans="1:5" ht="26" x14ac:dyDescent="0.3">
      <c r="A1503" s="17" t="str">
        <f>"27415"</f>
        <v>27415</v>
      </c>
      <c r="B1503" s="5" t="s">
        <v>1660</v>
      </c>
      <c r="C1503" s="17">
        <v>19900101</v>
      </c>
      <c r="D1503" s="17">
        <v>22991231</v>
      </c>
      <c r="E1503" s="25">
        <v>9148.44</v>
      </c>
    </row>
    <row r="1504" spans="1:5" ht="26" x14ac:dyDescent="0.3">
      <c r="A1504" s="17" t="str">
        <f>"27416"</f>
        <v>27416</v>
      </c>
      <c r="B1504" s="5" t="s">
        <v>1661</v>
      </c>
      <c r="C1504" s="17">
        <v>20080101</v>
      </c>
      <c r="D1504" s="17">
        <v>22991231</v>
      </c>
      <c r="E1504" s="25">
        <v>3240.75</v>
      </c>
    </row>
    <row r="1505" spans="1:5" x14ac:dyDescent="0.3">
      <c r="A1505" s="17" t="str">
        <f>"27418"</f>
        <v>27418</v>
      </c>
      <c r="B1505" s="5" t="s">
        <v>1662</v>
      </c>
      <c r="C1505" s="17">
        <v>19900101</v>
      </c>
      <c r="D1505" s="17">
        <v>22991231</v>
      </c>
      <c r="E1505" s="25">
        <v>3240.75</v>
      </c>
    </row>
    <row r="1506" spans="1:5" x14ac:dyDescent="0.3">
      <c r="A1506" s="17" t="str">
        <f>"27420"</f>
        <v>27420</v>
      </c>
      <c r="B1506" s="5" t="s">
        <v>1663</v>
      </c>
      <c r="C1506" s="17">
        <v>19900101</v>
      </c>
      <c r="D1506" s="17">
        <v>22991231</v>
      </c>
      <c r="E1506" s="25">
        <v>3240.75</v>
      </c>
    </row>
    <row r="1507" spans="1:5" x14ac:dyDescent="0.3">
      <c r="A1507" s="17" t="str">
        <f>"27422"</f>
        <v>27422</v>
      </c>
      <c r="B1507" s="5" t="s">
        <v>1664</v>
      </c>
      <c r="C1507" s="17">
        <v>19900101</v>
      </c>
      <c r="D1507" s="17">
        <v>22991231</v>
      </c>
      <c r="E1507" s="25">
        <v>3240.75</v>
      </c>
    </row>
    <row r="1508" spans="1:5" ht="26" x14ac:dyDescent="0.3">
      <c r="A1508" s="17" t="str">
        <f>"27424"</f>
        <v>27424</v>
      </c>
      <c r="B1508" s="5" t="s">
        <v>1665</v>
      </c>
      <c r="C1508" s="17">
        <v>19900101</v>
      </c>
      <c r="D1508" s="17">
        <v>22991231</v>
      </c>
      <c r="E1508" s="25">
        <v>3240.75</v>
      </c>
    </row>
    <row r="1509" spans="1:5" x14ac:dyDescent="0.3">
      <c r="A1509" s="17" t="str">
        <f>"27425"</f>
        <v>27425</v>
      </c>
      <c r="B1509" s="5" t="s">
        <v>1666</v>
      </c>
      <c r="C1509" s="17">
        <v>19900101</v>
      </c>
      <c r="D1509" s="17">
        <v>22991231</v>
      </c>
      <c r="E1509" s="25">
        <v>1450.8</v>
      </c>
    </row>
    <row r="1510" spans="1:5" x14ac:dyDescent="0.3">
      <c r="A1510" s="17" t="str">
        <f>"27427"</f>
        <v>27427</v>
      </c>
      <c r="B1510" s="5" t="s">
        <v>1667</v>
      </c>
      <c r="C1510" s="17">
        <v>19900101</v>
      </c>
      <c r="D1510" s="17">
        <v>22991231</v>
      </c>
      <c r="E1510" s="25">
        <v>4285.3100000000004</v>
      </c>
    </row>
    <row r="1511" spans="1:5" x14ac:dyDescent="0.3">
      <c r="A1511" s="17" t="str">
        <f>"27428"</f>
        <v>27428</v>
      </c>
      <c r="B1511" s="5" t="s">
        <v>1668</v>
      </c>
      <c r="C1511" s="17">
        <v>19900101</v>
      </c>
      <c r="D1511" s="17">
        <v>22991231</v>
      </c>
      <c r="E1511" s="25">
        <v>7883.88</v>
      </c>
    </row>
    <row r="1512" spans="1:5" ht="26" x14ac:dyDescent="0.3">
      <c r="A1512" s="17" t="str">
        <f>"27429"</f>
        <v>27429</v>
      </c>
      <c r="B1512" s="5" t="s">
        <v>1669</v>
      </c>
      <c r="C1512" s="17">
        <v>19900101</v>
      </c>
      <c r="D1512" s="17">
        <v>22991231</v>
      </c>
      <c r="E1512" s="25">
        <v>8168.07</v>
      </c>
    </row>
    <row r="1513" spans="1:5" x14ac:dyDescent="0.3">
      <c r="A1513" s="17" t="str">
        <f>"27430"</f>
        <v>27430</v>
      </c>
      <c r="B1513" s="5" t="s">
        <v>1670</v>
      </c>
      <c r="C1513" s="17">
        <v>19900101</v>
      </c>
      <c r="D1513" s="17">
        <v>22991231</v>
      </c>
      <c r="E1513" s="25">
        <v>3240.75</v>
      </c>
    </row>
    <row r="1514" spans="1:5" x14ac:dyDescent="0.3">
      <c r="A1514" s="17" t="str">
        <f>"27435"</f>
        <v>27435</v>
      </c>
      <c r="B1514" s="5" t="s">
        <v>1671</v>
      </c>
      <c r="C1514" s="17">
        <v>19900101</v>
      </c>
      <c r="D1514" s="17">
        <v>22991231</v>
      </c>
      <c r="E1514" s="25">
        <v>1450.8</v>
      </c>
    </row>
    <row r="1515" spans="1:5" x14ac:dyDescent="0.3">
      <c r="A1515" s="17" t="str">
        <f>"27437"</f>
        <v>27437</v>
      </c>
      <c r="B1515" s="5" t="s">
        <v>1672</v>
      </c>
      <c r="C1515" s="17">
        <v>19900101</v>
      </c>
      <c r="D1515" s="17">
        <v>22991231</v>
      </c>
      <c r="E1515" s="25">
        <v>3240.75</v>
      </c>
    </row>
    <row r="1516" spans="1:5" x14ac:dyDescent="0.3">
      <c r="A1516" s="17" t="str">
        <f>"27438"</f>
        <v>27438</v>
      </c>
      <c r="B1516" s="5" t="s">
        <v>1673</v>
      </c>
      <c r="C1516" s="17">
        <v>19900101</v>
      </c>
      <c r="D1516" s="17">
        <v>22991231</v>
      </c>
      <c r="E1516" s="25">
        <v>8080.79</v>
      </c>
    </row>
    <row r="1517" spans="1:5" x14ac:dyDescent="0.3">
      <c r="A1517" s="17" t="str">
        <f>"27440"</f>
        <v>27440</v>
      </c>
      <c r="B1517" s="5" t="s">
        <v>1674</v>
      </c>
      <c r="C1517" s="17">
        <v>19900101</v>
      </c>
      <c r="D1517" s="17">
        <v>22991231</v>
      </c>
      <c r="E1517" s="25">
        <v>8068.31</v>
      </c>
    </row>
    <row r="1518" spans="1:5" ht="26" x14ac:dyDescent="0.3">
      <c r="A1518" s="17" t="str">
        <f>"27441"</f>
        <v>27441</v>
      </c>
      <c r="B1518" s="5" t="s">
        <v>1675</v>
      </c>
      <c r="C1518" s="17">
        <v>19900101</v>
      </c>
      <c r="D1518" s="17">
        <v>22991231</v>
      </c>
      <c r="E1518" s="25">
        <v>6208.9</v>
      </c>
    </row>
    <row r="1519" spans="1:5" ht="26" x14ac:dyDescent="0.3">
      <c r="A1519" s="17" t="str">
        <f>"27442"</f>
        <v>27442</v>
      </c>
      <c r="B1519" s="5" t="s">
        <v>1676</v>
      </c>
      <c r="C1519" s="17">
        <v>19900101</v>
      </c>
      <c r="D1519" s="17">
        <v>22991231</v>
      </c>
      <c r="E1519" s="25">
        <v>8308.86</v>
      </c>
    </row>
    <row r="1520" spans="1:5" ht="26" x14ac:dyDescent="0.3">
      <c r="A1520" s="17" t="str">
        <f>"27443"</f>
        <v>27443</v>
      </c>
      <c r="B1520" s="5" t="s">
        <v>1677</v>
      </c>
      <c r="C1520" s="17">
        <v>19900101</v>
      </c>
      <c r="D1520" s="17">
        <v>22991231</v>
      </c>
      <c r="E1520" s="25">
        <v>8320.2900000000009</v>
      </c>
    </row>
    <row r="1521" spans="1:5" x14ac:dyDescent="0.3">
      <c r="A1521" s="17" t="str">
        <f>"27446"</f>
        <v>27446</v>
      </c>
      <c r="B1521" s="5" t="s">
        <v>1678</v>
      </c>
      <c r="C1521" s="17">
        <v>19900101</v>
      </c>
      <c r="D1521" s="17">
        <v>22991231</v>
      </c>
      <c r="E1521" s="25">
        <v>8506.2900000000009</v>
      </c>
    </row>
    <row r="1522" spans="1:5" x14ac:dyDescent="0.3">
      <c r="A1522" s="17" t="str">
        <f>"27447"</f>
        <v>27447</v>
      </c>
      <c r="B1522" s="5" t="s">
        <v>1679</v>
      </c>
      <c r="C1522" s="17">
        <v>19900101</v>
      </c>
      <c r="D1522" s="17">
        <v>22991231</v>
      </c>
      <c r="E1522" s="25">
        <v>8642.92</v>
      </c>
    </row>
    <row r="1523" spans="1:5" ht="26" x14ac:dyDescent="0.3">
      <c r="A1523" s="17" t="str">
        <f>"27475"</f>
        <v>27475</v>
      </c>
      <c r="B1523" s="5" t="s">
        <v>1680</v>
      </c>
      <c r="C1523" s="17">
        <v>19900101</v>
      </c>
      <c r="D1523" s="17">
        <v>22991231</v>
      </c>
      <c r="E1523" s="25">
        <v>3240.75</v>
      </c>
    </row>
    <row r="1524" spans="1:5" ht="26" x14ac:dyDescent="0.3">
      <c r="A1524" s="17" t="str">
        <f>"27477"</f>
        <v>27477</v>
      </c>
      <c r="B1524" s="5" t="s">
        <v>1681</v>
      </c>
      <c r="C1524" s="17">
        <v>19900101</v>
      </c>
      <c r="D1524" s="17">
        <v>22991231</v>
      </c>
      <c r="E1524" s="24" t="s">
        <v>7128</v>
      </c>
    </row>
    <row r="1525" spans="1:5" x14ac:dyDescent="0.3">
      <c r="A1525" s="17" t="str">
        <f>"27479"</f>
        <v>27479</v>
      </c>
      <c r="B1525" s="5" t="s">
        <v>1682</v>
      </c>
      <c r="C1525" s="17">
        <v>19900101</v>
      </c>
      <c r="D1525" s="17">
        <v>22991231</v>
      </c>
      <c r="E1525" s="25">
        <v>3240.75</v>
      </c>
    </row>
    <row r="1526" spans="1:5" x14ac:dyDescent="0.3">
      <c r="A1526" s="17" t="str">
        <f>"27485"</f>
        <v>27485</v>
      </c>
      <c r="B1526" s="5" t="s">
        <v>1683</v>
      </c>
      <c r="C1526" s="17">
        <v>19900101</v>
      </c>
      <c r="D1526" s="17">
        <v>22991231</v>
      </c>
      <c r="E1526" s="24" t="s">
        <v>7128</v>
      </c>
    </row>
    <row r="1527" spans="1:5" ht="26" x14ac:dyDescent="0.3">
      <c r="A1527" s="17" t="str">
        <f>"27496"</f>
        <v>27496</v>
      </c>
      <c r="B1527" s="5" t="s">
        <v>1684</v>
      </c>
      <c r="C1527" s="17">
        <v>20030401</v>
      </c>
      <c r="D1527" s="17">
        <v>22991231</v>
      </c>
      <c r="E1527" s="25">
        <v>1450.8</v>
      </c>
    </row>
    <row r="1528" spans="1:5" ht="26" x14ac:dyDescent="0.3">
      <c r="A1528" s="17" t="str">
        <f>"27497"</f>
        <v>27497</v>
      </c>
      <c r="B1528" s="5" t="s">
        <v>1685</v>
      </c>
      <c r="C1528" s="17">
        <v>20030401</v>
      </c>
      <c r="D1528" s="17">
        <v>22991231</v>
      </c>
      <c r="E1528" s="25">
        <v>1450.8</v>
      </c>
    </row>
    <row r="1529" spans="1:5" ht="26" x14ac:dyDescent="0.3">
      <c r="A1529" s="17" t="str">
        <f>"27498"</f>
        <v>27498</v>
      </c>
      <c r="B1529" s="5" t="s">
        <v>1686</v>
      </c>
      <c r="C1529" s="17">
        <v>20030401</v>
      </c>
      <c r="D1529" s="17">
        <v>22991231</v>
      </c>
      <c r="E1529" s="25">
        <v>782.3</v>
      </c>
    </row>
    <row r="1530" spans="1:5" ht="39" x14ac:dyDescent="0.3">
      <c r="A1530" s="17" t="str">
        <f>"27499"</f>
        <v>27499</v>
      </c>
      <c r="B1530" s="5" t="s">
        <v>1687</v>
      </c>
      <c r="C1530" s="17">
        <v>20030401</v>
      </c>
      <c r="D1530" s="17">
        <v>22991231</v>
      </c>
      <c r="E1530" s="25">
        <v>3240.75</v>
      </c>
    </row>
    <row r="1531" spans="1:5" x14ac:dyDescent="0.3">
      <c r="A1531" s="17" t="str">
        <f>"27500"</f>
        <v>27500</v>
      </c>
      <c r="B1531" s="5" t="s">
        <v>1688</v>
      </c>
      <c r="C1531" s="17">
        <v>19900101</v>
      </c>
      <c r="D1531" s="17">
        <v>22991231</v>
      </c>
      <c r="E1531" s="25">
        <v>116.84</v>
      </c>
    </row>
    <row r="1532" spans="1:5" ht="26" x14ac:dyDescent="0.3">
      <c r="A1532" s="17" t="str">
        <f>"27501"</f>
        <v>27501</v>
      </c>
      <c r="B1532" s="5" t="s">
        <v>1689</v>
      </c>
      <c r="C1532" s="17">
        <v>20230101</v>
      </c>
      <c r="D1532" s="17">
        <v>22991231</v>
      </c>
      <c r="E1532" s="25">
        <v>116.84</v>
      </c>
    </row>
    <row r="1533" spans="1:5" ht="26" x14ac:dyDescent="0.3">
      <c r="A1533" s="17" t="str">
        <f>"27502"</f>
        <v>27502</v>
      </c>
      <c r="B1533" s="5" t="s">
        <v>1690</v>
      </c>
      <c r="C1533" s="17">
        <v>19900101</v>
      </c>
      <c r="D1533" s="17">
        <v>22991231</v>
      </c>
      <c r="E1533" s="25">
        <v>782.3</v>
      </c>
    </row>
    <row r="1534" spans="1:5" ht="26" x14ac:dyDescent="0.3">
      <c r="A1534" s="17" t="str">
        <f>"27503"</f>
        <v>27503</v>
      </c>
      <c r="B1534" s="5" t="s">
        <v>1691</v>
      </c>
      <c r="C1534" s="17">
        <v>20230101</v>
      </c>
      <c r="D1534" s="17">
        <v>22991231</v>
      </c>
      <c r="E1534" s="25">
        <v>782.3</v>
      </c>
    </row>
    <row r="1535" spans="1:5" ht="26" x14ac:dyDescent="0.3">
      <c r="A1535" s="17" t="str">
        <f>"27508"</f>
        <v>27508</v>
      </c>
      <c r="B1535" s="5" t="s">
        <v>1692</v>
      </c>
      <c r="C1535" s="17">
        <v>19900101</v>
      </c>
      <c r="D1535" s="17">
        <v>22991231</v>
      </c>
      <c r="E1535" s="25">
        <v>116.84</v>
      </c>
    </row>
    <row r="1536" spans="1:5" ht="26" x14ac:dyDescent="0.3">
      <c r="A1536" s="17" t="str">
        <f>"27509"</f>
        <v>27509</v>
      </c>
      <c r="B1536" s="5" t="s">
        <v>1693</v>
      </c>
      <c r="C1536" s="17">
        <v>19970801</v>
      </c>
      <c r="D1536" s="17">
        <v>22991231</v>
      </c>
      <c r="E1536" s="25">
        <v>4391.34</v>
      </c>
    </row>
    <row r="1537" spans="1:5" ht="26" x14ac:dyDescent="0.3">
      <c r="A1537" s="17" t="str">
        <f>"27510"</f>
        <v>27510</v>
      </c>
      <c r="B1537" s="5" t="s">
        <v>1694</v>
      </c>
      <c r="C1537" s="17">
        <v>19900101</v>
      </c>
      <c r="D1537" s="17">
        <v>22991231</v>
      </c>
      <c r="E1537" s="25">
        <v>782.3</v>
      </c>
    </row>
    <row r="1538" spans="1:5" ht="26" x14ac:dyDescent="0.3">
      <c r="A1538" s="17" t="str">
        <f>"27514"</f>
        <v>27514</v>
      </c>
      <c r="B1538" s="5" t="s">
        <v>1695</v>
      </c>
      <c r="C1538" s="17">
        <v>19900101</v>
      </c>
      <c r="D1538" s="17">
        <v>22991231</v>
      </c>
      <c r="E1538" s="24" t="s">
        <v>7128</v>
      </c>
    </row>
    <row r="1539" spans="1:5" ht="26" x14ac:dyDescent="0.3">
      <c r="A1539" s="17" t="str">
        <f>"27516"</f>
        <v>27516</v>
      </c>
      <c r="B1539" s="5" t="s">
        <v>1696</v>
      </c>
      <c r="C1539" s="17">
        <v>19900101</v>
      </c>
      <c r="D1539" s="17">
        <v>22991231</v>
      </c>
      <c r="E1539" s="25">
        <v>116.84</v>
      </c>
    </row>
    <row r="1540" spans="1:5" ht="26" x14ac:dyDescent="0.3">
      <c r="A1540" s="17" t="str">
        <f>"27517"</f>
        <v>27517</v>
      </c>
      <c r="B1540" s="5" t="s">
        <v>1697</v>
      </c>
      <c r="C1540" s="17">
        <v>19900101</v>
      </c>
      <c r="D1540" s="17">
        <v>22991231</v>
      </c>
      <c r="E1540" s="25">
        <v>782.3</v>
      </c>
    </row>
    <row r="1541" spans="1:5" x14ac:dyDescent="0.3">
      <c r="A1541" s="17" t="str">
        <f>"27520"</f>
        <v>27520</v>
      </c>
      <c r="B1541" s="5" t="s">
        <v>1698</v>
      </c>
      <c r="C1541" s="17">
        <v>19900101</v>
      </c>
      <c r="D1541" s="17">
        <v>22991231</v>
      </c>
      <c r="E1541" s="25">
        <v>116.84</v>
      </c>
    </row>
    <row r="1542" spans="1:5" ht="26" x14ac:dyDescent="0.3">
      <c r="A1542" s="17" t="str">
        <f>"27524"</f>
        <v>27524</v>
      </c>
      <c r="B1542" s="5" t="s">
        <v>1699</v>
      </c>
      <c r="C1542" s="17">
        <v>19900101</v>
      </c>
      <c r="D1542" s="17">
        <v>22991231</v>
      </c>
      <c r="E1542" s="25">
        <v>3240.75</v>
      </c>
    </row>
    <row r="1543" spans="1:5" x14ac:dyDescent="0.3">
      <c r="A1543" s="17" t="str">
        <f>"27530"</f>
        <v>27530</v>
      </c>
      <c r="B1543" s="5" t="s">
        <v>1700</v>
      </c>
      <c r="C1543" s="17">
        <v>19900101</v>
      </c>
      <c r="D1543" s="17">
        <v>22991231</v>
      </c>
      <c r="E1543" s="25">
        <v>116.84</v>
      </c>
    </row>
    <row r="1544" spans="1:5" ht="26" x14ac:dyDescent="0.3">
      <c r="A1544" s="17" t="str">
        <f>"27532"</f>
        <v>27532</v>
      </c>
      <c r="B1544" s="5" t="s">
        <v>1701</v>
      </c>
      <c r="C1544" s="17">
        <v>19900101</v>
      </c>
      <c r="D1544" s="17">
        <v>22991231</v>
      </c>
      <c r="E1544" s="25">
        <v>1450.8</v>
      </c>
    </row>
    <row r="1545" spans="1:5" ht="26" x14ac:dyDescent="0.3">
      <c r="A1545" s="17" t="str">
        <f>"27538"</f>
        <v>27538</v>
      </c>
      <c r="B1545" s="5" t="s">
        <v>1702</v>
      </c>
      <c r="C1545" s="17">
        <v>19900101</v>
      </c>
      <c r="D1545" s="17">
        <v>22991231</v>
      </c>
      <c r="E1545" s="25">
        <v>116.84</v>
      </c>
    </row>
    <row r="1546" spans="1:5" x14ac:dyDescent="0.3">
      <c r="A1546" s="17" t="str">
        <f>"27540"</f>
        <v>27540</v>
      </c>
      <c r="B1546" s="5" t="s">
        <v>1703</v>
      </c>
      <c r="C1546" s="17">
        <v>19900101</v>
      </c>
      <c r="D1546" s="17">
        <v>22991231</v>
      </c>
      <c r="E1546" s="24" t="s">
        <v>7128</v>
      </c>
    </row>
    <row r="1547" spans="1:5" x14ac:dyDescent="0.3">
      <c r="A1547" s="17" t="str">
        <f>"27550"</f>
        <v>27550</v>
      </c>
      <c r="B1547" s="5" t="s">
        <v>1704</v>
      </c>
      <c r="C1547" s="17">
        <v>19900101</v>
      </c>
      <c r="D1547" s="17">
        <v>22991231</v>
      </c>
      <c r="E1547" s="25">
        <v>116.84</v>
      </c>
    </row>
    <row r="1548" spans="1:5" ht="26" x14ac:dyDescent="0.3">
      <c r="A1548" s="17" t="str">
        <f>"27552"</f>
        <v>27552</v>
      </c>
      <c r="B1548" s="5" t="s">
        <v>1705</v>
      </c>
      <c r="C1548" s="17">
        <v>19900101</v>
      </c>
      <c r="D1548" s="17">
        <v>22991231</v>
      </c>
      <c r="E1548" s="25">
        <v>782.3</v>
      </c>
    </row>
    <row r="1549" spans="1:5" ht="26" x14ac:dyDescent="0.3">
      <c r="A1549" s="17" t="str">
        <f>"27557"</f>
        <v>27557</v>
      </c>
      <c r="B1549" s="5" t="s">
        <v>1706</v>
      </c>
      <c r="C1549" s="17">
        <v>19900101</v>
      </c>
      <c r="D1549" s="17">
        <v>22991231</v>
      </c>
      <c r="E1549" s="24" t="s">
        <v>7128</v>
      </c>
    </row>
    <row r="1550" spans="1:5" x14ac:dyDescent="0.3">
      <c r="A1550" s="17" t="str">
        <f>"27560"</f>
        <v>27560</v>
      </c>
      <c r="B1550" s="5" t="s">
        <v>1707</v>
      </c>
      <c r="C1550" s="17">
        <v>19900101</v>
      </c>
      <c r="D1550" s="17">
        <v>22991231</v>
      </c>
      <c r="E1550" s="25">
        <v>116.84</v>
      </c>
    </row>
    <row r="1551" spans="1:5" ht="26" x14ac:dyDescent="0.3">
      <c r="A1551" s="17" t="str">
        <f>"27562"</f>
        <v>27562</v>
      </c>
      <c r="B1551" s="5" t="s">
        <v>1708</v>
      </c>
      <c r="C1551" s="17">
        <v>19900101</v>
      </c>
      <c r="D1551" s="17">
        <v>22991231</v>
      </c>
      <c r="E1551" s="25">
        <v>116.84</v>
      </c>
    </row>
    <row r="1552" spans="1:5" x14ac:dyDescent="0.3">
      <c r="A1552" s="17" t="str">
        <f>"27566"</f>
        <v>27566</v>
      </c>
      <c r="B1552" s="5" t="s">
        <v>1709</v>
      </c>
      <c r="C1552" s="17">
        <v>19900101</v>
      </c>
      <c r="D1552" s="17">
        <v>22991231</v>
      </c>
      <c r="E1552" s="25">
        <v>3240.75</v>
      </c>
    </row>
    <row r="1553" spans="1:5" x14ac:dyDescent="0.3">
      <c r="A1553" s="17" t="str">
        <f>"27570"</f>
        <v>27570</v>
      </c>
      <c r="B1553" s="5" t="s">
        <v>1710</v>
      </c>
      <c r="C1553" s="17">
        <v>19900101</v>
      </c>
      <c r="D1553" s="17">
        <v>22991231</v>
      </c>
      <c r="E1553" s="25">
        <v>782.3</v>
      </c>
    </row>
    <row r="1554" spans="1:5" ht="26" x14ac:dyDescent="0.3">
      <c r="A1554" s="17" t="str">
        <f>"27594"</f>
        <v>27594</v>
      </c>
      <c r="B1554" s="5" t="s">
        <v>1711</v>
      </c>
      <c r="C1554" s="17">
        <v>19900101</v>
      </c>
      <c r="D1554" s="17">
        <v>22991231</v>
      </c>
      <c r="E1554" s="25">
        <v>1450.8</v>
      </c>
    </row>
    <row r="1555" spans="1:5" x14ac:dyDescent="0.3">
      <c r="A1555" s="17" t="str">
        <f>"27599"</f>
        <v>27599</v>
      </c>
      <c r="B1555" s="5" t="s">
        <v>1712</v>
      </c>
      <c r="C1555" s="17">
        <v>19900101</v>
      </c>
      <c r="D1555" s="17">
        <v>22991231</v>
      </c>
      <c r="E1555" s="24" t="s">
        <v>7128</v>
      </c>
    </row>
    <row r="1556" spans="1:5" ht="26" x14ac:dyDescent="0.3">
      <c r="A1556" s="17" t="str">
        <f>"27600"</f>
        <v>27600</v>
      </c>
      <c r="B1556" s="5" t="s">
        <v>1713</v>
      </c>
      <c r="C1556" s="17">
        <v>19900101</v>
      </c>
      <c r="D1556" s="17">
        <v>22991231</v>
      </c>
      <c r="E1556" s="25">
        <v>1450.8</v>
      </c>
    </row>
    <row r="1557" spans="1:5" ht="26" x14ac:dyDescent="0.3">
      <c r="A1557" s="17" t="str">
        <f>"27601"</f>
        <v>27601</v>
      </c>
      <c r="B1557" s="5" t="s">
        <v>1714</v>
      </c>
      <c r="C1557" s="17">
        <v>19900101</v>
      </c>
      <c r="D1557" s="17">
        <v>22991231</v>
      </c>
      <c r="E1557" s="25">
        <v>1450.8</v>
      </c>
    </row>
    <row r="1558" spans="1:5" ht="26" x14ac:dyDescent="0.3">
      <c r="A1558" s="17" t="str">
        <f>"27602"</f>
        <v>27602</v>
      </c>
      <c r="B1558" s="5" t="s">
        <v>1715</v>
      </c>
      <c r="C1558" s="17">
        <v>19900101</v>
      </c>
      <c r="D1558" s="17">
        <v>22991231</v>
      </c>
      <c r="E1558" s="25">
        <v>1450.8</v>
      </c>
    </row>
    <row r="1559" spans="1:5" ht="26" x14ac:dyDescent="0.3">
      <c r="A1559" s="17" t="str">
        <f>"27603"</f>
        <v>27603</v>
      </c>
      <c r="B1559" s="5" t="s">
        <v>1716</v>
      </c>
      <c r="C1559" s="17">
        <v>19900101</v>
      </c>
      <c r="D1559" s="17">
        <v>22991231</v>
      </c>
      <c r="E1559" s="25">
        <v>1105.24</v>
      </c>
    </row>
    <row r="1560" spans="1:5" ht="26" x14ac:dyDescent="0.3">
      <c r="A1560" s="17" t="str">
        <f>"27604"</f>
        <v>27604</v>
      </c>
      <c r="B1560" s="5" t="s">
        <v>1717</v>
      </c>
      <c r="C1560" s="17">
        <v>19900101</v>
      </c>
      <c r="D1560" s="17">
        <v>22991231</v>
      </c>
      <c r="E1560" s="25">
        <v>1450.8</v>
      </c>
    </row>
    <row r="1561" spans="1:5" ht="26" x14ac:dyDescent="0.3">
      <c r="A1561" s="17" t="str">
        <f>"27605"</f>
        <v>27605</v>
      </c>
      <c r="B1561" s="5" t="s">
        <v>1718</v>
      </c>
      <c r="C1561" s="17">
        <v>19900101</v>
      </c>
      <c r="D1561" s="17">
        <v>22991231</v>
      </c>
      <c r="E1561" s="25">
        <v>782.3</v>
      </c>
    </row>
    <row r="1562" spans="1:5" x14ac:dyDescent="0.3">
      <c r="A1562" s="17" t="str">
        <f>"27606"</f>
        <v>27606</v>
      </c>
      <c r="B1562" s="5" t="s">
        <v>1719</v>
      </c>
      <c r="C1562" s="17">
        <v>19900101</v>
      </c>
      <c r="D1562" s="17">
        <v>22991231</v>
      </c>
      <c r="E1562" s="25">
        <v>1450.8</v>
      </c>
    </row>
    <row r="1563" spans="1:5" x14ac:dyDescent="0.3">
      <c r="A1563" s="17" t="str">
        <f>"27607"</f>
        <v>27607</v>
      </c>
      <c r="B1563" s="5" t="s">
        <v>1720</v>
      </c>
      <c r="C1563" s="17">
        <v>19900101</v>
      </c>
      <c r="D1563" s="17">
        <v>22991231</v>
      </c>
      <c r="E1563" s="25">
        <v>1450.8</v>
      </c>
    </row>
    <row r="1564" spans="1:5" ht="26" x14ac:dyDescent="0.3">
      <c r="A1564" s="17" t="str">
        <f>"27610"</f>
        <v>27610</v>
      </c>
      <c r="B1564" s="5" t="s">
        <v>1721</v>
      </c>
      <c r="C1564" s="17">
        <v>19900101</v>
      </c>
      <c r="D1564" s="17">
        <v>22991231</v>
      </c>
      <c r="E1564" s="25">
        <v>1450.8</v>
      </c>
    </row>
    <row r="1565" spans="1:5" x14ac:dyDescent="0.3">
      <c r="A1565" s="17" t="str">
        <f>"27612"</f>
        <v>27612</v>
      </c>
      <c r="B1565" s="5" t="s">
        <v>1722</v>
      </c>
      <c r="C1565" s="17">
        <v>19900101</v>
      </c>
      <c r="D1565" s="17">
        <v>22991231</v>
      </c>
      <c r="E1565" s="25">
        <v>1450.8</v>
      </c>
    </row>
    <row r="1566" spans="1:5" x14ac:dyDescent="0.3">
      <c r="A1566" s="17" t="str">
        <f>"27613"</f>
        <v>27613</v>
      </c>
      <c r="B1566" s="5" t="s">
        <v>1723</v>
      </c>
      <c r="C1566" s="17">
        <v>19900101</v>
      </c>
      <c r="D1566" s="17">
        <v>22991231</v>
      </c>
      <c r="E1566" s="25">
        <v>160.13</v>
      </c>
    </row>
    <row r="1567" spans="1:5" x14ac:dyDescent="0.3">
      <c r="A1567" s="17" t="str">
        <f>"27614"</f>
        <v>27614</v>
      </c>
      <c r="B1567" s="5" t="s">
        <v>1724</v>
      </c>
      <c r="C1567" s="17">
        <v>19900101</v>
      </c>
      <c r="D1567" s="17">
        <v>22991231</v>
      </c>
      <c r="E1567" s="25">
        <v>1105.24</v>
      </c>
    </row>
    <row r="1568" spans="1:5" ht="26" x14ac:dyDescent="0.3">
      <c r="A1568" s="17" t="str">
        <f>"27615"</f>
        <v>27615</v>
      </c>
      <c r="B1568" s="5" t="s">
        <v>1725</v>
      </c>
      <c r="C1568" s="17">
        <v>19970801</v>
      </c>
      <c r="D1568" s="17">
        <v>22991231</v>
      </c>
      <c r="E1568" s="25">
        <v>1105.24</v>
      </c>
    </row>
    <row r="1569" spans="1:5" ht="26" x14ac:dyDescent="0.3">
      <c r="A1569" s="17" t="str">
        <f>"27616"</f>
        <v>27616</v>
      </c>
      <c r="B1569" s="5" t="s">
        <v>1726</v>
      </c>
      <c r="C1569" s="17">
        <v>20100101</v>
      </c>
      <c r="D1569" s="17">
        <v>22991231</v>
      </c>
      <c r="E1569" s="25">
        <v>1105.24</v>
      </c>
    </row>
    <row r="1570" spans="1:5" ht="26" x14ac:dyDescent="0.3">
      <c r="A1570" s="17" t="str">
        <f>"27618"</f>
        <v>27618</v>
      </c>
      <c r="B1570" s="5" t="s">
        <v>1727</v>
      </c>
      <c r="C1570" s="17">
        <v>19900101</v>
      </c>
      <c r="D1570" s="17">
        <v>22991231</v>
      </c>
      <c r="E1570" s="25">
        <v>652.27</v>
      </c>
    </row>
    <row r="1571" spans="1:5" ht="26" x14ac:dyDescent="0.3">
      <c r="A1571" s="17" t="str">
        <f>"27619"</f>
        <v>27619</v>
      </c>
      <c r="B1571" s="5" t="s">
        <v>1728</v>
      </c>
      <c r="C1571" s="17">
        <v>19900101</v>
      </c>
      <c r="D1571" s="17">
        <v>22991231</v>
      </c>
      <c r="E1571" s="25">
        <v>1105.24</v>
      </c>
    </row>
    <row r="1572" spans="1:5" x14ac:dyDescent="0.3">
      <c r="A1572" s="17" t="str">
        <f>"27620"</f>
        <v>27620</v>
      </c>
      <c r="B1572" s="5" t="s">
        <v>1729</v>
      </c>
      <c r="C1572" s="17">
        <v>19900101</v>
      </c>
      <c r="D1572" s="17">
        <v>22991231</v>
      </c>
      <c r="E1572" s="25">
        <v>1450.8</v>
      </c>
    </row>
    <row r="1573" spans="1:5" x14ac:dyDescent="0.3">
      <c r="A1573" s="17" t="str">
        <f>"27625"</f>
        <v>27625</v>
      </c>
      <c r="B1573" s="5" t="s">
        <v>1730</v>
      </c>
      <c r="C1573" s="17">
        <v>19900101</v>
      </c>
      <c r="D1573" s="17">
        <v>22991231</v>
      </c>
      <c r="E1573" s="25">
        <v>1450.8</v>
      </c>
    </row>
    <row r="1574" spans="1:5" ht="26" x14ac:dyDescent="0.3">
      <c r="A1574" s="17" t="str">
        <f>"27626"</f>
        <v>27626</v>
      </c>
      <c r="B1574" s="5" t="s">
        <v>1731</v>
      </c>
      <c r="C1574" s="17">
        <v>19900101</v>
      </c>
      <c r="D1574" s="17">
        <v>22991231</v>
      </c>
      <c r="E1574" s="25">
        <v>1450.8</v>
      </c>
    </row>
    <row r="1575" spans="1:5" ht="26" x14ac:dyDescent="0.3">
      <c r="A1575" s="17" t="str">
        <f>"27630"</f>
        <v>27630</v>
      </c>
      <c r="B1575" s="5" t="s">
        <v>1732</v>
      </c>
      <c r="C1575" s="17">
        <v>19900101</v>
      </c>
      <c r="D1575" s="17">
        <v>22991231</v>
      </c>
      <c r="E1575" s="25">
        <v>1450.8</v>
      </c>
    </row>
    <row r="1576" spans="1:5" ht="26" x14ac:dyDescent="0.3">
      <c r="A1576" s="17" t="str">
        <f>"27632"</f>
        <v>27632</v>
      </c>
      <c r="B1576" s="5" t="s">
        <v>1733</v>
      </c>
      <c r="C1576" s="17">
        <v>20100101</v>
      </c>
      <c r="D1576" s="17">
        <v>22991231</v>
      </c>
      <c r="E1576" s="25">
        <v>1105.24</v>
      </c>
    </row>
    <row r="1577" spans="1:5" ht="26" x14ac:dyDescent="0.3">
      <c r="A1577" s="17" t="str">
        <f>"27634"</f>
        <v>27634</v>
      </c>
      <c r="B1577" s="5" t="s">
        <v>1734</v>
      </c>
      <c r="C1577" s="17">
        <v>20100101</v>
      </c>
      <c r="D1577" s="17">
        <v>22991231</v>
      </c>
      <c r="E1577" s="25">
        <v>1105.24</v>
      </c>
    </row>
    <row r="1578" spans="1:5" x14ac:dyDescent="0.3">
      <c r="A1578" s="17" t="str">
        <f>"27635"</f>
        <v>27635</v>
      </c>
      <c r="B1578" s="5" t="s">
        <v>1735</v>
      </c>
      <c r="C1578" s="17">
        <v>19900101</v>
      </c>
      <c r="D1578" s="17">
        <v>22991231</v>
      </c>
      <c r="E1578" s="25">
        <v>1450.8</v>
      </c>
    </row>
    <row r="1579" spans="1:5" ht="26" x14ac:dyDescent="0.3">
      <c r="A1579" s="17" t="str">
        <f>"27637"</f>
        <v>27637</v>
      </c>
      <c r="B1579" s="5" t="s">
        <v>1736</v>
      </c>
      <c r="C1579" s="17">
        <v>19900101</v>
      </c>
      <c r="D1579" s="17">
        <v>22991231</v>
      </c>
      <c r="E1579" s="25">
        <v>4979.51</v>
      </c>
    </row>
    <row r="1580" spans="1:5" ht="26" x14ac:dyDescent="0.3">
      <c r="A1580" s="17" t="str">
        <f>"27638"</f>
        <v>27638</v>
      </c>
      <c r="B1580" s="5" t="s">
        <v>1737</v>
      </c>
      <c r="C1580" s="17">
        <v>19900101</v>
      </c>
      <c r="D1580" s="17">
        <v>22991231</v>
      </c>
      <c r="E1580" s="25">
        <v>3240.75</v>
      </c>
    </row>
    <row r="1581" spans="1:5" x14ac:dyDescent="0.3">
      <c r="A1581" s="17" t="str">
        <f>"27640"</f>
        <v>27640</v>
      </c>
      <c r="B1581" s="5" t="s">
        <v>1738</v>
      </c>
      <c r="C1581" s="17">
        <v>19900101</v>
      </c>
      <c r="D1581" s="17">
        <v>22991231</v>
      </c>
      <c r="E1581" s="25">
        <v>1450.8</v>
      </c>
    </row>
    <row r="1582" spans="1:5" x14ac:dyDescent="0.3">
      <c r="A1582" s="17" t="str">
        <f>"27641"</f>
        <v>27641</v>
      </c>
      <c r="B1582" s="5" t="s">
        <v>1739</v>
      </c>
      <c r="C1582" s="17">
        <v>19900101</v>
      </c>
      <c r="D1582" s="17">
        <v>22991231</v>
      </c>
      <c r="E1582" s="25">
        <v>1450.8</v>
      </c>
    </row>
    <row r="1583" spans="1:5" x14ac:dyDescent="0.3">
      <c r="A1583" s="17" t="str">
        <f>"27647"</f>
        <v>27647</v>
      </c>
      <c r="B1583" s="5" t="s">
        <v>1740</v>
      </c>
      <c r="C1583" s="17">
        <v>19900101</v>
      </c>
      <c r="D1583" s="17">
        <v>22991231</v>
      </c>
      <c r="E1583" s="25">
        <v>1450.8</v>
      </c>
    </row>
    <row r="1584" spans="1:5" x14ac:dyDescent="0.3">
      <c r="A1584" s="17" t="str">
        <f>"27648"</f>
        <v>27648</v>
      </c>
      <c r="B1584" s="5" t="s">
        <v>1741</v>
      </c>
      <c r="C1584" s="17">
        <v>19900101</v>
      </c>
      <c r="D1584" s="17">
        <v>22991231</v>
      </c>
      <c r="E1584" s="25">
        <v>0</v>
      </c>
    </row>
    <row r="1585" spans="1:5" x14ac:dyDescent="0.3">
      <c r="A1585" s="17" t="str">
        <f>"27650"</f>
        <v>27650</v>
      </c>
      <c r="B1585" s="5" t="s">
        <v>1742</v>
      </c>
      <c r="C1585" s="17">
        <v>19900101</v>
      </c>
      <c r="D1585" s="17">
        <v>22991231</v>
      </c>
      <c r="E1585" s="25">
        <v>3240.75</v>
      </c>
    </row>
    <row r="1586" spans="1:5" x14ac:dyDescent="0.3">
      <c r="A1586" s="17" t="str">
        <f>"27652"</f>
        <v>27652</v>
      </c>
      <c r="B1586" s="5" t="s">
        <v>1743</v>
      </c>
      <c r="C1586" s="17">
        <v>19900101</v>
      </c>
      <c r="D1586" s="17">
        <v>22991231</v>
      </c>
      <c r="E1586" s="25">
        <v>4255.75</v>
      </c>
    </row>
    <row r="1587" spans="1:5" x14ac:dyDescent="0.3">
      <c r="A1587" s="17" t="str">
        <f>"27654"</f>
        <v>27654</v>
      </c>
      <c r="B1587" s="5" t="s">
        <v>1744</v>
      </c>
      <c r="C1587" s="17">
        <v>19900101</v>
      </c>
      <c r="D1587" s="17">
        <v>22991231</v>
      </c>
      <c r="E1587" s="25">
        <v>4081.38</v>
      </c>
    </row>
    <row r="1588" spans="1:5" x14ac:dyDescent="0.3">
      <c r="A1588" s="17" t="str">
        <f>"27656"</f>
        <v>27656</v>
      </c>
      <c r="B1588" s="5" t="s">
        <v>1745</v>
      </c>
      <c r="C1588" s="17">
        <v>19900101</v>
      </c>
      <c r="D1588" s="17">
        <v>22991231</v>
      </c>
      <c r="E1588" s="25">
        <v>2042.97</v>
      </c>
    </row>
    <row r="1589" spans="1:5" x14ac:dyDescent="0.3">
      <c r="A1589" s="17" t="str">
        <f>"27658"</f>
        <v>27658</v>
      </c>
      <c r="B1589" s="5" t="s">
        <v>1746</v>
      </c>
      <c r="C1589" s="17">
        <v>19900101</v>
      </c>
      <c r="D1589" s="17">
        <v>22991231</v>
      </c>
      <c r="E1589" s="25">
        <v>1450.8</v>
      </c>
    </row>
    <row r="1590" spans="1:5" x14ac:dyDescent="0.3">
      <c r="A1590" s="17" t="str">
        <f>"27659"</f>
        <v>27659</v>
      </c>
      <c r="B1590" s="5" t="s">
        <v>1747</v>
      </c>
      <c r="C1590" s="17">
        <v>19900101</v>
      </c>
      <c r="D1590" s="17">
        <v>22991231</v>
      </c>
      <c r="E1590" s="25">
        <v>3240.75</v>
      </c>
    </row>
    <row r="1591" spans="1:5" x14ac:dyDescent="0.3">
      <c r="A1591" s="17" t="str">
        <f>"27664"</f>
        <v>27664</v>
      </c>
      <c r="B1591" s="5" t="s">
        <v>1748</v>
      </c>
      <c r="C1591" s="17">
        <v>19900101</v>
      </c>
      <c r="D1591" s="17">
        <v>22991231</v>
      </c>
      <c r="E1591" s="25">
        <v>3240.75</v>
      </c>
    </row>
    <row r="1592" spans="1:5" x14ac:dyDescent="0.3">
      <c r="A1592" s="17" t="str">
        <f>"27665"</f>
        <v>27665</v>
      </c>
      <c r="B1592" s="5" t="s">
        <v>1749</v>
      </c>
      <c r="C1592" s="17">
        <v>19900101</v>
      </c>
      <c r="D1592" s="17">
        <v>22991231</v>
      </c>
      <c r="E1592" s="25">
        <v>4222.9399999999996</v>
      </c>
    </row>
    <row r="1593" spans="1:5" ht="39" x14ac:dyDescent="0.3">
      <c r="A1593" s="17" t="str">
        <f>"27675"</f>
        <v>27675</v>
      </c>
      <c r="B1593" s="5" t="s">
        <v>1750</v>
      </c>
      <c r="C1593" s="17">
        <v>19900101</v>
      </c>
      <c r="D1593" s="17">
        <v>22991231</v>
      </c>
      <c r="E1593" s="25">
        <v>1450.8</v>
      </c>
    </row>
    <row r="1594" spans="1:5" ht="26" x14ac:dyDescent="0.3">
      <c r="A1594" s="17" t="str">
        <f>"27676"</f>
        <v>27676</v>
      </c>
      <c r="B1594" s="5" t="s">
        <v>1751</v>
      </c>
      <c r="C1594" s="17">
        <v>19900101</v>
      </c>
      <c r="D1594" s="17">
        <v>22991231</v>
      </c>
      <c r="E1594" s="25">
        <v>3240.75</v>
      </c>
    </row>
    <row r="1595" spans="1:5" x14ac:dyDescent="0.3">
      <c r="A1595" s="17" t="str">
        <f>"27680"</f>
        <v>27680</v>
      </c>
      <c r="B1595" s="5" t="s">
        <v>1752</v>
      </c>
      <c r="C1595" s="17">
        <v>19900101</v>
      </c>
      <c r="D1595" s="17">
        <v>22991231</v>
      </c>
      <c r="E1595" s="25">
        <v>1450.8</v>
      </c>
    </row>
    <row r="1596" spans="1:5" x14ac:dyDescent="0.3">
      <c r="A1596" s="17" t="str">
        <f>"27681"</f>
        <v>27681</v>
      </c>
      <c r="B1596" s="5" t="s">
        <v>1753</v>
      </c>
      <c r="C1596" s="17">
        <v>19900101</v>
      </c>
      <c r="D1596" s="17">
        <v>22991231</v>
      </c>
      <c r="E1596" s="25">
        <v>1450.8</v>
      </c>
    </row>
    <row r="1597" spans="1:5" ht="26" x14ac:dyDescent="0.3">
      <c r="A1597" s="17" t="str">
        <f>"27685"</f>
        <v>27685</v>
      </c>
      <c r="B1597" s="5" t="s">
        <v>1754</v>
      </c>
      <c r="C1597" s="17">
        <v>19900101</v>
      </c>
      <c r="D1597" s="17">
        <v>22991231</v>
      </c>
      <c r="E1597" s="25">
        <v>1450.8</v>
      </c>
    </row>
    <row r="1598" spans="1:5" ht="26" x14ac:dyDescent="0.3">
      <c r="A1598" s="17" t="str">
        <f>"27686"</f>
        <v>27686</v>
      </c>
      <c r="B1598" s="5" t="s">
        <v>1755</v>
      </c>
      <c r="C1598" s="17">
        <v>19900101</v>
      </c>
      <c r="D1598" s="17">
        <v>22991231</v>
      </c>
      <c r="E1598" s="25">
        <v>1450.8</v>
      </c>
    </row>
    <row r="1599" spans="1:5" x14ac:dyDescent="0.3">
      <c r="A1599" s="17" t="str">
        <f>"27687"</f>
        <v>27687</v>
      </c>
      <c r="B1599" s="5" t="s">
        <v>1756</v>
      </c>
      <c r="C1599" s="17">
        <v>19900101</v>
      </c>
      <c r="D1599" s="17">
        <v>22991231</v>
      </c>
      <c r="E1599" s="25">
        <v>1450.8</v>
      </c>
    </row>
    <row r="1600" spans="1:5" ht="26" x14ac:dyDescent="0.3">
      <c r="A1600" s="17" t="str">
        <f>"27690"</f>
        <v>27690</v>
      </c>
      <c r="B1600" s="5" t="s">
        <v>1757</v>
      </c>
      <c r="C1600" s="17">
        <v>19900101</v>
      </c>
      <c r="D1600" s="17">
        <v>22991231</v>
      </c>
      <c r="E1600" s="25">
        <v>3240.75</v>
      </c>
    </row>
    <row r="1601" spans="1:5" ht="26" x14ac:dyDescent="0.3">
      <c r="A1601" s="17" t="str">
        <f>"27691"</f>
        <v>27691</v>
      </c>
      <c r="B1601" s="5" t="s">
        <v>1758</v>
      </c>
      <c r="C1601" s="17">
        <v>19900101</v>
      </c>
      <c r="D1601" s="17">
        <v>22991231</v>
      </c>
      <c r="E1601" s="25">
        <v>3240.75</v>
      </c>
    </row>
    <row r="1602" spans="1:5" ht="26" x14ac:dyDescent="0.3">
      <c r="A1602" s="17" t="str">
        <f>"27692"</f>
        <v>27692</v>
      </c>
      <c r="B1602" s="5" t="s">
        <v>1759</v>
      </c>
      <c r="C1602" s="17">
        <v>19900101</v>
      </c>
      <c r="D1602" s="17">
        <v>22991231</v>
      </c>
      <c r="E1602" s="25">
        <v>0</v>
      </c>
    </row>
    <row r="1603" spans="1:5" x14ac:dyDescent="0.3">
      <c r="A1603" s="17" t="str">
        <f>"27695"</f>
        <v>27695</v>
      </c>
      <c r="B1603" s="5" t="s">
        <v>1760</v>
      </c>
      <c r="C1603" s="17">
        <v>19900101</v>
      </c>
      <c r="D1603" s="17">
        <v>22991231</v>
      </c>
      <c r="E1603" s="25">
        <v>4239.76</v>
      </c>
    </row>
    <row r="1604" spans="1:5" ht="26" x14ac:dyDescent="0.3">
      <c r="A1604" s="17" t="str">
        <f>"27696"</f>
        <v>27696</v>
      </c>
      <c r="B1604" s="5" t="s">
        <v>1761</v>
      </c>
      <c r="C1604" s="17">
        <v>19900101</v>
      </c>
      <c r="D1604" s="17">
        <v>22991231</v>
      </c>
      <c r="E1604" s="25">
        <v>4632.41</v>
      </c>
    </row>
    <row r="1605" spans="1:5" ht="26" x14ac:dyDescent="0.3">
      <c r="A1605" s="17" t="str">
        <f>"27698"</f>
        <v>27698</v>
      </c>
      <c r="B1605" s="5" t="s">
        <v>1762</v>
      </c>
      <c r="C1605" s="17">
        <v>19900101</v>
      </c>
      <c r="D1605" s="17">
        <v>22991231</v>
      </c>
      <c r="E1605" s="25">
        <v>4135.8999999999996</v>
      </c>
    </row>
    <row r="1606" spans="1:5" x14ac:dyDescent="0.3">
      <c r="A1606" s="17" t="str">
        <f>"27700"</f>
        <v>27700</v>
      </c>
      <c r="B1606" s="5" t="s">
        <v>1763</v>
      </c>
      <c r="C1606" s="17">
        <v>19900101</v>
      </c>
      <c r="D1606" s="17">
        <v>22991231</v>
      </c>
      <c r="E1606" s="25">
        <v>4953.75</v>
      </c>
    </row>
    <row r="1607" spans="1:5" x14ac:dyDescent="0.3">
      <c r="A1607" s="17" t="str">
        <f>"27702"</f>
        <v>27702</v>
      </c>
      <c r="B1607" s="5" t="s">
        <v>1764</v>
      </c>
      <c r="C1607" s="17">
        <v>20240101</v>
      </c>
      <c r="D1607" s="17">
        <v>22991231</v>
      </c>
      <c r="E1607" s="25">
        <v>13806.63</v>
      </c>
    </row>
    <row r="1608" spans="1:5" x14ac:dyDescent="0.3">
      <c r="A1608" s="17" t="str">
        <f>"27704"</f>
        <v>27704</v>
      </c>
      <c r="B1608" s="5" t="s">
        <v>1765</v>
      </c>
      <c r="C1608" s="17">
        <v>19900101</v>
      </c>
      <c r="D1608" s="17">
        <v>22991231</v>
      </c>
      <c r="E1608" s="25">
        <v>1450.8</v>
      </c>
    </row>
    <row r="1609" spans="1:5" x14ac:dyDescent="0.3">
      <c r="A1609" s="17" t="str">
        <f>"27705"</f>
        <v>27705</v>
      </c>
      <c r="B1609" s="5" t="s">
        <v>1766</v>
      </c>
      <c r="C1609" s="17">
        <v>19900101</v>
      </c>
      <c r="D1609" s="17">
        <v>22991231</v>
      </c>
      <c r="E1609" s="25">
        <v>4081.38</v>
      </c>
    </row>
    <row r="1610" spans="1:5" x14ac:dyDescent="0.3">
      <c r="A1610" s="17" t="str">
        <f>"27707"</f>
        <v>27707</v>
      </c>
      <c r="B1610" s="5" t="s">
        <v>1767</v>
      </c>
      <c r="C1610" s="17">
        <v>19900101</v>
      </c>
      <c r="D1610" s="17">
        <v>22991231</v>
      </c>
      <c r="E1610" s="25">
        <v>1450.8</v>
      </c>
    </row>
    <row r="1611" spans="1:5" ht="26" x14ac:dyDescent="0.3">
      <c r="A1611" s="17" t="str">
        <f>"27709"</f>
        <v>27709</v>
      </c>
      <c r="B1611" s="5" t="s">
        <v>1768</v>
      </c>
      <c r="C1611" s="17">
        <v>19900101</v>
      </c>
      <c r="D1611" s="17">
        <v>22991231</v>
      </c>
      <c r="E1611" s="25">
        <v>8055.85</v>
      </c>
    </row>
    <row r="1612" spans="1:5" x14ac:dyDescent="0.3">
      <c r="A1612" s="17" t="str">
        <f>"27720"</f>
        <v>27720</v>
      </c>
      <c r="B1612" s="5" t="s">
        <v>1769</v>
      </c>
      <c r="C1612" s="17">
        <v>19900101</v>
      </c>
      <c r="D1612" s="17">
        <v>22991231</v>
      </c>
      <c r="E1612" s="25">
        <v>4348.76</v>
      </c>
    </row>
    <row r="1613" spans="1:5" ht="26" x14ac:dyDescent="0.3">
      <c r="A1613" s="17" t="str">
        <f>"27722"</f>
        <v>27722</v>
      </c>
      <c r="B1613" s="5" t="s">
        <v>1770</v>
      </c>
      <c r="C1613" s="17">
        <v>19900101</v>
      </c>
      <c r="D1613" s="17">
        <v>22991231</v>
      </c>
      <c r="E1613" s="24" t="s">
        <v>7128</v>
      </c>
    </row>
    <row r="1614" spans="1:5" ht="26" x14ac:dyDescent="0.3">
      <c r="A1614" s="17" t="str">
        <f>"27726"</f>
        <v>27726</v>
      </c>
      <c r="B1614" s="5" t="s">
        <v>1771</v>
      </c>
      <c r="C1614" s="17">
        <v>20080101</v>
      </c>
      <c r="D1614" s="17">
        <v>22991231</v>
      </c>
      <c r="E1614" s="25">
        <v>4369.1000000000004</v>
      </c>
    </row>
    <row r="1615" spans="1:5" ht="26" x14ac:dyDescent="0.3">
      <c r="A1615" s="17" t="str">
        <f>"27730"</f>
        <v>27730</v>
      </c>
      <c r="B1615" s="5" t="s">
        <v>1772</v>
      </c>
      <c r="C1615" s="17">
        <v>19900101</v>
      </c>
      <c r="D1615" s="17">
        <v>22991231</v>
      </c>
      <c r="E1615" s="25">
        <v>1827.13</v>
      </c>
    </row>
    <row r="1616" spans="1:5" x14ac:dyDescent="0.3">
      <c r="A1616" s="17" t="str">
        <f>"27732"</f>
        <v>27732</v>
      </c>
      <c r="B1616" s="5" t="s">
        <v>1773</v>
      </c>
      <c r="C1616" s="17">
        <v>19900101</v>
      </c>
      <c r="D1616" s="17">
        <v>22991231</v>
      </c>
      <c r="E1616" s="25">
        <v>1450.8</v>
      </c>
    </row>
    <row r="1617" spans="1:5" ht="26" x14ac:dyDescent="0.3">
      <c r="A1617" s="17" t="str">
        <f>"27734"</f>
        <v>27734</v>
      </c>
      <c r="B1617" s="5" t="s">
        <v>1774</v>
      </c>
      <c r="C1617" s="17">
        <v>19900101</v>
      </c>
      <c r="D1617" s="17">
        <v>22991231</v>
      </c>
      <c r="E1617" s="25">
        <v>1450.8</v>
      </c>
    </row>
    <row r="1618" spans="1:5" ht="26" x14ac:dyDescent="0.3">
      <c r="A1618" s="17" t="str">
        <f>"27740"</f>
        <v>27740</v>
      </c>
      <c r="B1618" s="5" t="s">
        <v>1775</v>
      </c>
      <c r="C1618" s="17">
        <v>19900101</v>
      </c>
      <c r="D1618" s="17">
        <v>22991231</v>
      </c>
      <c r="E1618" s="25">
        <v>1450.8</v>
      </c>
    </row>
    <row r="1619" spans="1:5" ht="26" x14ac:dyDescent="0.3">
      <c r="A1619" s="17" t="str">
        <f>"27742"</f>
        <v>27742</v>
      </c>
      <c r="B1619" s="5" t="s">
        <v>1776</v>
      </c>
      <c r="C1619" s="17">
        <v>19900101</v>
      </c>
      <c r="D1619" s="17">
        <v>22991231</v>
      </c>
      <c r="E1619" s="25">
        <v>1450.8</v>
      </c>
    </row>
    <row r="1620" spans="1:5" x14ac:dyDescent="0.3">
      <c r="A1620" s="17" t="str">
        <f>"27745"</f>
        <v>27745</v>
      </c>
      <c r="B1620" s="5" t="s">
        <v>1777</v>
      </c>
      <c r="C1620" s="17">
        <v>19900101</v>
      </c>
      <c r="D1620" s="17">
        <v>22991231</v>
      </c>
      <c r="E1620" s="25">
        <v>4568.42</v>
      </c>
    </row>
    <row r="1621" spans="1:5" ht="26" x14ac:dyDescent="0.3">
      <c r="A1621" s="17" t="str">
        <f>"27750"</f>
        <v>27750</v>
      </c>
      <c r="B1621" s="5" t="s">
        <v>1778</v>
      </c>
      <c r="C1621" s="17">
        <v>19900101</v>
      </c>
      <c r="D1621" s="17">
        <v>22991231</v>
      </c>
      <c r="E1621" s="25">
        <v>116.84</v>
      </c>
    </row>
    <row r="1622" spans="1:5" ht="26" x14ac:dyDescent="0.3">
      <c r="A1622" s="17" t="str">
        <f>"27752"</f>
        <v>27752</v>
      </c>
      <c r="B1622" s="5" t="s">
        <v>1779</v>
      </c>
      <c r="C1622" s="17">
        <v>19900101</v>
      </c>
      <c r="D1622" s="17">
        <v>22991231</v>
      </c>
      <c r="E1622" s="25">
        <v>782.3</v>
      </c>
    </row>
    <row r="1623" spans="1:5" ht="26" x14ac:dyDescent="0.3">
      <c r="A1623" s="17" t="str">
        <f>"27756"</f>
        <v>27756</v>
      </c>
      <c r="B1623" s="5" t="s">
        <v>1780</v>
      </c>
      <c r="C1623" s="17">
        <v>19900101</v>
      </c>
      <c r="D1623" s="17">
        <v>22991231</v>
      </c>
      <c r="E1623" s="25">
        <v>4390.53</v>
      </c>
    </row>
    <row r="1624" spans="1:5" ht="26" x14ac:dyDescent="0.3">
      <c r="A1624" s="17" t="str">
        <f>"27758"</f>
        <v>27758</v>
      </c>
      <c r="B1624" s="5" t="s">
        <v>1781</v>
      </c>
      <c r="C1624" s="17">
        <v>19900101</v>
      </c>
      <c r="D1624" s="17">
        <v>22991231</v>
      </c>
      <c r="E1624" s="25">
        <v>8423.68</v>
      </c>
    </row>
    <row r="1625" spans="1:5" x14ac:dyDescent="0.3">
      <c r="A1625" s="17" t="str">
        <f>"27759"</f>
        <v>27759</v>
      </c>
      <c r="B1625" s="5" t="s">
        <v>1782</v>
      </c>
      <c r="C1625" s="17">
        <v>19930101</v>
      </c>
      <c r="D1625" s="17">
        <v>22991231</v>
      </c>
      <c r="E1625" s="25">
        <v>8173.78</v>
      </c>
    </row>
    <row r="1626" spans="1:5" ht="26" x14ac:dyDescent="0.3">
      <c r="A1626" s="17" t="str">
        <f>"27760"</f>
        <v>27760</v>
      </c>
      <c r="B1626" s="5" t="s">
        <v>1783</v>
      </c>
      <c r="C1626" s="17">
        <v>19900101</v>
      </c>
      <c r="D1626" s="17">
        <v>22991231</v>
      </c>
      <c r="E1626" s="25">
        <v>116.84</v>
      </c>
    </row>
    <row r="1627" spans="1:5" ht="26" x14ac:dyDescent="0.3">
      <c r="A1627" s="17" t="str">
        <f>"27762"</f>
        <v>27762</v>
      </c>
      <c r="B1627" s="5" t="s">
        <v>1784</v>
      </c>
      <c r="C1627" s="17">
        <v>19900101</v>
      </c>
      <c r="D1627" s="17">
        <v>22991231</v>
      </c>
      <c r="E1627" s="25">
        <v>782.3</v>
      </c>
    </row>
    <row r="1628" spans="1:5" ht="26" x14ac:dyDescent="0.3">
      <c r="A1628" s="17" t="str">
        <f>"27766"</f>
        <v>27766</v>
      </c>
      <c r="B1628" s="5" t="s">
        <v>1785</v>
      </c>
      <c r="C1628" s="17">
        <v>19900101</v>
      </c>
      <c r="D1628" s="17">
        <v>22991231</v>
      </c>
      <c r="E1628" s="25">
        <v>3240.75</v>
      </c>
    </row>
    <row r="1629" spans="1:5" ht="26" x14ac:dyDescent="0.3">
      <c r="A1629" s="17" t="str">
        <f>"27767"</f>
        <v>27767</v>
      </c>
      <c r="B1629" s="5" t="s">
        <v>1786</v>
      </c>
      <c r="C1629" s="17">
        <v>20080101</v>
      </c>
      <c r="D1629" s="17">
        <v>22991231</v>
      </c>
      <c r="E1629" s="25">
        <v>116.84</v>
      </c>
    </row>
    <row r="1630" spans="1:5" ht="26" x14ac:dyDescent="0.3">
      <c r="A1630" s="17" t="str">
        <f>"27768"</f>
        <v>27768</v>
      </c>
      <c r="B1630" s="5" t="s">
        <v>1787</v>
      </c>
      <c r="C1630" s="17">
        <v>20080101</v>
      </c>
      <c r="D1630" s="17">
        <v>22991231</v>
      </c>
      <c r="E1630" s="25">
        <v>782.3</v>
      </c>
    </row>
    <row r="1631" spans="1:5" ht="26" x14ac:dyDescent="0.3">
      <c r="A1631" s="17" t="str">
        <f>"27769"</f>
        <v>27769</v>
      </c>
      <c r="B1631" s="5" t="s">
        <v>1788</v>
      </c>
      <c r="C1631" s="17">
        <v>20080101</v>
      </c>
      <c r="D1631" s="17">
        <v>22991231</v>
      </c>
      <c r="E1631" s="25">
        <v>3240.75</v>
      </c>
    </row>
    <row r="1632" spans="1:5" ht="26" x14ac:dyDescent="0.3">
      <c r="A1632" s="17" t="str">
        <f>"27780"</f>
        <v>27780</v>
      </c>
      <c r="B1632" s="5" t="s">
        <v>1789</v>
      </c>
      <c r="C1632" s="17">
        <v>19900101</v>
      </c>
      <c r="D1632" s="17">
        <v>22991231</v>
      </c>
      <c r="E1632" s="25">
        <v>116.84</v>
      </c>
    </row>
    <row r="1633" spans="1:5" ht="26" x14ac:dyDescent="0.3">
      <c r="A1633" s="17" t="str">
        <f>"27781"</f>
        <v>27781</v>
      </c>
      <c r="B1633" s="5" t="s">
        <v>1790</v>
      </c>
      <c r="C1633" s="17">
        <v>19900101</v>
      </c>
      <c r="D1633" s="17">
        <v>22991231</v>
      </c>
      <c r="E1633" s="25">
        <v>782.3</v>
      </c>
    </row>
    <row r="1634" spans="1:5" ht="26" x14ac:dyDescent="0.3">
      <c r="A1634" s="17" t="str">
        <f>"27784"</f>
        <v>27784</v>
      </c>
      <c r="B1634" s="5" t="s">
        <v>1791</v>
      </c>
      <c r="C1634" s="17">
        <v>19900101</v>
      </c>
      <c r="D1634" s="17">
        <v>22991231</v>
      </c>
      <c r="E1634" s="25">
        <v>3240.75</v>
      </c>
    </row>
    <row r="1635" spans="1:5" ht="26" x14ac:dyDescent="0.3">
      <c r="A1635" s="17" t="str">
        <f>"27786"</f>
        <v>27786</v>
      </c>
      <c r="B1635" s="5" t="s">
        <v>1792</v>
      </c>
      <c r="C1635" s="17">
        <v>19900101</v>
      </c>
      <c r="D1635" s="17">
        <v>22991231</v>
      </c>
      <c r="E1635" s="25">
        <v>116.84</v>
      </c>
    </row>
    <row r="1636" spans="1:5" ht="26" x14ac:dyDescent="0.3">
      <c r="A1636" s="17" t="str">
        <f>"27788"</f>
        <v>27788</v>
      </c>
      <c r="B1636" s="5" t="s">
        <v>1793</v>
      </c>
      <c r="C1636" s="17">
        <v>19900101</v>
      </c>
      <c r="D1636" s="17">
        <v>22991231</v>
      </c>
      <c r="E1636" s="25">
        <v>116.84</v>
      </c>
    </row>
    <row r="1637" spans="1:5" ht="26" x14ac:dyDescent="0.3">
      <c r="A1637" s="17" t="str">
        <f>"27792"</f>
        <v>27792</v>
      </c>
      <c r="B1637" s="5" t="s">
        <v>1794</v>
      </c>
      <c r="C1637" s="17">
        <v>19900101</v>
      </c>
      <c r="D1637" s="17">
        <v>22991231</v>
      </c>
      <c r="E1637" s="25">
        <v>4148.8999999999996</v>
      </c>
    </row>
    <row r="1638" spans="1:5" ht="26" x14ac:dyDescent="0.3">
      <c r="A1638" s="17" t="str">
        <f>"27808"</f>
        <v>27808</v>
      </c>
      <c r="B1638" s="5" t="s">
        <v>1795</v>
      </c>
      <c r="C1638" s="17">
        <v>19900101</v>
      </c>
      <c r="D1638" s="17">
        <v>22991231</v>
      </c>
      <c r="E1638" s="25">
        <v>116.84</v>
      </c>
    </row>
    <row r="1639" spans="1:5" ht="26" x14ac:dyDescent="0.3">
      <c r="A1639" s="17" t="str">
        <f>"27810"</f>
        <v>27810</v>
      </c>
      <c r="B1639" s="5" t="s">
        <v>1796</v>
      </c>
      <c r="C1639" s="17">
        <v>19900101</v>
      </c>
      <c r="D1639" s="17">
        <v>22991231</v>
      </c>
      <c r="E1639" s="25">
        <v>782.3</v>
      </c>
    </row>
    <row r="1640" spans="1:5" ht="26" x14ac:dyDescent="0.3">
      <c r="A1640" s="17" t="str">
        <f>"27814"</f>
        <v>27814</v>
      </c>
      <c r="B1640" s="5" t="s">
        <v>1797</v>
      </c>
      <c r="C1640" s="17">
        <v>19900101</v>
      </c>
      <c r="D1640" s="17">
        <v>22991231</v>
      </c>
      <c r="E1640" s="25">
        <v>4186.33</v>
      </c>
    </row>
    <row r="1641" spans="1:5" ht="26" x14ac:dyDescent="0.3">
      <c r="A1641" s="17" t="str">
        <f>"27816"</f>
        <v>27816</v>
      </c>
      <c r="B1641" s="5" t="s">
        <v>1798</v>
      </c>
      <c r="C1641" s="17">
        <v>19900101</v>
      </c>
      <c r="D1641" s="17">
        <v>22991231</v>
      </c>
      <c r="E1641" s="25">
        <v>116.84</v>
      </c>
    </row>
    <row r="1642" spans="1:5" ht="26" x14ac:dyDescent="0.3">
      <c r="A1642" s="17" t="str">
        <f>"27818"</f>
        <v>27818</v>
      </c>
      <c r="B1642" s="5" t="s">
        <v>1799</v>
      </c>
      <c r="C1642" s="17">
        <v>19900101</v>
      </c>
      <c r="D1642" s="17">
        <v>22991231</v>
      </c>
      <c r="E1642" s="25">
        <v>782.3</v>
      </c>
    </row>
    <row r="1643" spans="1:5" x14ac:dyDescent="0.3">
      <c r="A1643" s="17" t="str">
        <f>"27822"</f>
        <v>27822</v>
      </c>
      <c r="B1643" s="5" t="s">
        <v>1800</v>
      </c>
      <c r="C1643" s="17">
        <v>19900101</v>
      </c>
      <c r="D1643" s="17">
        <v>22991231</v>
      </c>
      <c r="E1643" s="25">
        <v>4215.08</v>
      </c>
    </row>
    <row r="1644" spans="1:5" ht="26" x14ac:dyDescent="0.3">
      <c r="A1644" s="17" t="str">
        <f>"27823"</f>
        <v>27823</v>
      </c>
      <c r="B1644" s="5" t="s">
        <v>1801</v>
      </c>
      <c r="C1644" s="17">
        <v>19900101</v>
      </c>
      <c r="D1644" s="17">
        <v>22991231</v>
      </c>
      <c r="E1644" s="25">
        <v>4188.5</v>
      </c>
    </row>
    <row r="1645" spans="1:5" ht="26" x14ac:dyDescent="0.3">
      <c r="A1645" s="17" t="str">
        <f>"27824"</f>
        <v>27824</v>
      </c>
      <c r="B1645" s="5" t="s">
        <v>1802</v>
      </c>
      <c r="C1645" s="17">
        <v>19930101</v>
      </c>
      <c r="D1645" s="17">
        <v>22991231</v>
      </c>
      <c r="E1645" s="25">
        <v>116.84</v>
      </c>
    </row>
    <row r="1646" spans="1:5" ht="39" x14ac:dyDescent="0.3">
      <c r="A1646" s="17" t="str">
        <f>"27825"</f>
        <v>27825</v>
      </c>
      <c r="B1646" s="5" t="s">
        <v>1803</v>
      </c>
      <c r="C1646" s="17">
        <v>20230101</v>
      </c>
      <c r="D1646" s="17">
        <v>22991231</v>
      </c>
      <c r="E1646" s="25">
        <v>782.3</v>
      </c>
    </row>
    <row r="1647" spans="1:5" ht="26" x14ac:dyDescent="0.3">
      <c r="A1647" s="17" t="str">
        <f>"27826"</f>
        <v>27826</v>
      </c>
      <c r="B1647" s="5" t="s">
        <v>1804</v>
      </c>
      <c r="C1647" s="17">
        <v>19970801</v>
      </c>
      <c r="D1647" s="17">
        <v>22991231</v>
      </c>
      <c r="E1647" s="25">
        <v>4240.29</v>
      </c>
    </row>
    <row r="1648" spans="1:5" ht="26" x14ac:dyDescent="0.3">
      <c r="A1648" s="17" t="str">
        <f>"27827"</f>
        <v>27827</v>
      </c>
      <c r="B1648" s="5" t="s">
        <v>1805</v>
      </c>
      <c r="C1648" s="17">
        <v>19970801</v>
      </c>
      <c r="D1648" s="17">
        <v>22991231</v>
      </c>
      <c r="E1648" s="25">
        <v>8357.7000000000007</v>
      </c>
    </row>
    <row r="1649" spans="1:5" ht="26" x14ac:dyDescent="0.3">
      <c r="A1649" s="17" t="str">
        <f>"27828"</f>
        <v>27828</v>
      </c>
      <c r="B1649" s="5" t="s">
        <v>1806</v>
      </c>
      <c r="C1649" s="17">
        <v>19970801</v>
      </c>
      <c r="D1649" s="17">
        <v>22991231</v>
      </c>
      <c r="E1649" s="25">
        <v>8267.82</v>
      </c>
    </row>
    <row r="1650" spans="1:5" x14ac:dyDescent="0.3">
      <c r="A1650" s="17" t="str">
        <f>"27829"</f>
        <v>27829</v>
      </c>
      <c r="B1650" s="5" t="s">
        <v>1807</v>
      </c>
      <c r="C1650" s="17">
        <v>20040101</v>
      </c>
      <c r="D1650" s="17">
        <v>22991231</v>
      </c>
      <c r="E1650" s="25">
        <v>4345.24</v>
      </c>
    </row>
    <row r="1651" spans="1:5" x14ac:dyDescent="0.3">
      <c r="A1651" s="17" t="str">
        <f>"27830"</f>
        <v>27830</v>
      </c>
      <c r="B1651" s="5" t="s">
        <v>1808</v>
      </c>
      <c r="C1651" s="17">
        <v>19900101</v>
      </c>
      <c r="D1651" s="17">
        <v>22991231</v>
      </c>
      <c r="E1651" s="25">
        <v>116.84</v>
      </c>
    </row>
    <row r="1652" spans="1:5" ht="26" x14ac:dyDescent="0.3">
      <c r="A1652" s="17" t="str">
        <f>"27831"</f>
        <v>27831</v>
      </c>
      <c r="B1652" s="5" t="s">
        <v>1809</v>
      </c>
      <c r="C1652" s="17">
        <v>19900101</v>
      </c>
      <c r="D1652" s="17">
        <v>22991231</v>
      </c>
      <c r="E1652" s="25">
        <v>1450.8</v>
      </c>
    </row>
    <row r="1653" spans="1:5" x14ac:dyDescent="0.3">
      <c r="A1653" s="17" t="str">
        <f>"27832"</f>
        <v>27832</v>
      </c>
      <c r="B1653" s="5" t="s">
        <v>1810</v>
      </c>
      <c r="C1653" s="17">
        <v>19900101</v>
      </c>
      <c r="D1653" s="17">
        <v>22991231</v>
      </c>
      <c r="E1653" s="25">
        <v>4307</v>
      </c>
    </row>
    <row r="1654" spans="1:5" x14ac:dyDescent="0.3">
      <c r="A1654" s="17" t="str">
        <f>"27840"</f>
        <v>27840</v>
      </c>
      <c r="B1654" s="5" t="s">
        <v>1811</v>
      </c>
      <c r="C1654" s="17">
        <v>19900101</v>
      </c>
      <c r="D1654" s="17">
        <v>22991231</v>
      </c>
      <c r="E1654" s="25">
        <v>116.84</v>
      </c>
    </row>
    <row r="1655" spans="1:5" ht="26" x14ac:dyDescent="0.3">
      <c r="A1655" s="17" t="str">
        <f>"27842"</f>
        <v>27842</v>
      </c>
      <c r="B1655" s="5" t="s">
        <v>1812</v>
      </c>
      <c r="C1655" s="17">
        <v>19900101</v>
      </c>
      <c r="D1655" s="17">
        <v>22991231</v>
      </c>
      <c r="E1655" s="25">
        <v>782.3</v>
      </c>
    </row>
    <row r="1656" spans="1:5" x14ac:dyDescent="0.3">
      <c r="A1656" s="17" t="str">
        <f>"27846"</f>
        <v>27846</v>
      </c>
      <c r="B1656" s="5" t="s">
        <v>1813</v>
      </c>
      <c r="C1656" s="17">
        <v>19900101</v>
      </c>
      <c r="D1656" s="17">
        <v>22991231</v>
      </c>
      <c r="E1656" s="25">
        <v>3240.75</v>
      </c>
    </row>
    <row r="1657" spans="1:5" ht="26" x14ac:dyDescent="0.3">
      <c r="A1657" s="17" t="str">
        <f>"27848"</f>
        <v>27848</v>
      </c>
      <c r="B1657" s="5" t="s">
        <v>1814</v>
      </c>
      <c r="C1657" s="17">
        <v>19900101</v>
      </c>
      <c r="D1657" s="17">
        <v>22991231</v>
      </c>
      <c r="E1657" s="25">
        <v>4081.38</v>
      </c>
    </row>
    <row r="1658" spans="1:5" x14ac:dyDescent="0.3">
      <c r="A1658" s="17" t="str">
        <f>"27860"</f>
        <v>27860</v>
      </c>
      <c r="B1658" s="5" t="s">
        <v>1815</v>
      </c>
      <c r="C1658" s="17">
        <v>19900101</v>
      </c>
      <c r="D1658" s="17">
        <v>22991231</v>
      </c>
      <c r="E1658" s="25">
        <v>1450.8</v>
      </c>
    </row>
    <row r="1659" spans="1:5" x14ac:dyDescent="0.3">
      <c r="A1659" s="17" t="str">
        <f>"27870"</f>
        <v>27870</v>
      </c>
      <c r="B1659" s="5" t="s">
        <v>1816</v>
      </c>
      <c r="C1659" s="17">
        <v>19900101</v>
      </c>
      <c r="D1659" s="17">
        <v>22991231</v>
      </c>
      <c r="E1659" s="25">
        <v>8876.7199999999993</v>
      </c>
    </row>
    <row r="1660" spans="1:5" x14ac:dyDescent="0.3">
      <c r="A1660" s="17" t="str">
        <f>"27871"</f>
        <v>27871</v>
      </c>
      <c r="B1660" s="5" t="s">
        <v>1817</v>
      </c>
      <c r="C1660" s="17">
        <v>19900101</v>
      </c>
      <c r="D1660" s="17">
        <v>22991231</v>
      </c>
      <c r="E1660" s="25">
        <v>7824.13</v>
      </c>
    </row>
    <row r="1661" spans="1:5" ht="26" x14ac:dyDescent="0.3">
      <c r="A1661" s="17" t="str">
        <f>"27884"</f>
        <v>27884</v>
      </c>
      <c r="B1661" s="5" t="s">
        <v>1818</v>
      </c>
      <c r="C1661" s="17">
        <v>19900101</v>
      </c>
      <c r="D1661" s="17">
        <v>22991231</v>
      </c>
      <c r="E1661" s="25">
        <v>1450.8</v>
      </c>
    </row>
    <row r="1662" spans="1:5" x14ac:dyDescent="0.3">
      <c r="A1662" s="17" t="str">
        <f>"27886"</f>
        <v>27886</v>
      </c>
      <c r="B1662" s="5" t="s">
        <v>1819</v>
      </c>
      <c r="C1662" s="17">
        <v>19900101</v>
      </c>
      <c r="D1662" s="17">
        <v>22991231</v>
      </c>
      <c r="E1662" s="24" t="s">
        <v>7128</v>
      </c>
    </row>
    <row r="1663" spans="1:5" x14ac:dyDescent="0.3">
      <c r="A1663" s="17" t="str">
        <f>"27889"</f>
        <v>27889</v>
      </c>
      <c r="B1663" s="5" t="s">
        <v>1820</v>
      </c>
      <c r="C1663" s="17">
        <v>19900101</v>
      </c>
      <c r="D1663" s="17">
        <v>22991231</v>
      </c>
      <c r="E1663" s="25">
        <v>3240.75</v>
      </c>
    </row>
    <row r="1664" spans="1:5" ht="39" x14ac:dyDescent="0.3">
      <c r="A1664" s="17" t="str">
        <f>"27892"</f>
        <v>27892</v>
      </c>
      <c r="B1664" s="5" t="s">
        <v>1821</v>
      </c>
      <c r="C1664" s="17">
        <v>19930101</v>
      </c>
      <c r="D1664" s="17">
        <v>22991231</v>
      </c>
      <c r="E1664" s="25">
        <v>1450.8</v>
      </c>
    </row>
    <row r="1665" spans="1:5" ht="39" x14ac:dyDescent="0.3">
      <c r="A1665" s="17" t="str">
        <f>"27893"</f>
        <v>27893</v>
      </c>
      <c r="B1665" s="5" t="s">
        <v>1822</v>
      </c>
      <c r="C1665" s="17">
        <v>19930101</v>
      </c>
      <c r="D1665" s="17">
        <v>22991231</v>
      </c>
      <c r="E1665" s="25">
        <v>3240.75</v>
      </c>
    </row>
    <row r="1666" spans="1:5" ht="39" x14ac:dyDescent="0.3">
      <c r="A1666" s="17" t="str">
        <f>"27894"</f>
        <v>27894</v>
      </c>
      <c r="B1666" s="5" t="s">
        <v>1823</v>
      </c>
      <c r="C1666" s="17">
        <v>19930101</v>
      </c>
      <c r="D1666" s="17">
        <v>22991231</v>
      </c>
      <c r="E1666" s="25">
        <v>1450.8</v>
      </c>
    </row>
    <row r="1667" spans="1:5" x14ac:dyDescent="0.3">
      <c r="A1667" s="17" t="str">
        <f>"28001"</f>
        <v>28001</v>
      </c>
      <c r="B1667" s="5" t="s">
        <v>1824</v>
      </c>
      <c r="C1667" s="17">
        <v>19900101</v>
      </c>
      <c r="D1667" s="17">
        <v>22991231</v>
      </c>
      <c r="E1667" s="25">
        <v>92.57</v>
      </c>
    </row>
    <row r="1668" spans="1:5" ht="26" x14ac:dyDescent="0.3">
      <c r="A1668" s="17" t="str">
        <f>"28002"</f>
        <v>28002</v>
      </c>
      <c r="B1668" s="5" t="s">
        <v>1825</v>
      </c>
      <c r="C1668" s="17">
        <v>19900101</v>
      </c>
      <c r="D1668" s="17">
        <v>22991231</v>
      </c>
      <c r="E1668" s="25">
        <v>782.3</v>
      </c>
    </row>
    <row r="1669" spans="1:5" ht="26" x14ac:dyDescent="0.3">
      <c r="A1669" s="17" t="str">
        <f>"28003"</f>
        <v>28003</v>
      </c>
      <c r="B1669" s="5" t="s">
        <v>1826</v>
      </c>
      <c r="C1669" s="17">
        <v>19900101</v>
      </c>
      <c r="D1669" s="17">
        <v>22991231</v>
      </c>
      <c r="E1669" s="25">
        <v>1450.8</v>
      </c>
    </row>
    <row r="1670" spans="1:5" x14ac:dyDescent="0.3">
      <c r="A1670" s="17" t="str">
        <f>"28005"</f>
        <v>28005</v>
      </c>
      <c r="B1670" s="5" t="s">
        <v>1827</v>
      </c>
      <c r="C1670" s="17">
        <v>19900101</v>
      </c>
      <c r="D1670" s="17">
        <v>22991231</v>
      </c>
      <c r="E1670" s="25">
        <v>1450.8</v>
      </c>
    </row>
    <row r="1671" spans="1:5" x14ac:dyDescent="0.3">
      <c r="A1671" s="17" t="str">
        <f>"28008"</f>
        <v>28008</v>
      </c>
      <c r="B1671" s="5" t="s">
        <v>1828</v>
      </c>
      <c r="C1671" s="17">
        <v>19900101</v>
      </c>
      <c r="D1671" s="17">
        <v>22991231</v>
      </c>
      <c r="E1671" s="25">
        <v>1450.8</v>
      </c>
    </row>
    <row r="1672" spans="1:5" x14ac:dyDescent="0.3">
      <c r="A1672" s="17" t="str">
        <f>"28010"</f>
        <v>28010</v>
      </c>
      <c r="B1672" s="5" t="s">
        <v>1829</v>
      </c>
      <c r="C1672" s="17">
        <v>19900101</v>
      </c>
      <c r="D1672" s="17">
        <v>22991231</v>
      </c>
      <c r="E1672" s="25">
        <v>121.04</v>
      </c>
    </row>
    <row r="1673" spans="1:5" x14ac:dyDescent="0.3">
      <c r="A1673" s="17" t="str">
        <f>"28011"</f>
        <v>28011</v>
      </c>
      <c r="B1673" s="5" t="s">
        <v>1830</v>
      </c>
      <c r="C1673" s="17">
        <v>19900101</v>
      </c>
      <c r="D1673" s="17">
        <v>22991231</v>
      </c>
      <c r="E1673" s="25">
        <v>782.3</v>
      </c>
    </row>
    <row r="1674" spans="1:5" ht="26" x14ac:dyDescent="0.3">
      <c r="A1674" s="17" t="str">
        <f>"28020"</f>
        <v>28020</v>
      </c>
      <c r="B1674" s="5" t="s">
        <v>1831</v>
      </c>
      <c r="C1674" s="17">
        <v>19900101</v>
      </c>
      <c r="D1674" s="17">
        <v>22991231</v>
      </c>
      <c r="E1674" s="25">
        <v>1450.8</v>
      </c>
    </row>
    <row r="1675" spans="1:5" ht="26" x14ac:dyDescent="0.3">
      <c r="A1675" s="17" t="str">
        <f>"28022"</f>
        <v>28022</v>
      </c>
      <c r="B1675" s="5" t="s">
        <v>1832</v>
      </c>
      <c r="C1675" s="17">
        <v>19900101</v>
      </c>
      <c r="D1675" s="17">
        <v>22991231</v>
      </c>
      <c r="E1675" s="25">
        <v>1450.8</v>
      </c>
    </row>
    <row r="1676" spans="1:5" ht="26" x14ac:dyDescent="0.3">
      <c r="A1676" s="17" t="str">
        <f>"28024"</f>
        <v>28024</v>
      </c>
      <c r="B1676" s="5" t="s">
        <v>1833</v>
      </c>
      <c r="C1676" s="17">
        <v>19900101</v>
      </c>
      <c r="D1676" s="17">
        <v>22991231</v>
      </c>
      <c r="E1676" s="25">
        <v>782.3</v>
      </c>
    </row>
    <row r="1677" spans="1:5" x14ac:dyDescent="0.3">
      <c r="A1677" s="17" t="str">
        <f>"28035"</f>
        <v>28035</v>
      </c>
      <c r="B1677" s="5" t="s">
        <v>1834</v>
      </c>
      <c r="C1677" s="17">
        <v>19900101</v>
      </c>
      <c r="D1677" s="17">
        <v>22991231</v>
      </c>
      <c r="E1677" s="25">
        <v>857.51</v>
      </c>
    </row>
    <row r="1678" spans="1:5" ht="26" x14ac:dyDescent="0.3">
      <c r="A1678" s="17" t="str">
        <f>"28039"</f>
        <v>28039</v>
      </c>
      <c r="B1678" s="5" t="s">
        <v>1835</v>
      </c>
      <c r="C1678" s="17">
        <v>20100101</v>
      </c>
      <c r="D1678" s="17">
        <v>22991231</v>
      </c>
      <c r="E1678" s="25">
        <v>1105.24</v>
      </c>
    </row>
    <row r="1679" spans="1:5" ht="26" x14ac:dyDescent="0.3">
      <c r="A1679" s="17" t="str">
        <f>"28041"</f>
        <v>28041</v>
      </c>
      <c r="B1679" s="5" t="s">
        <v>1836</v>
      </c>
      <c r="C1679" s="17">
        <v>20100101</v>
      </c>
      <c r="D1679" s="17">
        <v>22991231</v>
      </c>
      <c r="E1679" s="25">
        <v>1105.24</v>
      </c>
    </row>
    <row r="1680" spans="1:5" ht="26" x14ac:dyDescent="0.3">
      <c r="A1680" s="17" t="str">
        <f>"28043"</f>
        <v>28043</v>
      </c>
      <c r="B1680" s="5" t="s">
        <v>1837</v>
      </c>
      <c r="C1680" s="17">
        <v>19900101</v>
      </c>
      <c r="D1680" s="17">
        <v>22991231</v>
      </c>
      <c r="E1680" s="25">
        <v>652.27</v>
      </c>
    </row>
    <row r="1681" spans="1:5" ht="26" x14ac:dyDescent="0.3">
      <c r="A1681" s="17" t="str">
        <f>"28045"</f>
        <v>28045</v>
      </c>
      <c r="B1681" s="5" t="s">
        <v>1838</v>
      </c>
      <c r="C1681" s="17">
        <v>19900101</v>
      </c>
      <c r="D1681" s="17">
        <v>22991231</v>
      </c>
      <c r="E1681" s="25">
        <v>1105.24</v>
      </c>
    </row>
    <row r="1682" spans="1:5" ht="26" x14ac:dyDescent="0.3">
      <c r="A1682" s="17" t="str">
        <f>"28046"</f>
        <v>28046</v>
      </c>
      <c r="B1682" s="5" t="s">
        <v>1839</v>
      </c>
      <c r="C1682" s="17">
        <v>19970801</v>
      </c>
      <c r="D1682" s="17">
        <v>22991231</v>
      </c>
      <c r="E1682" s="25">
        <v>1105.24</v>
      </c>
    </row>
    <row r="1683" spans="1:5" ht="26" x14ac:dyDescent="0.3">
      <c r="A1683" s="17" t="str">
        <f>"28047"</f>
        <v>28047</v>
      </c>
      <c r="B1683" s="5" t="s">
        <v>1840</v>
      </c>
      <c r="C1683" s="17">
        <v>20100101</v>
      </c>
      <c r="D1683" s="17">
        <v>22991231</v>
      </c>
      <c r="E1683" s="25">
        <v>1105.24</v>
      </c>
    </row>
    <row r="1684" spans="1:5" x14ac:dyDescent="0.3">
      <c r="A1684" s="17" t="str">
        <f>"28050"</f>
        <v>28050</v>
      </c>
      <c r="B1684" s="5" t="s">
        <v>1841</v>
      </c>
      <c r="C1684" s="17">
        <v>19900101</v>
      </c>
      <c r="D1684" s="17">
        <v>22991231</v>
      </c>
      <c r="E1684" s="25">
        <v>1450.8</v>
      </c>
    </row>
    <row r="1685" spans="1:5" x14ac:dyDescent="0.3">
      <c r="A1685" s="17" t="str">
        <f>"28052"</f>
        <v>28052</v>
      </c>
      <c r="B1685" s="5" t="s">
        <v>1842</v>
      </c>
      <c r="C1685" s="17">
        <v>19900101</v>
      </c>
      <c r="D1685" s="17">
        <v>22991231</v>
      </c>
      <c r="E1685" s="25">
        <v>1450.8</v>
      </c>
    </row>
    <row r="1686" spans="1:5" x14ac:dyDescent="0.3">
      <c r="A1686" s="17" t="str">
        <f>"28054"</f>
        <v>28054</v>
      </c>
      <c r="B1686" s="5" t="s">
        <v>1843</v>
      </c>
      <c r="C1686" s="17">
        <v>19900101</v>
      </c>
      <c r="D1686" s="17">
        <v>22991231</v>
      </c>
      <c r="E1686" s="25">
        <v>1450.8</v>
      </c>
    </row>
    <row r="1687" spans="1:5" x14ac:dyDescent="0.3">
      <c r="A1687" s="17" t="str">
        <f>"28055"</f>
        <v>28055</v>
      </c>
      <c r="B1687" s="5" t="s">
        <v>1844</v>
      </c>
      <c r="C1687" s="17">
        <v>20070101</v>
      </c>
      <c r="D1687" s="17">
        <v>22991231</v>
      </c>
      <c r="E1687" s="25">
        <v>857.51</v>
      </c>
    </row>
    <row r="1688" spans="1:5" ht="26" x14ac:dyDescent="0.3">
      <c r="A1688" s="17" t="str">
        <f>"28060"</f>
        <v>28060</v>
      </c>
      <c r="B1688" s="5" t="s">
        <v>1845</v>
      </c>
      <c r="C1688" s="17">
        <v>19900101</v>
      </c>
      <c r="D1688" s="17">
        <v>22991231</v>
      </c>
      <c r="E1688" s="25">
        <v>1450.8</v>
      </c>
    </row>
    <row r="1689" spans="1:5" x14ac:dyDescent="0.3">
      <c r="A1689" s="17" t="str">
        <f>"28062"</f>
        <v>28062</v>
      </c>
      <c r="B1689" s="5" t="s">
        <v>1846</v>
      </c>
      <c r="C1689" s="17">
        <v>19900101</v>
      </c>
      <c r="D1689" s="17">
        <v>22991231</v>
      </c>
      <c r="E1689" s="25">
        <v>1450.8</v>
      </c>
    </row>
    <row r="1690" spans="1:5" x14ac:dyDescent="0.3">
      <c r="A1690" s="17" t="str">
        <f>"28070"</f>
        <v>28070</v>
      </c>
      <c r="B1690" s="5" t="s">
        <v>1847</v>
      </c>
      <c r="C1690" s="17">
        <v>19900101</v>
      </c>
      <c r="D1690" s="17">
        <v>22991231</v>
      </c>
      <c r="E1690" s="25">
        <v>3240.75</v>
      </c>
    </row>
    <row r="1691" spans="1:5" x14ac:dyDescent="0.3">
      <c r="A1691" s="17" t="str">
        <f>"28072"</f>
        <v>28072</v>
      </c>
      <c r="B1691" s="5" t="s">
        <v>1848</v>
      </c>
      <c r="C1691" s="17">
        <v>19900101</v>
      </c>
      <c r="D1691" s="17">
        <v>22991231</v>
      </c>
      <c r="E1691" s="25">
        <v>1450.8</v>
      </c>
    </row>
    <row r="1692" spans="1:5" ht="26" x14ac:dyDescent="0.3">
      <c r="A1692" s="17" t="str">
        <f>"28080"</f>
        <v>28080</v>
      </c>
      <c r="B1692" s="5" t="s">
        <v>1849</v>
      </c>
      <c r="C1692" s="17">
        <v>19900101</v>
      </c>
      <c r="D1692" s="17">
        <v>22991231</v>
      </c>
      <c r="E1692" s="25">
        <v>782.3</v>
      </c>
    </row>
    <row r="1693" spans="1:5" ht="26" x14ac:dyDescent="0.3">
      <c r="A1693" s="17" t="str">
        <f>"28086"</f>
        <v>28086</v>
      </c>
      <c r="B1693" s="5" t="s">
        <v>1850</v>
      </c>
      <c r="C1693" s="17">
        <v>19900101</v>
      </c>
      <c r="D1693" s="17">
        <v>22991231</v>
      </c>
      <c r="E1693" s="25">
        <v>1450.8</v>
      </c>
    </row>
    <row r="1694" spans="1:5" ht="26" x14ac:dyDescent="0.3">
      <c r="A1694" s="17" t="str">
        <f>"28088"</f>
        <v>28088</v>
      </c>
      <c r="B1694" s="5" t="s">
        <v>1851</v>
      </c>
      <c r="C1694" s="17">
        <v>19900101</v>
      </c>
      <c r="D1694" s="17">
        <v>22991231</v>
      </c>
      <c r="E1694" s="25">
        <v>1450.8</v>
      </c>
    </row>
    <row r="1695" spans="1:5" ht="26" x14ac:dyDescent="0.3">
      <c r="A1695" s="17" t="str">
        <f>"28090"</f>
        <v>28090</v>
      </c>
      <c r="B1695" s="5" t="s">
        <v>1852</v>
      </c>
      <c r="C1695" s="17">
        <v>19900101</v>
      </c>
      <c r="D1695" s="17">
        <v>22991231</v>
      </c>
      <c r="E1695" s="25">
        <v>782.3</v>
      </c>
    </row>
    <row r="1696" spans="1:5" ht="26" x14ac:dyDescent="0.3">
      <c r="A1696" s="17" t="str">
        <f>"28092"</f>
        <v>28092</v>
      </c>
      <c r="B1696" s="5" t="s">
        <v>1853</v>
      </c>
      <c r="C1696" s="17">
        <v>19900101</v>
      </c>
      <c r="D1696" s="17">
        <v>22991231</v>
      </c>
      <c r="E1696" s="25">
        <v>782.3</v>
      </c>
    </row>
    <row r="1697" spans="1:5" x14ac:dyDescent="0.3">
      <c r="A1697" s="17" t="str">
        <f>"28100"</f>
        <v>28100</v>
      </c>
      <c r="B1697" s="5" t="s">
        <v>1854</v>
      </c>
      <c r="C1697" s="17">
        <v>19900101</v>
      </c>
      <c r="D1697" s="17">
        <v>22991231</v>
      </c>
      <c r="E1697" s="25">
        <v>1450.8</v>
      </c>
    </row>
    <row r="1698" spans="1:5" ht="26" x14ac:dyDescent="0.3">
      <c r="A1698" s="17" t="str">
        <f>"28102"</f>
        <v>28102</v>
      </c>
      <c r="B1698" s="5" t="s">
        <v>1855</v>
      </c>
      <c r="C1698" s="17">
        <v>19900101</v>
      </c>
      <c r="D1698" s="17">
        <v>22991231</v>
      </c>
      <c r="E1698" s="25">
        <v>4081.38</v>
      </c>
    </row>
    <row r="1699" spans="1:5" ht="26" x14ac:dyDescent="0.3">
      <c r="A1699" s="17" t="str">
        <f>"28103"</f>
        <v>28103</v>
      </c>
      <c r="B1699" s="5" t="s">
        <v>1856</v>
      </c>
      <c r="C1699" s="17">
        <v>19900101</v>
      </c>
      <c r="D1699" s="17">
        <v>22991231</v>
      </c>
      <c r="E1699" s="25">
        <v>4445.3100000000004</v>
      </c>
    </row>
    <row r="1700" spans="1:5" x14ac:dyDescent="0.3">
      <c r="A1700" s="17" t="str">
        <f>"28104"</f>
        <v>28104</v>
      </c>
      <c r="B1700" s="5" t="s">
        <v>1857</v>
      </c>
      <c r="C1700" s="17">
        <v>19900101</v>
      </c>
      <c r="D1700" s="17">
        <v>22991231</v>
      </c>
      <c r="E1700" s="25">
        <v>1450.8</v>
      </c>
    </row>
    <row r="1701" spans="1:5" ht="26" x14ac:dyDescent="0.3">
      <c r="A1701" s="17" t="str">
        <f>"28106"</f>
        <v>28106</v>
      </c>
      <c r="B1701" s="5" t="s">
        <v>1858</v>
      </c>
      <c r="C1701" s="17">
        <v>19900101</v>
      </c>
      <c r="D1701" s="17">
        <v>22991231</v>
      </c>
      <c r="E1701" s="25">
        <v>3240.75</v>
      </c>
    </row>
    <row r="1702" spans="1:5" ht="26" x14ac:dyDescent="0.3">
      <c r="A1702" s="17" t="str">
        <f>"28107"</f>
        <v>28107</v>
      </c>
      <c r="B1702" s="5" t="s">
        <v>1859</v>
      </c>
      <c r="C1702" s="17">
        <v>19900101</v>
      </c>
      <c r="D1702" s="17">
        <v>22991231</v>
      </c>
      <c r="E1702" s="25">
        <v>3240.75</v>
      </c>
    </row>
    <row r="1703" spans="1:5" x14ac:dyDescent="0.3">
      <c r="A1703" s="17" t="str">
        <f>"28108"</f>
        <v>28108</v>
      </c>
      <c r="B1703" s="5" t="s">
        <v>1860</v>
      </c>
      <c r="C1703" s="17">
        <v>19900101</v>
      </c>
      <c r="D1703" s="17">
        <v>22991231</v>
      </c>
      <c r="E1703" s="25">
        <v>782.3</v>
      </c>
    </row>
    <row r="1704" spans="1:5" x14ac:dyDescent="0.3">
      <c r="A1704" s="17" t="str">
        <f>"28110"</f>
        <v>28110</v>
      </c>
      <c r="B1704" s="5" t="s">
        <v>1861</v>
      </c>
      <c r="C1704" s="17">
        <v>19900101</v>
      </c>
      <c r="D1704" s="17">
        <v>22991231</v>
      </c>
      <c r="E1704" s="25">
        <v>1450.8</v>
      </c>
    </row>
    <row r="1705" spans="1:5" x14ac:dyDescent="0.3">
      <c r="A1705" s="17" t="str">
        <f>"28111"</f>
        <v>28111</v>
      </c>
      <c r="B1705" s="5" t="s">
        <v>1862</v>
      </c>
      <c r="C1705" s="17">
        <v>19900101</v>
      </c>
      <c r="D1705" s="17">
        <v>22991231</v>
      </c>
      <c r="E1705" s="25">
        <v>1450.8</v>
      </c>
    </row>
    <row r="1706" spans="1:5" ht="26" x14ac:dyDescent="0.3">
      <c r="A1706" s="17" t="str">
        <f>"28112"</f>
        <v>28112</v>
      </c>
      <c r="B1706" s="5" t="s">
        <v>1863</v>
      </c>
      <c r="C1706" s="17">
        <v>19900101</v>
      </c>
      <c r="D1706" s="17">
        <v>22991231</v>
      </c>
      <c r="E1706" s="25">
        <v>1450.8</v>
      </c>
    </row>
    <row r="1707" spans="1:5" x14ac:dyDescent="0.3">
      <c r="A1707" s="17" t="str">
        <f>"28113"</f>
        <v>28113</v>
      </c>
      <c r="B1707" s="5" t="s">
        <v>1864</v>
      </c>
      <c r="C1707" s="17">
        <v>19900101</v>
      </c>
      <c r="D1707" s="17">
        <v>22991231</v>
      </c>
      <c r="E1707" s="25">
        <v>1450.8</v>
      </c>
    </row>
    <row r="1708" spans="1:5" x14ac:dyDescent="0.3">
      <c r="A1708" s="17" t="str">
        <f>"28114"</f>
        <v>28114</v>
      </c>
      <c r="B1708" s="5" t="s">
        <v>1865</v>
      </c>
      <c r="C1708" s="17">
        <v>19900101</v>
      </c>
      <c r="D1708" s="17">
        <v>22991231</v>
      </c>
      <c r="E1708" s="25">
        <v>1450.8</v>
      </c>
    </row>
    <row r="1709" spans="1:5" x14ac:dyDescent="0.3">
      <c r="A1709" s="17" t="str">
        <f>"28116"</f>
        <v>28116</v>
      </c>
      <c r="B1709" s="5" t="s">
        <v>1866</v>
      </c>
      <c r="C1709" s="17">
        <v>19900101</v>
      </c>
      <c r="D1709" s="17">
        <v>22991231</v>
      </c>
      <c r="E1709" s="25">
        <v>1450.8</v>
      </c>
    </row>
    <row r="1710" spans="1:5" x14ac:dyDescent="0.3">
      <c r="A1710" s="17" t="str">
        <f>"28118"</f>
        <v>28118</v>
      </c>
      <c r="B1710" s="5" t="s">
        <v>1867</v>
      </c>
      <c r="C1710" s="17">
        <v>19900101</v>
      </c>
      <c r="D1710" s="17">
        <v>22991231</v>
      </c>
      <c r="E1710" s="25">
        <v>1450.8</v>
      </c>
    </row>
    <row r="1711" spans="1:5" x14ac:dyDescent="0.3">
      <c r="A1711" s="17" t="str">
        <f>"28119"</f>
        <v>28119</v>
      </c>
      <c r="B1711" s="5" t="s">
        <v>1868</v>
      </c>
      <c r="C1711" s="17">
        <v>19900101</v>
      </c>
      <c r="D1711" s="17">
        <v>22991231</v>
      </c>
      <c r="E1711" s="25">
        <v>1450.8</v>
      </c>
    </row>
    <row r="1712" spans="1:5" x14ac:dyDescent="0.3">
      <c r="A1712" s="17" t="str">
        <f>"28120"</f>
        <v>28120</v>
      </c>
      <c r="B1712" s="5" t="s">
        <v>1869</v>
      </c>
      <c r="C1712" s="17">
        <v>19900101</v>
      </c>
      <c r="D1712" s="17">
        <v>22991231</v>
      </c>
      <c r="E1712" s="25">
        <v>1450.8</v>
      </c>
    </row>
    <row r="1713" spans="1:5" x14ac:dyDescent="0.3">
      <c r="A1713" s="17" t="str">
        <f>"28122"</f>
        <v>28122</v>
      </c>
      <c r="B1713" s="5" t="s">
        <v>1870</v>
      </c>
      <c r="C1713" s="17">
        <v>19900101</v>
      </c>
      <c r="D1713" s="17">
        <v>22991231</v>
      </c>
      <c r="E1713" s="25">
        <v>1450.8</v>
      </c>
    </row>
    <row r="1714" spans="1:5" x14ac:dyDescent="0.3">
      <c r="A1714" s="17" t="str">
        <f>"28124"</f>
        <v>28124</v>
      </c>
      <c r="B1714" s="5" t="s">
        <v>1871</v>
      </c>
      <c r="C1714" s="17">
        <v>19900101</v>
      </c>
      <c r="D1714" s="17">
        <v>22991231</v>
      </c>
      <c r="E1714" s="25">
        <v>278.04000000000002</v>
      </c>
    </row>
    <row r="1715" spans="1:5" x14ac:dyDescent="0.3">
      <c r="A1715" s="17" t="str">
        <f>"28126"</f>
        <v>28126</v>
      </c>
      <c r="B1715" s="5" t="s">
        <v>1872</v>
      </c>
      <c r="C1715" s="17">
        <v>19900101</v>
      </c>
      <c r="D1715" s="17">
        <v>22991231</v>
      </c>
      <c r="E1715" s="25">
        <v>1450.8</v>
      </c>
    </row>
    <row r="1716" spans="1:5" x14ac:dyDescent="0.3">
      <c r="A1716" s="17" t="str">
        <f>"28130"</f>
        <v>28130</v>
      </c>
      <c r="B1716" s="5" t="s">
        <v>1873</v>
      </c>
      <c r="C1716" s="17">
        <v>19900101</v>
      </c>
      <c r="D1716" s="17">
        <v>22991231</v>
      </c>
      <c r="E1716" s="25">
        <v>4162.2</v>
      </c>
    </row>
    <row r="1717" spans="1:5" x14ac:dyDescent="0.3">
      <c r="A1717" s="17" t="str">
        <f>"28140"</f>
        <v>28140</v>
      </c>
      <c r="B1717" s="5" t="s">
        <v>1874</v>
      </c>
      <c r="C1717" s="17">
        <v>19900101</v>
      </c>
      <c r="D1717" s="17">
        <v>22991231</v>
      </c>
      <c r="E1717" s="25">
        <v>1450.8</v>
      </c>
    </row>
    <row r="1718" spans="1:5" x14ac:dyDescent="0.3">
      <c r="A1718" s="17" t="str">
        <f>"28150"</f>
        <v>28150</v>
      </c>
      <c r="B1718" s="5" t="s">
        <v>1875</v>
      </c>
      <c r="C1718" s="17">
        <v>19900101</v>
      </c>
      <c r="D1718" s="17">
        <v>22991231</v>
      </c>
      <c r="E1718" s="25">
        <v>1450.8</v>
      </c>
    </row>
    <row r="1719" spans="1:5" x14ac:dyDescent="0.3">
      <c r="A1719" s="17" t="str">
        <f>"28153"</f>
        <v>28153</v>
      </c>
      <c r="B1719" s="5" t="s">
        <v>1876</v>
      </c>
      <c r="C1719" s="17">
        <v>19900101</v>
      </c>
      <c r="D1719" s="17">
        <v>22991231</v>
      </c>
      <c r="E1719" s="25">
        <v>1450.8</v>
      </c>
    </row>
    <row r="1720" spans="1:5" x14ac:dyDescent="0.3">
      <c r="A1720" s="17" t="str">
        <f>"28160"</f>
        <v>28160</v>
      </c>
      <c r="B1720" s="5" t="s">
        <v>1877</v>
      </c>
      <c r="C1720" s="17">
        <v>19900101</v>
      </c>
      <c r="D1720" s="17">
        <v>22991231</v>
      </c>
      <c r="E1720" s="25">
        <v>1450.8</v>
      </c>
    </row>
    <row r="1721" spans="1:5" ht="26" x14ac:dyDescent="0.3">
      <c r="A1721" s="17" t="str">
        <f>"28171"</f>
        <v>28171</v>
      </c>
      <c r="B1721" s="5" t="s">
        <v>1878</v>
      </c>
      <c r="C1721" s="17">
        <v>19900101</v>
      </c>
      <c r="D1721" s="17">
        <v>22991231</v>
      </c>
      <c r="E1721" s="25">
        <v>1450.8</v>
      </c>
    </row>
    <row r="1722" spans="1:5" x14ac:dyDescent="0.3">
      <c r="A1722" s="17" t="str">
        <f>"28173"</f>
        <v>28173</v>
      </c>
      <c r="B1722" s="5" t="s">
        <v>1879</v>
      </c>
      <c r="C1722" s="17">
        <v>19900101</v>
      </c>
      <c r="D1722" s="17">
        <v>22991231</v>
      </c>
      <c r="E1722" s="25">
        <v>1450.8</v>
      </c>
    </row>
    <row r="1723" spans="1:5" x14ac:dyDescent="0.3">
      <c r="A1723" s="17" t="str">
        <f>"28175"</f>
        <v>28175</v>
      </c>
      <c r="B1723" s="5" t="s">
        <v>1880</v>
      </c>
      <c r="C1723" s="17">
        <v>19900101</v>
      </c>
      <c r="D1723" s="17">
        <v>22991231</v>
      </c>
      <c r="E1723" s="25">
        <v>782.3</v>
      </c>
    </row>
    <row r="1724" spans="1:5" ht="26" x14ac:dyDescent="0.3">
      <c r="A1724" s="17" t="str">
        <f>"28190"</f>
        <v>28190</v>
      </c>
      <c r="B1724" s="5" t="s">
        <v>1881</v>
      </c>
      <c r="C1724" s="17">
        <v>19900101</v>
      </c>
      <c r="D1724" s="17">
        <v>22991231</v>
      </c>
      <c r="E1724" s="25">
        <v>156.69</v>
      </c>
    </row>
    <row r="1725" spans="1:5" x14ac:dyDescent="0.3">
      <c r="A1725" s="17" t="str">
        <f>"28192"</f>
        <v>28192</v>
      </c>
      <c r="B1725" s="5" t="s">
        <v>1882</v>
      </c>
      <c r="C1725" s="17">
        <v>19900101</v>
      </c>
      <c r="D1725" s="17">
        <v>22991231</v>
      </c>
      <c r="E1725" s="25">
        <v>652.27</v>
      </c>
    </row>
    <row r="1726" spans="1:5" x14ac:dyDescent="0.3">
      <c r="A1726" s="17" t="str">
        <f>"28193"</f>
        <v>28193</v>
      </c>
      <c r="B1726" s="5" t="s">
        <v>1883</v>
      </c>
      <c r="C1726" s="17">
        <v>19900101</v>
      </c>
      <c r="D1726" s="17">
        <v>22991231</v>
      </c>
      <c r="E1726" s="25">
        <v>652.27</v>
      </c>
    </row>
    <row r="1727" spans="1:5" x14ac:dyDescent="0.3">
      <c r="A1727" s="17" t="str">
        <f>"28200"</f>
        <v>28200</v>
      </c>
      <c r="B1727" s="5" t="s">
        <v>1884</v>
      </c>
      <c r="C1727" s="17">
        <v>19900101</v>
      </c>
      <c r="D1727" s="17">
        <v>22991231</v>
      </c>
      <c r="E1727" s="25">
        <v>1450.8</v>
      </c>
    </row>
    <row r="1728" spans="1:5" ht="26" x14ac:dyDescent="0.3">
      <c r="A1728" s="17" t="str">
        <f>"28202"</f>
        <v>28202</v>
      </c>
      <c r="B1728" s="5" t="s">
        <v>1885</v>
      </c>
      <c r="C1728" s="17">
        <v>19900101</v>
      </c>
      <c r="D1728" s="17">
        <v>22991231</v>
      </c>
      <c r="E1728" s="25">
        <v>4232.43</v>
      </c>
    </row>
    <row r="1729" spans="1:5" x14ac:dyDescent="0.3">
      <c r="A1729" s="17" t="str">
        <f>"28208"</f>
        <v>28208</v>
      </c>
      <c r="B1729" s="5" t="s">
        <v>1886</v>
      </c>
      <c r="C1729" s="17">
        <v>19900101</v>
      </c>
      <c r="D1729" s="17">
        <v>22991231</v>
      </c>
      <c r="E1729" s="25">
        <v>1450.8</v>
      </c>
    </row>
    <row r="1730" spans="1:5" x14ac:dyDescent="0.3">
      <c r="A1730" s="17" t="str">
        <f>"28210"</f>
        <v>28210</v>
      </c>
      <c r="B1730" s="5" t="s">
        <v>1887</v>
      </c>
      <c r="C1730" s="17">
        <v>19900101</v>
      </c>
      <c r="D1730" s="17">
        <v>22991231</v>
      </c>
      <c r="E1730" s="25">
        <v>4216.43</v>
      </c>
    </row>
    <row r="1731" spans="1:5" ht="26" x14ac:dyDescent="0.3">
      <c r="A1731" s="17" t="str">
        <f>"28220"</f>
        <v>28220</v>
      </c>
      <c r="B1731" s="5" t="s">
        <v>1888</v>
      </c>
      <c r="C1731" s="17">
        <v>19900101</v>
      </c>
      <c r="D1731" s="17">
        <v>22991231</v>
      </c>
      <c r="E1731" s="25">
        <v>263.33999999999997</v>
      </c>
    </row>
    <row r="1732" spans="1:5" x14ac:dyDescent="0.3">
      <c r="A1732" s="17" t="str">
        <f>"28222"</f>
        <v>28222</v>
      </c>
      <c r="B1732" s="5" t="s">
        <v>1889</v>
      </c>
      <c r="C1732" s="17">
        <v>19900101</v>
      </c>
      <c r="D1732" s="17">
        <v>22991231</v>
      </c>
      <c r="E1732" s="25">
        <v>1450.8</v>
      </c>
    </row>
    <row r="1733" spans="1:5" ht="26" x14ac:dyDescent="0.3">
      <c r="A1733" s="17" t="str">
        <f>"28225"</f>
        <v>28225</v>
      </c>
      <c r="B1733" s="5" t="s">
        <v>1890</v>
      </c>
      <c r="C1733" s="17">
        <v>19900101</v>
      </c>
      <c r="D1733" s="17">
        <v>22991231</v>
      </c>
      <c r="E1733" s="25">
        <v>1450.8</v>
      </c>
    </row>
    <row r="1734" spans="1:5" ht="26" x14ac:dyDescent="0.3">
      <c r="A1734" s="17" t="str">
        <f>"28226"</f>
        <v>28226</v>
      </c>
      <c r="B1734" s="5" t="s">
        <v>1891</v>
      </c>
      <c r="C1734" s="17">
        <v>19900101</v>
      </c>
      <c r="D1734" s="17">
        <v>22991231</v>
      </c>
      <c r="E1734" s="25">
        <v>1450.8</v>
      </c>
    </row>
    <row r="1735" spans="1:5" x14ac:dyDescent="0.3">
      <c r="A1735" s="17" t="str">
        <f>"28230"</f>
        <v>28230</v>
      </c>
      <c r="B1735" s="5" t="s">
        <v>1892</v>
      </c>
      <c r="C1735" s="17">
        <v>19900101</v>
      </c>
      <c r="D1735" s="17">
        <v>22991231</v>
      </c>
      <c r="E1735" s="25">
        <v>256.14</v>
      </c>
    </row>
    <row r="1736" spans="1:5" x14ac:dyDescent="0.3">
      <c r="A1736" s="17" t="str">
        <f>"28232"</f>
        <v>28232</v>
      </c>
      <c r="B1736" s="5" t="s">
        <v>1893</v>
      </c>
      <c r="C1736" s="17">
        <v>19900101</v>
      </c>
      <c r="D1736" s="17">
        <v>22991231</v>
      </c>
      <c r="E1736" s="25">
        <v>234.25</v>
      </c>
    </row>
    <row r="1737" spans="1:5" x14ac:dyDescent="0.3">
      <c r="A1737" s="17" t="str">
        <f>"28234"</f>
        <v>28234</v>
      </c>
      <c r="B1737" s="5" t="s">
        <v>1894</v>
      </c>
      <c r="C1737" s="17">
        <v>19900101</v>
      </c>
      <c r="D1737" s="17">
        <v>22991231</v>
      </c>
      <c r="E1737" s="25">
        <v>782.3</v>
      </c>
    </row>
    <row r="1738" spans="1:5" ht="26" x14ac:dyDescent="0.3">
      <c r="A1738" s="17" t="str">
        <f>"28238"</f>
        <v>28238</v>
      </c>
      <c r="B1738" s="5" t="s">
        <v>1895</v>
      </c>
      <c r="C1738" s="17">
        <v>19900101</v>
      </c>
      <c r="D1738" s="17">
        <v>22991231</v>
      </c>
      <c r="E1738" s="25">
        <v>3240.75</v>
      </c>
    </row>
    <row r="1739" spans="1:5" x14ac:dyDescent="0.3">
      <c r="A1739" s="17" t="str">
        <f>"28240"</f>
        <v>28240</v>
      </c>
      <c r="B1739" s="5" t="s">
        <v>1896</v>
      </c>
      <c r="C1739" s="17">
        <v>19900101</v>
      </c>
      <c r="D1739" s="17">
        <v>22991231</v>
      </c>
      <c r="E1739" s="25">
        <v>1450.8</v>
      </c>
    </row>
    <row r="1740" spans="1:5" ht="26" x14ac:dyDescent="0.3">
      <c r="A1740" s="17" t="str">
        <f>"28250"</f>
        <v>28250</v>
      </c>
      <c r="B1740" s="5" t="s">
        <v>1897</v>
      </c>
      <c r="C1740" s="17">
        <v>19900101</v>
      </c>
      <c r="D1740" s="17">
        <v>22991231</v>
      </c>
      <c r="E1740" s="25">
        <v>1450.8</v>
      </c>
    </row>
    <row r="1741" spans="1:5" ht="26" x14ac:dyDescent="0.3">
      <c r="A1741" s="17" t="str">
        <f>"28260"</f>
        <v>28260</v>
      </c>
      <c r="B1741" s="5" t="s">
        <v>1898</v>
      </c>
      <c r="C1741" s="17">
        <v>19900101</v>
      </c>
      <c r="D1741" s="17">
        <v>22991231</v>
      </c>
      <c r="E1741" s="25">
        <v>1450.8</v>
      </c>
    </row>
    <row r="1742" spans="1:5" ht="26" x14ac:dyDescent="0.3">
      <c r="A1742" s="17" t="str">
        <f>"28261"</f>
        <v>28261</v>
      </c>
      <c r="B1742" s="5" t="s">
        <v>1899</v>
      </c>
      <c r="C1742" s="17">
        <v>19900101</v>
      </c>
      <c r="D1742" s="17">
        <v>22991231</v>
      </c>
      <c r="E1742" s="25">
        <v>985.22</v>
      </c>
    </row>
    <row r="1743" spans="1:5" ht="26" x14ac:dyDescent="0.3">
      <c r="A1743" s="17" t="str">
        <f>"28262"</f>
        <v>28262</v>
      </c>
      <c r="B1743" s="5" t="s">
        <v>1900</v>
      </c>
      <c r="C1743" s="17">
        <v>19900101</v>
      </c>
      <c r="D1743" s="17">
        <v>22991231</v>
      </c>
      <c r="E1743" s="25">
        <v>3240.75</v>
      </c>
    </row>
    <row r="1744" spans="1:5" x14ac:dyDescent="0.3">
      <c r="A1744" s="17" t="str">
        <f>"28264"</f>
        <v>28264</v>
      </c>
      <c r="B1744" s="5" t="s">
        <v>1901</v>
      </c>
      <c r="C1744" s="17">
        <v>19900101</v>
      </c>
      <c r="D1744" s="17">
        <v>22991231</v>
      </c>
      <c r="E1744" s="25">
        <v>782.3</v>
      </c>
    </row>
    <row r="1745" spans="1:5" x14ac:dyDescent="0.3">
      <c r="A1745" s="17" t="str">
        <f>"28270"</f>
        <v>28270</v>
      </c>
      <c r="B1745" s="5" t="s">
        <v>1902</v>
      </c>
      <c r="C1745" s="17">
        <v>19900101</v>
      </c>
      <c r="D1745" s="17">
        <v>22991231</v>
      </c>
      <c r="E1745" s="25">
        <v>1450.8</v>
      </c>
    </row>
    <row r="1746" spans="1:5" x14ac:dyDescent="0.3">
      <c r="A1746" s="17" t="str">
        <f>"28272"</f>
        <v>28272</v>
      </c>
      <c r="B1746" s="5" t="s">
        <v>1903</v>
      </c>
      <c r="C1746" s="17">
        <v>19900101</v>
      </c>
      <c r="D1746" s="17">
        <v>22991231</v>
      </c>
      <c r="E1746" s="25">
        <v>226.44</v>
      </c>
    </row>
    <row r="1747" spans="1:5" x14ac:dyDescent="0.3">
      <c r="A1747" s="17" t="str">
        <f>"28280"</f>
        <v>28280</v>
      </c>
      <c r="B1747" s="5" t="s">
        <v>1904</v>
      </c>
      <c r="C1747" s="17">
        <v>19900101</v>
      </c>
      <c r="D1747" s="17">
        <v>22991231</v>
      </c>
      <c r="E1747" s="25">
        <v>1450.8</v>
      </c>
    </row>
    <row r="1748" spans="1:5" x14ac:dyDescent="0.3">
      <c r="A1748" s="17" t="str">
        <f>"28285"</f>
        <v>28285</v>
      </c>
      <c r="B1748" s="5" t="s">
        <v>1905</v>
      </c>
      <c r="C1748" s="17">
        <v>19900101</v>
      </c>
      <c r="D1748" s="17">
        <v>22991231</v>
      </c>
      <c r="E1748" s="25">
        <v>1450.8</v>
      </c>
    </row>
    <row r="1749" spans="1:5" x14ac:dyDescent="0.3">
      <c r="A1749" s="17" t="str">
        <f>"28286"</f>
        <v>28286</v>
      </c>
      <c r="B1749" s="5" t="s">
        <v>1906</v>
      </c>
      <c r="C1749" s="17">
        <v>19900101</v>
      </c>
      <c r="D1749" s="17">
        <v>22991231</v>
      </c>
      <c r="E1749" s="25">
        <v>1450.8</v>
      </c>
    </row>
    <row r="1750" spans="1:5" x14ac:dyDescent="0.3">
      <c r="A1750" s="17" t="str">
        <f>"28288"</f>
        <v>28288</v>
      </c>
      <c r="B1750" s="5" t="s">
        <v>1907</v>
      </c>
      <c r="C1750" s="17">
        <v>19900101</v>
      </c>
      <c r="D1750" s="17">
        <v>22991231</v>
      </c>
      <c r="E1750" s="25">
        <v>1450.8</v>
      </c>
    </row>
    <row r="1751" spans="1:5" ht="26" x14ac:dyDescent="0.3">
      <c r="A1751" s="17" t="str">
        <f>"28289"</f>
        <v>28289</v>
      </c>
      <c r="B1751" s="5" t="s">
        <v>1908</v>
      </c>
      <c r="C1751" s="17">
        <v>19900101</v>
      </c>
      <c r="D1751" s="17">
        <v>22991231</v>
      </c>
      <c r="E1751" s="25">
        <v>1450.8</v>
      </c>
    </row>
    <row r="1752" spans="1:5" ht="26" x14ac:dyDescent="0.3">
      <c r="A1752" s="17" t="str">
        <f>"28291"</f>
        <v>28291</v>
      </c>
      <c r="B1752" s="5" t="s">
        <v>1909</v>
      </c>
      <c r="C1752" s="17">
        <v>20170101</v>
      </c>
      <c r="D1752" s="17">
        <v>22991231</v>
      </c>
      <c r="E1752" s="25">
        <v>4436.62</v>
      </c>
    </row>
    <row r="1753" spans="1:5" x14ac:dyDescent="0.3">
      <c r="A1753" s="17" t="str">
        <f>"28292"</f>
        <v>28292</v>
      </c>
      <c r="B1753" s="5" t="s">
        <v>1910</v>
      </c>
      <c r="C1753" s="17">
        <v>19900101</v>
      </c>
      <c r="D1753" s="17">
        <v>22991231</v>
      </c>
      <c r="E1753" s="25">
        <v>1450.8</v>
      </c>
    </row>
    <row r="1754" spans="1:5" ht="26" x14ac:dyDescent="0.3">
      <c r="A1754" s="17" t="str">
        <f>"28295"</f>
        <v>28295</v>
      </c>
      <c r="B1754" s="5" t="s">
        <v>1911</v>
      </c>
      <c r="C1754" s="17">
        <v>20170101</v>
      </c>
      <c r="D1754" s="17">
        <v>22991231</v>
      </c>
      <c r="E1754" s="25">
        <v>1450.8</v>
      </c>
    </row>
    <row r="1755" spans="1:5" ht="26" x14ac:dyDescent="0.3">
      <c r="A1755" s="17" t="str">
        <f>"28296"</f>
        <v>28296</v>
      </c>
      <c r="B1755" s="5" t="s">
        <v>1912</v>
      </c>
      <c r="C1755" s="17">
        <v>19900101</v>
      </c>
      <c r="D1755" s="17">
        <v>22991231</v>
      </c>
      <c r="E1755" s="25">
        <v>1450.8</v>
      </c>
    </row>
    <row r="1756" spans="1:5" ht="26" x14ac:dyDescent="0.3">
      <c r="A1756" s="17" t="str">
        <f>"28297"</f>
        <v>28297</v>
      </c>
      <c r="B1756" s="5" t="s">
        <v>1913</v>
      </c>
      <c r="C1756" s="17">
        <v>19900101</v>
      </c>
      <c r="D1756" s="17">
        <v>22991231</v>
      </c>
      <c r="E1756" s="25">
        <v>4679.87</v>
      </c>
    </row>
    <row r="1757" spans="1:5" ht="26" x14ac:dyDescent="0.3">
      <c r="A1757" s="17" t="str">
        <f>"28298"</f>
        <v>28298</v>
      </c>
      <c r="B1757" s="5" t="s">
        <v>1914</v>
      </c>
      <c r="C1757" s="17">
        <v>19900101</v>
      </c>
      <c r="D1757" s="17">
        <v>22991231</v>
      </c>
      <c r="E1757" s="25">
        <v>4100.1000000000004</v>
      </c>
    </row>
    <row r="1758" spans="1:5" x14ac:dyDescent="0.3">
      <c r="A1758" s="17" t="str">
        <f>"28299"</f>
        <v>28299</v>
      </c>
      <c r="B1758" s="5" t="s">
        <v>1915</v>
      </c>
      <c r="C1758" s="17">
        <v>19900101</v>
      </c>
      <c r="D1758" s="17">
        <v>22991231</v>
      </c>
      <c r="E1758" s="25">
        <v>4137.25</v>
      </c>
    </row>
    <row r="1759" spans="1:5" x14ac:dyDescent="0.3">
      <c r="A1759" s="17" t="str">
        <f>"28300"</f>
        <v>28300</v>
      </c>
      <c r="B1759" s="5" t="s">
        <v>1916</v>
      </c>
      <c r="C1759" s="17">
        <v>19900101</v>
      </c>
      <c r="D1759" s="17">
        <v>22991231</v>
      </c>
      <c r="E1759" s="25">
        <v>4264.1499999999996</v>
      </c>
    </row>
    <row r="1760" spans="1:5" x14ac:dyDescent="0.3">
      <c r="A1760" s="17" t="str">
        <f>"28302"</f>
        <v>28302</v>
      </c>
      <c r="B1760" s="5" t="s">
        <v>1917</v>
      </c>
      <c r="C1760" s="17">
        <v>19900101</v>
      </c>
      <c r="D1760" s="17">
        <v>22991231</v>
      </c>
      <c r="E1760" s="25">
        <v>4090.88</v>
      </c>
    </row>
    <row r="1761" spans="1:5" x14ac:dyDescent="0.3">
      <c r="A1761" s="17" t="str">
        <f>"28304"</f>
        <v>28304</v>
      </c>
      <c r="B1761" s="5" t="s">
        <v>1918</v>
      </c>
      <c r="C1761" s="17">
        <v>19900101</v>
      </c>
      <c r="D1761" s="17">
        <v>22991231</v>
      </c>
      <c r="E1761" s="25">
        <v>3240.75</v>
      </c>
    </row>
    <row r="1762" spans="1:5" ht="26" x14ac:dyDescent="0.3">
      <c r="A1762" s="17" t="str">
        <f>"28305"</f>
        <v>28305</v>
      </c>
      <c r="B1762" s="5" t="s">
        <v>1919</v>
      </c>
      <c r="C1762" s="17">
        <v>19900101</v>
      </c>
      <c r="D1762" s="17">
        <v>22991231</v>
      </c>
      <c r="E1762" s="25">
        <v>4459.67</v>
      </c>
    </row>
    <row r="1763" spans="1:5" ht="26" x14ac:dyDescent="0.3">
      <c r="A1763" s="17" t="str">
        <f>"28306"</f>
        <v>28306</v>
      </c>
      <c r="B1763" s="5" t="s">
        <v>1920</v>
      </c>
      <c r="C1763" s="17">
        <v>19900101</v>
      </c>
      <c r="D1763" s="17">
        <v>22991231</v>
      </c>
      <c r="E1763" s="25">
        <v>3240.75</v>
      </c>
    </row>
    <row r="1764" spans="1:5" ht="26" x14ac:dyDescent="0.3">
      <c r="A1764" s="17" t="str">
        <f>"28307"</f>
        <v>28307</v>
      </c>
      <c r="B1764" s="5" t="s">
        <v>1921</v>
      </c>
      <c r="C1764" s="17">
        <v>19900101</v>
      </c>
      <c r="D1764" s="17">
        <v>22991231</v>
      </c>
      <c r="E1764" s="25">
        <v>3240.75</v>
      </c>
    </row>
    <row r="1765" spans="1:5" ht="26" x14ac:dyDescent="0.3">
      <c r="A1765" s="17" t="str">
        <f>"28308"</f>
        <v>28308</v>
      </c>
      <c r="B1765" s="5" t="s">
        <v>1922</v>
      </c>
      <c r="C1765" s="17">
        <v>19900101</v>
      </c>
      <c r="D1765" s="17">
        <v>22991231</v>
      </c>
      <c r="E1765" s="25">
        <v>1450.8</v>
      </c>
    </row>
    <row r="1766" spans="1:5" ht="26" x14ac:dyDescent="0.3">
      <c r="A1766" s="17" t="str">
        <f>"28309"</f>
        <v>28309</v>
      </c>
      <c r="B1766" s="5" t="s">
        <v>1923</v>
      </c>
      <c r="C1766" s="17">
        <v>19900101</v>
      </c>
      <c r="D1766" s="17">
        <v>22991231</v>
      </c>
      <c r="E1766" s="25">
        <v>4148.8999999999996</v>
      </c>
    </row>
    <row r="1767" spans="1:5" ht="26" x14ac:dyDescent="0.3">
      <c r="A1767" s="17" t="str">
        <f>"28310"</f>
        <v>28310</v>
      </c>
      <c r="B1767" s="5" t="s">
        <v>1924</v>
      </c>
      <c r="C1767" s="17">
        <v>19900101</v>
      </c>
      <c r="D1767" s="17">
        <v>22991231</v>
      </c>
      <c r="E1767" s="25">
        <v>4111.49</v>
      </c>
    </row>
    <row r="1768" spans="1:5" ht="26" x14ac:dyDescent="0.3">
      <c r="A1768" s="17" t="str">
        <f>"28312"</f>
        <v>28312</v>
      </c>
      <c r="B1768" s="5" t="s">
        <v>1925</v>
      </c>
      <c r="C1768" s="17">
        <v>19900101</v>
      </c>
      <c r="D1768" s="17">
        <v>22991231</v>
      </c>
      <c r="E1768" s="25">
        <v>1450.8</v>
      </c>
    </row>
    <row r="1769" spans="1:5" ht="26" x14ac:dyDescent="0.3">
      <c r="A1769" s="17" t="str">
        <f>"28313"</f>
        <v>28313</v>
      </c>
      <c r="B1769" s="5" t="s">
        <v>1926</v>
      </c>
      <c r="C1769" s="17">
        <v>19900101</v>
      </c>
      <c r="D1769" s="17">
        <v>22991231</v>
      </c>
      <c r="E1769" s="25">
        <v>1450.8</v>
      </c>
    </row>
    <row r="1770" spans="1:5" ht="26" x14ac:dyDescent="0.3">
      <c r="A1770" s="17" t="str">
        <f>"28315"</f>
        <v>28315</v>
      </c>
      <c r="B1770" s="5" t="s">
        <v>1927</v>
      </c>
      <c r="C1770" s="17">
        <v>19900101</v>
      </c>
      <c r="D1770" s="17">
        <v>22991231</v>
      </c>
      <c r="E1770" s="25">
        <v>1450.8</v>
      </c>
    </row>
    <row r="1771" spans="1:5" x14ac:dyDescent="0.3">
      <c r="A1771" s="17" t="str">
        <f>"28320"</f>
        <v>28320</v>
      </c>
      <c r="B1771" s="5" t="s">
        <v>1928</v>
      </c>
      <c r="C1771" s="17">
        <v>19900101</v>
      </c>
      <c r="D1771" s="17">
        <v>22991231</v>
      </c>
      <c r="E1771" s="25">
        <v>7781.53</v>
      </c>
    </row>
    <row r="1772" spans="1:5" x14ac:dyDescent="0.3">
      <c r="A1772" s="17" t="str">
        <f>"28322"</f>
        <v>28322</v>
      </c>
      <c r="B1772" s="5" t="s">
        <v>1929</v>
      </c>
      <c r="C1772" s="17">
        <v>19900101</v>
      </c>
      <c r="D1772" s="17">
        <v>22991231</v>
      </c>
      <c r="E1772" s="25">
        <v>4343.6099999999997</v>
      </c>
    </row>
    <row r="1773" spans="1:5" x14ac:dyDescent="0.3">
      <c r="A1773" s="17" t="str">
        <f>"28340"</f>
        <v>28340</v>
      </c>
      <c r="B1773" s="5" t="s">
        <v>1930</v>
      </c>
      <c r="C1773" s="17">
        <v>19900101</v>
      </c>
      <c r="D1773" s="17">
        <v>22991231</v>
      </c>
      <c r="E1773" s="25">
        <v>1450.8</v>
      </c>
    </row>
    <row r="1774" spans="1:5" ht="26" x14ac:dyDescent="0.3">
      <c r="A1774" s="17" t="str">
        <f>"28341"</f>
        <v>28341</v>
      </c>
      <c r="B1774" s="5" t="s">
        <v>1931</v>
      </c>
      <c r="C1774" s="17">
        <v>19900101</v>
      </c>
      <c r="D1774" s="17">
        <v>22991231</v>
      </c>
      <c r="E1774" s="25">
        <v>1450.8</v>
      </c>
    </row>
    <row r="1775" spans="1:5" x14ac:dyDescent="0.3">
      <c r="A1775" s="17" t="str">
        <f>"28344"</f>
        <v>28344</v>
      </c>
      <c r="B1775" s="5" t="s">
        <v>1932</v>
      </c>
      <c r="C1775" s="17">
        <v>19900101</v>
      </c>
      <c r="D1775" s="17">
        <v>22991231</v>
      </c>
      <c r="E1775" s="25">
        <v>1450.8</v>
      </c>
    </row>
    <row r="1776" spans="1:5" ht="26" x14ac:dyDescent="0.3">
      <c r="A1776" s="17" t="str">
        <f>"28345"</f>
        <v>28345</v>
      </c>
      <c r="B1776" s="5" t="s">
        <v>1933</v>
      </c>
      <c r="C1776" s="17">
        <v>19900101</v>
      </c>
      <c r="D1776" s="17">
        <v>22991231</v>
      </c>
      <c r="E1776" s="25">
        <v>782.3</v>
      </c>
    </row>
    <row r="1777" spans="1:5" x14ac:dyDescent="0.3">
      <c r="A1777" s="17" t="str">
        <f>"28360"</f>
        <v>28360</v>
      </c>
      <c r="B1777" s="5" t="s">
        <v>1934</v>
      </c>
      <c r="C1777" s="17">
        <v>19900101</v>
      </c>
      <c r="D1777" s="17">
        <v>22991231</v>
      </c>
      <c r="E1777" s="24" t="s">
        <v>7128</v>
      </c>
    </row>
    <row r="1778" spans="1:5" x14ac:dyDescent="0.3">
      <c r="A1778" s="17" t="str">
        <f>"28400"</f>
        <v>28400</v>
      </c>
      <c r="B1778" s="5" t="s">
        <v>1935</v>
      </c>
      <c r="C1778" s="17">
        <v>19900101</v>
      </c>
      <c r="D1778" s="17">
        <v>22991231</v>
      </c>
      <c r="E1778" s="25">
        <v>116.84</v>
      </c>
    </row>
    <row r="1779" spans="1:5" ht="26" x14ac:dyDescent="0.3">
      <c r="A1779" s="17" t="str">
        <f>"28405"</f>
        <v>28405</v>
      </c>
      <c r="B1779" s="5" t="s">
        <v>1936</v>
      </c>
      <c r="C1779" s="17">
        <v>19900101</v>
      </c>
      <c r="D1779" s="17">
        <v>22991231</v>
      </c>
      <c r="E1779" s="25">
        <v>116.84</v>
      </c>
    </row>
    <row r="1780" spans="1:5" ht="26" x14ac:dyDescent="0.3">
      <c r="A1780" s="17" t="str">
        <f>"28406"</f>
        <v>28406</v>
      </c>
      <c r="B1780" s="5" t="s">
        <v>1937</v>
      </c>
      <c r="C1780" s="17">
        <v>19900101</v>
      </c>
      <c r="D1780" s="17">
        <v>22991231</v>
      </c>
      <c r="E1780" s="25">
        <v>3240.75</v>
      </c>
    </row>
    <row r="1781" spans="1:5" x14ac:dyDescent="0.3">
      <c r="A1781" s="17" t="str">
        <f>"28415"</f>
        <v>28415</v>
      </c>
      <c r="B1781" s="5" t="s">
        <v>1938</v>
      </c>
      <c r="C1781" s="17">
        <v>19900101</v>
      </c>
      <c r="D1781" s="17">
        <v>22991231</v>
      </c>
      <c r="E1781" s="25">
        <v>4276.3599999999997</v>
      </c>
    </row>
    <row r="1782" spans="1:5" x14ac:dyDescent="0.3">
      <c r="A1782" s="17" t="str">
        <f>"28420"</f>
        <v>28420</v>
      </c>
      <c r="B1782" s="5" t="s">
        <v>1939</v>
      </c>
      <c r="C1782" s="17">
        <v>19900101</v>
      </c>
      <c r="D1782" s="17">
        <v>22991231</v>
      </c>
      <c r="E1782" s="25">
        <v>8275.09</v>
      </c>
    </row>
    <row r="1783" spans="1:5" x14ac:dyDescent="0.3">
      <c r="A1783" s="17" t="str">
        <f>"28430"</f>
        <v>28430</v>
      </c>
      <c r="B1783" s="5" t="s">
        <v>1940</v>
      </c>
      <c r="C1783" s="17">
        <v>19900101</v>
      </c>
      <c r="D1783" s="17">
        <v>22991231</v>
      </c>
      <c r="E1783" s="25">
        <v>116.84</v>
      </c>
    </row>
    <row r="1784" spans="1:5" ht="26" x14ac:dyDescent="0.3">
      <c r="A1784" s="17" t="str">
        <f>"28435"</f>
        <v>28435</v>
      </c>
      <c r="B1784" s="5" t="s">
        <v>1941</v>
      </c>
      <c r="C1784" s="17">
        <v>19900101</v>
      </c>
      <c r="D1784" s="17">
        <v>22991231</v>
      </c>
      <c r="E1784" s="25">
        <v>782.3</v>
      </c>
    </row>
    <row r="1785" spans="1:5" ht="26" x14ac:dyDescent="0.3">
      <c r="A1785" s="17" t="str">
        <f>"28436"</f>
        <v>28436</v>
      </c>
      <c r="B1785" s="5" t="s">
        <v>1942</v>
      </c>
      <c r="C1785" s="17">
        <v>19900101</v>
      </c>
      <c r="D1785" s="17">
        <v>22991231</v>
      </c>
      <c r="E1785" s="25">
        <v>3240.75</v>
      </c>
    </row>
    <row r="1786" spans="1:5" ht="26" x14ac:dyDescent="0.3">
      <c r="A1786" s="17" t="str">
        <f>"28445"</f>
        <v>28445</v>
      </c>
      <c r="B1786" s="5" t="s">
        <v>1943</v>
      </c>
      <c r="C1786" s="17">
        <v>19900101</v>
      </c>
      <c r="D1786" s="17">
        <v>22991231</v>
      </c>
      <c r="E1786" s="25">
        <v>4240.84</v>
      </c>
    </row>
    <row r="1787" spans="1:5" ht="26" x14ac:dyDescent="0.3">
      <c r="A1787" s="17" t="str">
        <f>"28446"</f>
        <v>28446</v>
      </c>
      <c r="B1787" s="5" t="s">
        <v>1944</v>
      </c>
      <c r="C1787" s="17">
        <v>20080101</v>
      </c>
      <c r="D1787" s="17">
        <v>22991231</v>
      </c>
      <c r="E1787" s="25">
        <v>4883.79</v>
      </c>
    </row>
    <row r="1788" spans="1:5" x14ac:dyDescent="0.3">
      <c r="A1788" s="17" t="str">
        <f>"28450"</f>
        <v>28450</v>
      </c>
      <c r="B1788" s="5" t="s">
        <v>1945</v>
      </c>
      <c r="C1788" s="17">
        <v>19900101</v>
      </c>
      <c r="D1788" s="17">
        <v>22991231</v>
      </c>
      <c r="E1788" s="25">
        <v>116.84</v>
      </c>
    </row>
    <row r="1789" spans="1:5" ht="26" x14ac:dyDescent="0.3">
      <c r="A1789" s="17" t="str">
        <f>"28455"</f>
        <v>28455</v>
      </c>
      <c r="B1789" s="5" t="s">
        <v>1946</v>
      </c>
      <c r="C1789" s="17">
        <v>19900101</v>
      </c>
      <c r="D1789" s="17">
        <v>22991231</v>
      </c>
      <c r="E1789" s="25">
        <v>136.05000000000001</v>
      </c>
    </row>
    <row r="1790" spans="1:5" ht="26" x14ac:dyDescent="0.3">
      <c r="A1790" s="17" t="str">
        <f>"28456"</f>
        <v>28456</v>
      </c>
      <c r="B1790" s="5" t="s">
        <v>1947</v>
      </c>
      <c r="C1790" s="17">
        <v>19900101</v>
      </c>
      <c r="D1790" s="17">
        <v>22991231</v>
      </c>
      <c r="E1790" s="25">
        <v>3240.75</v>
      </c>
    </row>
    <row r="1791" spans="1:5" x14ac:dyDescent="0.3">
      <c r="A1791" s="17" t="str">
        <f>"28465"</f>
        <v>28465</v>
      </c>
      <c r="B1791" s="5" t="s">
        <v>1948</v>
      </c>
      <c r="C1791" s="17">
        <v>19900101</v>
      </c>
      <c r="D1791" s="17">
        <v>22991231</v>
      </c>
      <c r="E1791" s="25">
        <v>4063.49</v>
      </c>
    </row>
    <row r="1792" spans="1:5" ht="26" x14ac:dyDescent="0.3">
      <c r="A1792" s="17" t="str">
        <f>"28470"</f>
        <v>28470</v>
      </c>
      <c r="B1792" s="5" t="s">
        <v>1949</v>
      </c>
      <c r="C1792" s="17">
        <v>19900101</v>
      </c>
      <c r="D1792" s="17">
        <v>22991231</v>
      </c>
      <c r="E1792" s="25">
        <v>116.84</v>
      </c>
    </row>
    <row r="1793" spans="1:5" ht="26" x14ac:dyDescent="0.3">
      <c r="A1793" s="17" t="str">
        <f>"28475"</f>
        <v>28475</v>
      </c>
      <c r="B1793" s="5" t="s">
        <v>1950</v>
      </c>
      <c r="C1793" s="17">
        <v>19900101</v>
      </c>
      <c r="D1793" s="17">
        <v>22991231</v>
      </c>
      <c r="E1793" s="25">
        <v>116.84</v>
      </c>
    </row>
    <row r="1794" spans="1:5" ht="26" x14ac:dyDescent="0.3">
      <c r="A1794" s="17" t="str">
        <f>"28476"</f>
        <v>28476</v>
      </c>
      <c r="B1794" s="5" t="s">
        <v>1951</v>
      </c>
      <c r="C1794" s="17">
        <v>19900101</v>
      </c>
      <c r="D1794" s="17">
        <v>22991231</v>
      </c>
      <c r="E1794" s="25">
        <v>1450.8</v>
      </c>
    </row>
    <row r="1795" spans="1:5" x14ac:dyDescent="0.3">
      <c r="A1795" s="17" t="str">
        <f>"28485"</f>
        <v>28485</v>
      </c>
      <c r="B1795" s="5" t="s">
        <v>1952</v>
      </c>
      <c r="C1795" s="17">
        <v>19900101</v>
      </c>
      <c r="D1795" s="17">
        <v>22991231</v>
      </c>
      <c r="E1795" s="25">
        <v>4187.42</v>
      </c>
    </row>
    <row r="1796" spans="1:5" x14ac:dyDescent="0.3">
      <c r="A1796" s="17" t="str">
        <f>"28490"</f>
        <v>28490</v>
      </c>
      <c r="B1796" s="5" t="s">
        <v>1953</v>
      </c>
      <c r="C1796" s="17">
        <v>19900101</v>
      </c>
      <c r="D1796" s="17">
        <v>22991231</v>
      </c>
      <c r="E1796" s="25">
        <v>96.01</v>
      </c>
    </row>
    <row r="1797" spans="1:5" ht="26" x14ac:dyDescent="0.3">
      <c r="A1797" s="17" t="str">
        <f>"28495"</f>
        <v>28495</v>
      </c>
      <c r="B1797" s="5" t="s">
        <v>1954</v>
      </c>
      <c r="C1797" s="17">
        <v>19900101</v>
      </c>
      <c r="D1797" s="17">
        <v>22991231</v>
      </c>
      <c r="E1797" s="25">
        <v>115.41</v>
      </c>
    </row>
    <row r="1798" spans="1:5" ht="26" x14ac:dyDescent="0.3">
      <c r="A1798" s="17" t="str">
        <f>"28496"</f>
        <v>28496</v>
      </c>
      <c r="B1798" s="5" t="s">
        <v>1955</v>
      </c>
      <c r="C1798" s="17">
        <v>19900101</v>
      </c>
      <c r="D1798" s="17">
        <v>22991231</v>
      </c>
      <c r="E1798" s="25">
        <v>1450.8</v>
      </c>
    </row>
    <row r="1799" spans="1:5" x14ac:dyDescent="0.3">
      <c r="A1799" s="17" t="str">
        <f>"28505"</f>
        <v>28505</v>
      </c>
      <c r="B1799" s="5" t="s">
        <v>1956</v>
      </c>
      <c r="C1799" s="17">
        <v>19900101</v>
      </c>
      <c r="D1799" s="17">
        <v>22991231</v>
      </c>
      <c r="E1799" s="25">
        <v>1450.8</v>
      </c>
    </row>
    <row r="1800" spans="1:5" x14ac:dyDescent="0.3">
      <c r="A1800" s="17" t="str">
        <f>"28510"</f>
        <v>28510</v>
      </c>
      <c r="B1800" s="5" t="s">
        <v>1957</v>
      </c>
      <c r="C1800" s="17">
        <v>19900101</v>
      </c>
      <c r="D1800" s="17">
        <v>22991231</v>
      </c>
      <c r="E1800" s="25">
        <v>76.62</v>
      </c>
    </row>
    <row r="1801" spans="1:5" ht="26" x14ac:dyDescent="0.3">
      <c r="A1801" s="17" t="str">
        <f>"28515"</f>
        <v>28515</v>
      </c>
      <c r="B1801" s="5" t="s">
        <v>1958</v>
      </c>
      <c r="C1801" s="17">
        <v>19900101</v>
      </c>
      <c r="D1801" s="17">
        <v>22991231</v>
      </c>
      <c r="E1801" s="25">
        <v>105.4</v>
      </c>
    </row>
    <row r="1802" spans="1:5" x14ac:dyDescent="0.3">
      <c r="A1802" s="17" t="str">
        <f>"28525"</f>
        <v>28525</v>
      </c>
      <c r="B1802" s="5" t="s">
        <v>1959</v>
      </c>
      <c r="C1802" s="17">
        <v>19900101</v>
      </c>
      <c r="D1802" s="17">
        <v>22991231</v>
      </c>
      <c r="E1802" s="25">
        <v>1450.8</v>
      </c>
    </row>
    <row r="1803" spans="1:5" ht="26" x14ac:dyDescent="0.3">
      <c r="A1803" s="17" t="str">
        <f>"28530"</f>
        <v>28530</v>
      </c>
      <c r="B1803" s="5" t="s">
        <v>1960</v>
      </c>
      <c r="C1803" s="17">
        <v>19900101</v>
      </c>
      <c r="D1803" s="17">
        <v>22991231</v>
      </c>
      <c r="E1803" s="25">
        <v>74.75</v>
      </c>
    </row>
    <row r="1804" spans="1:5" ht="26" x14ac:dyDescent="0.3">
      <c r="A1804" s="17" t="str">
        <f>"28531"</f>
        <v>28531</v>
      </c>
      <c r="B1804" s="5" t="s">
        <v>1961</v>
      </c>
      <c r="C1804" s="17">
        <v>19930101</v>
      </c>
      <c r="D1804" s="17">
        <v>22991231</v>
      </c>
      <c r="E1804" s="25">
        <v>3240.75</v>
      </c>
    </row>
    <row r="1805" spans="1:5" x14ac:dyDescent="0.3">
      <c r="A1805" s="17" t="str">
        <f>"28540"</f>
        <v>28540</v>
      </c>
      <c r="B1805" s="5" t="s">
        <v>1962</v>
      </c>
      <c r="C1805" s="17">
        <v>19900101</v>
      </c>
      <c r="D1805" s="17">
        <v>22991231</v>
      </c>
      <c r="E1805" s="25">
        <v>115.41</v>
      </c>
    </row>
    <row r="1806" spans="1:5" ht="26" x14ac:dyDescent="0.3">
      <c r="A1806" s="17" t="str">
        <f>"28545"</f>
        <v>28545</v>
      </c>
      <c r="B1806" s="5" t="s">
        <v>1963</v>
      </c>
      <c r="C1806" s="17">
        <v>19900101</v>
      </c>
      <c r="D1806" s="17">
        <v>22991231</v>
      </c>
      <c r="E1806" s="25">
        <v>1450.8</v>
      </c>
    </row>
    <row r="1807" spans="1:5" ht="26" x14ac:dyDescent="0.3">
      <c r="A1807" s="17" t="str">
        <f>"28546"</f>
        <v>28546</v>
      </c>
      <c r="B1807" s="5" t="s">
        <v>1964</v>
      </c>
      <c r="C1807" s="17">
        <v>19900101</v>
      </c>
      <c r="D1807" s="17">
        <v>22991231</v>
      </c>
      <c r="E1807" s="25">
        <v>782.3</v>
      </c>
    </row>
    <row r="1808" spans="1:5" ht="26" x14ac:dyDescent="0.3">
      <c r="A1808" s="17" t="str">
        <f>"28555"</f>
        <v>28555</v>
      </c>
      <c r="B1808" s="5" t="s">
        <v>1965</v>
      </c>
      <c r="C1808" s="17">
        <v>19900101</v>
      </c>
      <c r="D1808" s="17">
        <v>22991231</v>
      </c>
      <c r="E1808" s="25">
        <v>4204.5</v>
      </c>
    </row>
    <row r="1809" spans="1:5" x14ac:dyDescent="0.3">
      <c r="A1809" s="17" t="str">
        <f>"28570"</f>
        <v>28570</v>
      </c>
      <c r="B1809" s="5" t="s">
        <v>1966</v>
      </c>
      <c r="C1809" s="17">
        <v>19900101</v>
      </c>
      <c r="D1809" s="17">
        <v>22991231</v>
      </c>
      <c r="E1809" s="25">
        <v>116.84</v>
      </c>
    </row>
    <row r="1810" spans="1:5" ht="26" x14ac:dyDescent="0.3">
      <c r="A1810" s="17" t="str">
        <f>"28575"</f>
        <v>28575</v>
      </c>
      <c r="B1810" s="5" t="s">
        <v>1967</v>
      </c>
      <c r="C1810" s="17">
        <v>19900101</v>
      </c>
      <c r="D1810" s="17">
        <v>22991231</v>
      </c>
      <c r="E1810" s="25">
        <v>1450.8</v>
      </c>
    </row>
    <row r="1811" spans="1:5" ht="26" x14ac:dyDescent="0.3">
      <c r="A1811" s="17" t="str">
        <f>"28576"</f>
        <v>28576</v>
      </c>
      <c r="B1811" s="5" t="s">
        <v>1968</v>
      </c>
      <c r="C1811" s="17">
        <v>19970801</v>
      </c>
      <c r="D1811" s="17">
        <v>22991231</v>
      </c>
      <c r="E1811" s="25">
        <v>3240.75</v>
      </c>
    </row>
    <row r="1812" spans="1:5" x14ac:dyDescent="0.3">
      <c r="A1812" s="17" t="str">
        <f>"28585"</f>
        <v>28585</v>
      </c>
      <c r="B1812" s="5" t="s">
        <v>1969</v>
      </c>
      <c r="C1812" s="17">
        <v>19900101</v>
      </c>
      <c r="D1812" s="17">
        <v>22991231</v>
      </c>
      <c r="E1812" s="25">
        <v>4564.8900000000003</v>
      </c>
    </row>
    <row r="1813" spans="1:5" x14ac:dyDescent="0.3">
      <c r="A1813" s="17" t="str">
        <f>"28600"</f>
        <v>28600</v>
      </c>
      <c r="B1813" s="5" t="s">
        <v>1970</v>
      </c>
      <c r="C1813" s="17">
        <v>19900101</v>
      </c>
      <c r="D1813" s="17">
        <v>22991231</v>
      </c>
      <c r="E1813" s="25">
        <v>112.28</v>
      </c>
    </row>
    <row r="1814" spans="1:5" ht="26" x14ac:dyDescent="0.3">
      <c r="A1814" s="17" t="str">
        <f>"28605"</f>
        <v>28605</v>
      </c>
      <c r="B1814" s="5" t="s">
        <v>1971</v>
      </c>
      <c r="C1814" s="17">
        <v>19900101</v>
      </c>
      <c r="D1814" s="17">
        <v>22991231</v>
      </c>
      <c r="E1814" s="25">
        <v>116.84</v>
      </c>
    </row>
    <row r="1815" spans="1:5" ht="26" x14ac:dyDescent="0.3">
      <c r="A1815" s="17" t="str">
        <f>"28606"</f>
        <v>28606</v>
      </c>
      <c r="B1815" s="5" t="s">
        <v>1972</v>
      </c>
      <c r="C1815" s="17">
        <v>19900101</v>
      </c>
      <c r="D1815" s="17">
        <v>22991231</v>
      </c>
      <c r="E1815" s="25">
        <v>1450.8</v>
      </c>
    </row>
    <row r="1816" spans="1:5" x14ac:dyDescent="0.3">
      <c r="A1816" s="17" t="str">
        <f>"28615"</f>
        <v>28615</v>
      </c>
      <c r="B1816" s="5" t="s">
        <v>1973</v>
      </c>
      <c r="C1816" s="17">
        <v>19900101</v>
      </c>
      <c r="D1816" s="17">
        <v>22991231</v>
      </c>
      <c r="E1816" s="25">
        <v>4145.66</v>
      </c>
    </row>
    <row r="1817" spans="1:5" ht="26" x14ac:dyDescent="0.3">
      <c r="A1817" s="17" t="str">
        <f>"28630"</f>
        <v>28630</v>
      </c>
      <c r="B1817" s="5" t="s">
        <v>1974</v>
      </c>
      <c r="C1817" s="17">
        <v>19900101</v>
      </c>
      <c r="D1817" s="17">
        <v>22991231</v>
      </c>
      <c r="E1817" s="25">
        <v>84.76</v>
      </c>
    </row>
    <row r="1818" spans="1:5" ht="26" x14ac:dyDescent="0.3">
      <c r="A1818" s="17" t="str">
        <f>"28635"</f>
        <v>28635</v>
      </c>
      <c r="B1818" s="5" t="s">
        <v>1975</v>
      </c>
      <c r="C1818" s="17">
        <v>19900101</v>
      </c>
      <c r="D1818" s="17">
        <v>22991231</v>
      </c>
      <c r="E1818" s="25">
        <v>782.3</v>
      </c>
    </row>
    <row r="1819" spans="1:5" ht="26" x14ac:dyDescent="0.3">
      <c r="A1819" s="17" t="str">
        <f>"28636"</f>
        <v>28636</v>
      </c>
      <c r="B1819" s="5" t="s">
        <v>1976</v>
      </c>
      <c r="C1819" s="17">
        <v>19970801</v>
      </c>
      <c r="D1819" s="17">
        <v>22991231</v>
      </c>
      <c r="E1819" s="25">
        <v>1450.8</v>
      </c>
    </row>
    <row r="1820" spans="1:5" ht="26" x14ac:dyDescent="0.3">
      <c r="A1820" s="17" t="str">
        <f>"28645"</f>
        <v>28645</v>
      </c>
      <c r="B1820" s="5" t="s">
        <v>1977</v>
      </c>
      <c r="C1820" s="17">
        <v>19900101</v>
      </c>
      <c r="D1820" s="17">
        <v>22991231</v>
      </c>
      <c r="E1820" s="25">
        <v>1450.8</v>
      </c>
    </row>
    <row r="1821" spans="1:5" x14ac:dyDescent="0.3">
      <c r="A1821" s="17" t="str">
        <f>"28660"</f>
        <v>28660</v>
      </c>
      <c r="B1821" s="5" t="s">
        <v>1978</v>
      </c>
      <c r="C1821" s="17">
        <v>19900101</v>
      </c>
      <c r="D1821" s="17">
        <v>22991231</v>
      </c>
      <c r="E1821" s="25">
        <v>73.180000000000007</v>
      </c>
    </row>
    <row r="1822" spans="1:5" ht="26" x14ac:dyDescent="0.3">
      <c r="A1822" s="17" t="str">
        <f>"28665"</f>
        <v>28665</v>
      </c>
      <c r="B1822" s="5" t="s">
        <v>1979</v>
      </c>
      <c r="C1822" s="17">
        <v>19900101</v>
      </c>
      <c r="D1822" s="17">
        <v>22991231</v>
      </c>
      <c r="E1822" s="25">
        <v>133.06</v>
      </c>
    </row>
    <row r="1823" spans="1:5" ht="26" x14ac:dyDescent="0.3">
      <c r="A1823" s="17" t="str">
        <f>"28666"</f>
        <v>28666</v>
      </c>
      <c r="B1823" s="5" t="s">
        <v>1980</v>
      </c>
      <c r="C1823" s="17">
        <v>19970801</v>
      </c>
      <c r="D1823" s="17">
        <v>22991231</v>
      </c>
      <c r="E1823" s="25">
        <v>1450.8</v>
      </c>
    </row>
    <row r="1824" spans="1:5" x14ac:dyDescent="0.3">
      <c r="A1824" s="17" t="str">
        <f>"28675"</f>
        <v>28675</v>
      </c>
      <c r="B1824" s="5" t="s">
        <v>1981</v>
      </c>
      <c r="C1824" s="17">
        <v>19900101</v>
      </c>
      <c r="D1824" s="17">
        <v>22991231</v>
      </c>
      <c r="E1824" s="25">
        <v>1450.8</v>
      </c>
    </row>
    <row r="1825" spans="1:5" x14ac:dyDescent="0.3">
      <c r="A1825" s="17" t="str">
        <f>"28705"</f>
        <v>28705</v>
      </c>
      <c r="B1825" s="5" t="s">
        <v>1982</v>
      </c>
      <c r="C1825" s="17">
        <v>19900101</v>
      </c>
      <c r="D1825" s="17">
        <v>22991231</v>
      </c>
      <c r="E1825" s="25">
        <v>12121.93</v>
      </c>
    </row>
    <row r="1826" spans="1:5" x14ac:dyDescent="0.3">
      <c r="A1826" s="17" t="str">
        <f>"28715"</f>
        <v>28715</v>
      </c>
      <c r="B1826" s="5" t="s">
        <v>1983</v>
      </c>
      <c r="C1826" s="17">
        <v>19900101</v>
      </c>
      <c r="D1826" s="17">
        <v>22991231</v>
      </c>
      <c r="E1826" s="25">
        <v>9373.91</v>
      </c>
    </row>
    <row r="1827" spans="1:5" x14ac:dyDescent="0.3">
      <c r="A1827" s="17" t="str">
        <f>"28725"</f>
        <v>28725</v>
      </c>
      <c r="B1827" s="5" t="s">
        <v>1984</v>
      </c>
      <c r="C1827" s="17">
        <v>19900101</v>
      </c>
      <c r="D1827" s="17">
        <v>22991231</v>
      </c>
      <c r="E1827" s="25">
        <v>8595.65</v>
      </c>
    </row>
    <row r="1828" spans="1:5" x14ac:dyDescent="0.3">
      <c r="A1828" s="17" t="str">
        <f>"28730"</f>
        <v>28730</v>
      </c>
      <c r="B1828" s="5" t="s">
        <v>1985</v>
      </c>
      <c r="C1828" s="17">
        <v>19900101</v>
      </c>
      <c r="D1828" s="17">
        <v>22991231</v>
      </c>
      <c r="E1828" s="25">
        <v>9157.7900000000009</v>
      </c>
    </row>
    <row r="1829" spans="1:5" ht="26" x14ac:dyDescent="0.3">
      <c r="A1829" s="17" t="str">
        <f>"28735"</f>
        <v>28735</v>
      </c>
      <c r="B1829" s="5" t="s">
        <v>1986</v>
      </c>
      <c r="C1829" s="17">
        <v>19900101</v>
      </c>
      <c r="D1829" s="17">
        <v>22991231</v>
      </c>
      <c r="E1829" s="25">
        <v>9063.23</v>
      </c>
    </row>
    <row r="1830" spans="1:5" ht="26" x14ac:dyDescent="0.3">
      <c r="A1830" s="17" t="str">
        <f>"28737"</f>
        <v>28737</v>
      </c>
      <c r="B1830" s="5" t="s">
        <v>1987</v>
      </c>
      <c r="C1830" s="17">
        <v>19900101</v>
      </c>
      <c r="D1830" s="17">
        <v>22991231</v>
      </c>
      <c r="E1830" s="25">
        <v>9301.18</v>
      </c>
    </row>
    <row r="1831" spans="1:5" x14ac:dyDescent="0.3">
      <c r="A1831" s="17" t="str">
        <f>"28740"</f>
        <v>28740</v>
      </c>
      <c r="B1831" s="5" t="s">
        <v>1988</v>
      </c>
      <c r="C1831" s="17">
        <v>19900101</v>
      </c>
      <c r="D1831" s="17">
        <v>22991231</v>
      </c>
      <c r="E1831" s="25">
        <v>4668.4799999999996</v>
      </c>
    </row>
    <row r="1832" spans="1:5" x14ac:dyDescent="0.3">
      <c r="A1832" s="17" t="str">
        <f>"28750"</f>
        <v>28750</v>
      </c>
      <c r="B1832" s="5" t="s">
        <v>1989</v>
      </c>
      <c r="C1832" s="17">
        <v>19900101</v>
      </c>
      <c r="D1832" s="17">
        <v>22991231</v>
      </c>
      <c r="E1832" s="25">
        <v>4529.91</v>
      </c>
    </row>
    <row r="1833" spans="1:5" x14ac:dyDescent="0.3">
      <c r="A1833" s="17" t="str">
        <f>"28755"</f>
        <v>28755</v>
      </c>
      <c r="B1833" s="5" t="s">
        <v>1990</v>
      </c>
      <c r="C1833" s="17">
        <v>19900101</v>
      </c>
      <c r="D1833" s="17">
        <v>22991231</v>
      </c>
      <c r="E1833" s="25">
        <v>3240.75</v>
      </c>
    </row>
    <row r="1834" spans="1:5" ht="26" x14ac:dyDescent="0.3">
      <c r="A1834" s="17" t="str">
        <f>"28760"</f>
        <v>28760</v>
      </c>
      <c r="B1834" s="5" t="s">
        <v>1991</v>
      </c>
      <c r="C1834" s="17">
        <v>19900101</v>
      </c>
      <c r="D1834" s="17">
        <v>22991231</v>
      </c>
      <c r="E1834" s="25">
        <v>4081.38</v>
      </c>
    </row>
    <row r="1835" spans="1:5" x14ac:dyDescent="0.3">
      <c r="A1835" s="17" t="str">
        <f>"28805"</f>
        <v>28805</v>
      </c>
      <c r="B1835" s="5" t="s">
        <v>1992</v>
      </c>
      <c r="C1835" s="17">
        <v>19900101</v>
      </c>
      <c r="D1835" s="17">
        <v>22991231</v>
      </c>
      <c r="E1835" s="24" t="s">
        <v>7128</v>
      </c>
    </row>
    <row r="1836" spans="1:5" x14ac:dyDescent="0.3">
      <c r="A1836" s="17" t="str">
        <f>"28810"</f>
        <v>28810</v>
      </c>
      <c r="B1836" s="5" t="s">
        <v>1993</v>
      </c>
      <c r="C1836" s="17">
        <v>19900101</v>
      </c>
      <c r="D1836" s="17">
        <v>22991231</v>
      </c>
      <c r="E1836" s="25">
        <v>1450.8</v>
      </c>
    </row>
    <row r="1837" spans="1:5" ht="26" x14ac:dyDescent="0.3">
      <c r="A1837" s="17" t="str">
        <f>"28820"</f>
        <v>28820</v>
      </c>
      <c r="B1837" s="5" t="s">
        <v>1994</v>
      </c>
      <c r="C1837" s="17">
        <v>19900101</v>
      </c>
      <c r="D1837" s="17">
        <v>22991231</v>
      </c>
      <c r="E1837" s="25">
        <v>1450.8</v>
      </c>
    </row>
    <row r="1838" spans="1:5" x14ac:dyDescent="0.3">
      <c r="A1838" s="17" t="str">
        <f>"28825"</f>
        <v>28825</v>
      </c>
      <c r="B1838" s="5" t="s">
        <v>1995</v>
      </c>
      <c r="C1838" s="17">
        <v>19900101</v>
      </c>
      <c r="D1838" s="17">
        <v>22991231</v>
      </c>
      <c r="E1838" s="25">
        <v>1450.8</v>
      </c>
    </row>
    <row r="1839" spans="1:5" ht="26" x14ac:dyDescent="0.3">
      <c r="A1839" s="17" t="str">
        <f>"28890"</f>
        <v>28890</v>
      </c>
      <c r="B1839" s="5" t="s">
        <v>1996</v>
      </c>
      <c r="C1839" s="17">
        <v>20060101</v>
      </c>
      <c r="D1839" s="17">
        <v>22991231</v>
      </c>
      <c r="E1839" s="25">
        <v>177.02</v>
      </c>
    </row>
    <row r="1840" spans="1:5" x14ac:dyDescent="0.3">
      <c r="A1840" s="17" t="str">
        <f>"29000"</f>
        <v>29000</v>
      </c>
      <c r="B1840" s="5" t="s">
        <v>1997</v>
      </c>
      <c r="C1840" s="17">
        <v>19900101</v>
      </c>
      <c r="D1840" s="17">
        <v>22991231</v>
      </c>
      <c r="E1840" s="25">
        <v>133.06</v>
      </c>
    </row>
    <row r="1841" spans="1:5" x14ac:dyDescent="0.3">
      <c r="A1841" s="17" t="str">
        <f>"29010"</f>
        <v>29010</v>
      </c>
      <c r="B1841" s="5" t="s">
        <v>1998</v>
      </c>
      <c r="C1841" s="17">
        <v>19900101</v>
      </c>
      <c r="D1841" s="17">
        <v>22991231</v>
      </c>
      <c r="E1841" s="25">
        <v>133.06</v>
      </c>
    </row>
    <row r="1842" spans="1:5" ht="26" x14ac:dyDescent="0.3">
      <c r="A1842" s="17" t="str">
        <f>"29015"</f>
        <v>29015</v>
      </c>
      <c r="B1842" s="5" t="s">
        <v>1999</v>
      </c>
      <c r="C1842" s="17">
        <v>19900101</v>
      </c>
      <c r="D1842" s="17">
        <v>22991231</v>
      </c>
      <c r="E1842" s="25">
        <v>133.06</v>
      </c>
    </row>
    <row r="1843" spans="1:5" x14ac:dyDescent="0.3">
      <c r="A1843" s="17" t="str">
        <f>"29035"</f>
        <v>29035</v>
      </c>
      <c r="B1843" s="5" t="s">
        <v>2000</v>
      </c>
      <c r="C1843" s="17">
        <v>19900101</v>
      </c>
      <c r="D1843" s="17">
        <v>22991231</v>
      </c>
      <c r="E1843" s="25">
        <v>133.06</v>
      </c>
    </row>
    <row r="1844" spans="1:5" ht="26" x14ac:dyDescent="0.3">
      <c r="A1844" s="17" t="str">
        <f>"29040"</f>
        <v>29040</v>
      </c>
      <c r="B1844" s="5" t="s">
        <v>2001</v>
      </c>
      <c r="C1844" s="17">
        <v>19900101</v>
      </c>
      <c r="D1844" s="17">
        <v>22991231</v>
      </c>
      <c r="E1844" s="25">
        <v>133.06</v>
      </c>
    </row>
    <row r="1845" spans="1:5" ht="26" x14ac:dyDescent="0.3">
      <c r="A1845" s="17" t="str">
        <f>"29044"</f>
        <v>29044</v>
      </c>
      <c r="B1845" s="5" t="s">
        <v>2002</v>
      </c>
      <c r="C1845" s="17">
        <v>19900101</v>
      </c>
      <c r="D1845" s="17">
        <v>22991231</v>
      </c>
      <c r="E1845" s="25">
        <v>78.069999999999993</v>
      </c>
    </row>
    <row r="1846" spans="1:5" ht="26" x14ac:dyDescent="0.3">
      <c r="A1846" s="17" t="str">
        <f>"29046"</f>
        <v>29046</v>
      </c>
      <c r="B1846" s="5" t="s">
        <v>2003</v>
      </c>
      <c r="C1846" s="17">
        <v>19900101</v>
      </c>
      <c r="D1846" s="17">
        <v>22991231</v>
      </c>
      <c r="E1846" s="25">
        <v>133.06</v>
      </c>
    </row>
    <row r="1847" spans="1:5" x14ac:dyDescent="0.3">
      <c r="A1847" s="17" t="str">
        <f>"29049"</f>
        <v>29049</v>
      </c>
      <c r="B1847" s="5" t="s">
        <v>2004</v>
      </c>
      <c r="C1847" s="17">
        <v>19900101</v>
      </c>
      <c r="D1847" s="17">
        <v>22991231</v>
      </c>
      <c r="E1847" s="25">
        <v>62.55</v>
      </c>
    </row>
    <row r="1848" spans="1:5" x14ac:dyDescent="0.3">
      <c r="A1848" s="17" t="str">
        <f>"29055"</f>
        <v>29055</v>
      </c>
      <c r="B1848" s="5" t="s">
        <v>2005</v>
      </c>
      <c r="C1848" s="17">
        <v>19900101</v>
      </c>
      <c r="D1848" s="17">
        <v>22991231</v>
      </c>
      <c r="E1848" s="25">
        <v>133.06</v>
      </c>
    </row>
    <row r="1849" spans="1:5" ht="26" x14ac:dyDescent="0.3">
      <c r="A1849" s="17" t="str">
        <f>"29058"</f>
        <v>29058</v>
      </c>
      <c r="B1849" s="5" t="s">
        <v>2006</v>
      </c>
      <c r="C1849" s="17">
        <v>19900101</v>
      </c>
      <c r="D1849" s="17">
        <v>22991231</v>
      </c>
      <c r="E1849" s="25">
        <v>69.430000000000007</v>
      </c>
    </row>
    <row r="1850" spans="1:5" x14ac:dyDescent="0.3">
      <c r="A1850" s="17" t="str">
        <f>"29065"</f>
        <v>29065</v>
      </c>
      <c r="B1850" s="5" t="s">
        <v>2007</v>
      </c>
      <c r="C1850" s="17">
        <v>19900101</v>
      </c>
      <c r="D1850" s="17">
        <v>22991231</v>
      </c>
      <c r="E1850" s="25">
        <v>60.67</v>
      </c>
    </row>
    <row r="1851" spans="1:5" x14ac:dyDescent="0.3">
      <c r="A1851" s="17" t="str">
        <f>"29075"</f>
        <v>29075</v>
      </c>
      <c r="B1851" s="5" t="s">
        <v>2008</v>
      </c>
      <c r="C1851" s="17">
        <v>19900101</v>
      </c>
      <c r="D1851" s="17">
        <v>22991231</v>
      </c>
      <c r="E1851" s="25">
        <v>55.36</v>
      </c>
    </row>
    <row r="1852" spans="1:5" x14ac:dyDescent="0.3">
      <c r="A1852" s="17" t="str">
        <f>"29085"</f>
        <v>29085</v>
      </c>
      <c r="B1852" s="5" t="s">
        <v>2009</v>
      </c>
      <c r="C1852" s="17">
        <v>19900101</v>
      </c>
      <c r="D1852" s="17">
        <v>22991231</v>
      </c>
      <c r="E1852" s="25">
        <v>60.05</v>
      </c>
    </row>
    <row r="1853" spans="1:5" x14ac:dyDescent="0.3">
      <c r="A1853" s="17" t="str">
        <f>"29086"</f>
        <v>29086</v>
      </c>
      <c r="B1853" s="5" t="s">
        <v>2010</v>
      </c>
      <c r="C1853" s="17">
        <v>20230101</v>
      </c>
      <c r="D1853" s="17">
        <v>22991231</v>
      </c>
      <c r="E1853" s="25">
        <v>52.23</v>
      </c>
    </row>
    <row r="1854" spans="1:5" x14ac:dyDescent="0.3">
      <c r="A1854" s="17" t="str">
        <f>"29105"</f>
        <v>29105</v>
      </c>
      <c r="B1854" s="5" t="s">
        <v>2011</v>
      </c>
      <c r="C1854" s="17">
        <v>19900101</v>
      </c>
      <c r="D1854" s="17">
        <v>22991231</v>
      </c>
      <c r="E1854" s="25">
        <v>49.42</v>
      </c>
    </row>
    <row r="1855" spans="1:5" ht="26" x14ac:dyDescent="0.3">
      <c r="A1855" s="17" t="str">
        <f>"29125"</f>
        <v>29125</v>
      </c>
      <c r="B1855" s="5" t="s">
        <v>2012</v>
      </c>
      <c r="C1855" s="17">
        <v>19900101</v>
      </c>
      <c r="D1855" s="17">
        <v>22991231</v>
      </c>
      <c r="E1855" s="25">
        <v>0</v>
      </c>
    </row>
    <row r="1856" spans="1:5" ht="26" x14ac:dyDescent="0.3">
      <c r="A1856" s="17" t="str">
        <f>"29126"</f>
        <v>29126</v>
      </c>
      <c r="B1856" s="5" t="s">
        <v>2013</v>
      </c>
      <c r="C1856" s="17">
        <v>19900101</v>
      </c>
      <c r="D1856" s="17">
        <v>22991231</v>
      </c>
      <c r="E1856" s="25">
        <v>0</v>
      </c>
    </row>
    <row r="1857" spans="1:5" x14ac:dyDescent="0.3">
      <c r="A1857" s="17" t="str">
        <f>"29130"</f>
        <v>29130</v>
      </c>
      <c r="B1857" s="5" t="s">
        <v>2014</v>
      </c>
      <c r="C1857" s="17">
        <v>19900101</v>
      </c>
      <c r="D1857" s="17">
        <v>22991231</v>
      </c>
      <c r="E1857" s="25">
        <v>0</v>
      </c>
    </row>
    <row r="1858" spans="1:5" x14ac:dyDescent="0.3">
      <c r="A1858" s="17" t="str">
        <f>"29131"</f>
        <v>29131</v>
      </c>
      <c r="B1858" s="5" t="s">
        <v>2015</v>
      </c>
      <c r="C1858" s="17">
        <v>19900101</v>
      </c>
      <c r="D1858" s="17">
        <v>22991231</v>
      </c>
      <c r="E1858" s="25">
        <v>0</v>
      </c>
    </row>
    <row r="1859" spans="1:5" x14ac:dyDescent="0.3">
      <c r="A1859" s="17" t="str">
        <f>"29200"</f>
        <v>29200</v>
      </c>
      <c r="B1859" s="5" t="s">
        <v>2016</v>
      </c>
      <c r="C1859" s="17">
        <v>19900101</v>
      </c>
      <c r="D1859" s="17">
        <v>22991231</v>
      </c>
      <c r="E1859" s="25">
        <v>17.2</v>
      </c>
    </row>
    <row r="1860" spans="1:5" x14ac:dyDescent="0.3">
      <c r="A1860" s="17" t="str">
        <f>"29240"</f>
        <v>29240</v>
      </c>
      <c r="B1860" s="5" t="s">
        <v>2017</v>
      </c>
      <c r="C1860" s="17">
        <v>19900101</v>
      </c>
      <c r="D1860" s="17">
        <v>22991231</v>
      </c>
      <c r="E1860" s="25">
        <v>0</v>
      </c>
    </row>
    <row r="1861" spans="1:5" x14ac:dyDescent="0.3">
      <c r="A1861" s="17" t="str">
        <f>"29260"</f>
        <v>29260</v>
      </c>
      <c r="B1861" s="5" t="s">
        <v>2018</v>
      </c>
      <c r="C1861" s="17">
        <v>19900101</v>
      </c>
      <c r="D1861" s="17">
        <v>22991231</v>
      </c>
      <c r="E1861" s="25">
        <v>0</v>
      </c>
    </row>
    <row r="1862" spans="1:5" x14ac:dyDescent="0.3">
      <c r="A1862" s="17" t="str">
        <f>"29280"</f>
        <v>29280</v>
      </c>
      <c r="B1862" s="5" t="s">
        <v>2019</v>
      </c>
      <c r="C1862" s="17">
        <v>19900101</v>
      </c>
      <c r="D1862" s="17">
        <v>22991231</v>
      </c>
      <c r="E1862" s="25">
        <v>0</v>
      </c>
    </row>
    <row r="1863" spans="1:5" x14ac:dyDescent="0.3">
      <c r="A1863" s="17" t="str">
        <f>"29305"</f>
        <v>29305</v>
      </c>
      <c r="B1863" s="5" t="s">
        <v>2020</v>
      </c>
      <c r="C1863" s="17">
        <v>19900101</v>
      </c>
      <c r="D1863" s="17">
        <v>22991231</v>
      </c>
      <c r="E1863" s="25">
        <v>133.06</v>
      </c>
    </row>
    <row r="1864" spans="1:5" ht="26" x14ac:dyDescent="0.3">
      <c r="A1864" s="17" t="str">
        <f>"29325"</f>
        <v>29325</v>
      </c>
      <c r="B1864" s="5" t="s">
        <v>2021</v>
      </c>
      <c r="C1864" s="17">
        <v>19900101</v>
      </c>
      <c r="D1864" s="17">
        <v>22991231</v>
      </c>
      <c r="E1864" s="25">
        <v>133.06</v>
      </c>
    </row>
    <row r="1865" spans="1:5" x14ac:dyDescent="0.3">
      <c r="A1865" s="17" t="str">
        <f>"29345"</f>
        <v>29345</v>
      </c>
      <c r="B1865" s="5" t="s">
        <v>2022</v>
      </c>
      <c r="C1865" s="17">
        <v>19900101</v>
      </c>
      <c r="D1865" s="17">
        <v>22991231</v>
      </c>
      <c r="E1865" s="25">
        <v>77.25</v>
      </c>
    </row>
    <row r="1866" spans="1:5" x14ac:dyDescent="0.3">
      <c r="A1866" s="17" t="str">
        <f>"29355"</f>
        <v>29355</v>
      </c>
      <c r="B1866" s="5" t="s">
        <v>2023</v>
      </c>
      <c r="C1866" s="17">
        <v>19900101</v>
      </c>
      <c r="D1866" s="17">
        <v>22991231</v>
      </c>
      <c r="E1866" s="25">
        <v>78.19</v>
      </c>
    </row>
    <row r="1867" spans="1:5" ht="26" x14ac:dyDescent="0.3">
      <c r="A1867" s="17" t="str">
        <f>"29358"</f>
        <v>29358</v>
      </c>
      <c r="B1867" s="5" t="s">
        <v>2024</v>
      </c>
      <c r="C1867" s="17">
        <v>19900101</v>
      </c>
      <c r="D1867" s="17">
        <v>22991231</v>
      </c>
      <c r="E1867" s="25">
        <v>101.65</v>
      </c>
    </row>
    <row r="1868" spans="1:5" x14ac:dyDescent="0.3">
      <c r="A1868" s="17" t="str">
        <f>"29365"</f>
        <v>29365</v>
      </c>
      <c r="B1868" s="5" t="s">
        <v>2025</v>
      </c>
      <c r="C1868" s="17">
        <v>19900101</v>
      </c>
      <c r="D1868" s="17">
        <v>22991231</v>
      </c>
      <c r="E1868" s="25">
        <v>75.069999999999993</v>
      </c>
    </row>
    <row r="1869" spans="1:5" x14ac:dyDescent="0.3">
      <c r="A1869" s="17" t="str">
        <f>"29405"</f>
        <v>29405</v>
      </c>
      <c r="B1869" s="5" t="s">
        <v>2026</v>
      </c>
      <c r="C1869" s="17">
        <v>19900101</v>
      </c>
      <c r="D1869" s="17">
        <v>22991231</v>
      </c>
      <c r="E1869" s="25">
        <v>47.85</v>
      </c>
    </row>
    <row r="1870" spans="1:5" ht="26" x14ac:dyDescent="0.3">
      <c r="A1870" s="17" t="str">
        <f>"29425"</f>
        <v>29425</v>
      </c>
      <c r="B1870" s="5" t="s">
        <v>2027</v>
      </c>
      <c r="C1870" s="17">
        <v>19900101</v>
      </c>
      <c r="D1870" s="17">
        <v>22991231</v>
      </c>
      <c r="E1870" s="25">
        <v>43.78</v>
      </c>
    </row>
    <row r="1871" spans="1:5" x14ac:dyDescent="0.3">
      <c r="A1871" s="17" t="str">
        <f>"29435"</f>
        <v>29435</v>
      </c>
      <c r="B1871" s="5" t="s">
        <v>2028</v>
      </c>
      <c r="C1871" s="17">
        <v>19900101</v>
      </c>
      <c r="D1871" s="17">
        <v>22991231</v>
      </c>
      <c r="E1871" s="25">
        <v>74.430000000000007</v>
      </c>
    </row>
    <row r="1872" spans="1:5" x14ac:dyDescent="0.3">
      <c r="A1872" s="17" t="str">
        <f>"29440"</f>
        <v>29440</v>
      </c>
      <c r="B1872" s="5" t="s">
        <v>2029</v>
      </c>
      <c r="C1872" s="17">
        <v>19900101</v>
      </c>
      <c r="D1872" s="17">
        <v>22991231</v>
      </c>
      <c r="E1872" s="25">
        <v>21.58</v>
      </c>
    </row>
    <row r="1873" spans="1:5" ht="26" x14ac:dyDescent="0.3">
      <c r="A1873" s="17" t="str">
        <f>"29445"</f>
        <v>29445</v>
      </c>
      <c r="B1873" s="5" t="s">
        <v>2030</v>
      </c>
      <c r="C1873" s="17">
        <v>19900101</v>
      </c>
      <c r="D1873" s="17">
        <v>22991231</v>
      </c>
      <c r="E1873" s="25">
        <v>59.42</v>
      </c>
    </row>
    <row r="1874" spans="1:5" ht="26" x14ac:dyDescent="0.3">
      <c r="A1874" s="17" t="str">
        <f>"29450"</f>
        <v>29450</v>
      </c>
      <c r="B1874" s="5" t="s">
        <v>2031</v>
      </c>
      <c r="C1874" s="17">
        <v>19900101</v>
      </c>
      <c r="D1874" s="17">
        <v>22991231</v>
      </c>
      <c r="E1874" s="25">
        <v>65.680000000000007</v>
      </c>
    </row>
    <row r="1875" spans="1:5" ht="26" x14ac:dyDescent="0.3">
      <c r="A1875" s="17" t="str">
        <f>"29505"</f>
        <v>29505</v>
      </c>
      <c r="B1875" s="5" t="s">
        <v>2032</v>
      </c>
      <c r="C1875" s="17">
        <v>19900101</v>
      </c>
      <c r="D1875" s="17">
        <v>22991231</v>
      </c>
      <c r="E1875" s="25">
        <v>60.67</v>
      </c>
    </row>
    <row r="1876" spans="1:5" x14ac:dyDescent="0.3">
      <c r="A1876" s="17" t="str">
        <f>"29515"</f>
        <v>29515</v>
      </c>
      <c r="B1876" s="5" t="s">
        <v>2033</v>
      </c>
      <c r="C1876" s="17">
        <v>19900101</v>
      </c>
      <c r="D1876" s="17">
        <v>22991231</v>
      </c>
      <c r="E1876" s="25">
        <v>42.85</v>
      </c>
    </row>
    <row r="1877" spans="1:5" x14ac:dyDescent="0.3">
      <c r="A1877" s="17" t="str">
        <f>"29520"</f>
        <v>29520</v>
      </c>
      <c r="B1877" s="5" t="s">
        <v>2034</v>
      </c>
      <c r="C1877" s="17">
        <v>19900101</v>
      </c>
      <c r="D1877" s="17">
        <v>22991231</v>
      </c>
      <c r="E1877" s="25">
        <v>0</v>
      </c>
    </row>
    <row r="1878" spans="1:5" x14ac:dyDescent="0.3">
      <c r="A1878" s="17" t="str">
        <f>"29530"</f>
        <v>29530</v>
      </c>
      <c r="B1878" s="5" t="s">
        <v>2035</v>
      </c>
      <c r="C1878" s="17">
        <v>19900101</v>
      </c>
      <c r="D1878" s="17">
        <v>22991231</v>
      </c>
      <c r="E1878" s="25">
        <v>0</v>
      </c>
    </row>
    <row r="1879" spans="1:5" x14ac:dyDescent="0.3">
      <c r="A1879" s="17" t="str">
        <f>"29540"</f>
        <v>29540</v>
      </c>
      <c r="B1879" s="5" t="s">
        <v>2036</v>
      </c>
      <c r="C1879" s="17">
        <v>19900101</v>
      </c>
      <c r="D1879" s="17">
        <v>22991231</v>
      </c>
      <c r="E1879" s="25">
        <v>13.13</v>
      </c>
    </row>
    <row r="1880" spans="1:5" x14ac:dyDescent="0.3">
      <c r="A1880" s="17" t="str">
        <f>"29550"</f>
        <v>29550</v>
      </c>
      <c r="B1880" s="5" t="s">
        <v>2037</v>
      </c>
      <c r="C1880" s="17">
        <v>19900101</v>
      </c>
      <c r="D1880" s="17">
        <v>22991231</v>
      </c>
      <c r="E1880" s="25">
        <v>0</v>
      </c>
    </row>
    <row r="1881" spans="1:5" x14ac:dyDescent="0.3">
      <c r="A1881" s="17" t="str">
        <f>"29580"</f>
        <v>29580</v>
      </c>
      <c r="B1881" s="5" t="s">
        <v>2038</v>
      </c>
      <c r="C1881" s="17">
        <v>19900101</v>
      </c>
      <c r="D1881" s="17">
        <v>22991231</v>
      </c>
      <c r="E1881" s="25">
        <v>40.659999999999997</v>
      </c>
    </row>
    <row r="1882" spans="1:5" ht="26" x14ac:dyDescent="0.3">
      <c r="A1882" s="17" t="str">
        <f>"29581"</f>
        <v>29581</v>
      </c>
      <c r="B1882" s="5" t="s">
        <v>2039</v>
      </c>
      <c r="C1882" s="17">
        <v>20100101</v>
      </c>
      <c r="D1882" s="17">
        <v>22991231</v>
      </c>
      <c r="E1882" s="25">
        <v>63.49</v>
      </c>
    </row>
    <row r="1883" spans="1:5" ht="39" x14ac:dyDescent="0.3">
      <c r="A1883" s="17" t="str">
        <f>"29584"</f>
        <v>29584</v>
      </c>
      <c r="B1883" s="5" t="s">
        <v>2040</v>
      </c>
      <c r="C1883" s="17">
        <v>20120101</v>
      </c>
      <c r="D1883" s="17">
        <v>22991231</v>
      </c>
      <c r="E1883" s="25">
        <v>63.8</v>
      </c>
    </row>
    <row r="1884" spans="1:5" ht="26" x14ac:dyDescent="0.3">
      <c r="A1884" s="17" t="str">
        <f>"29700"</f>
        <v>29700</v>
      </c>
      <c r="B1884" s="5" t="s">
        <v>2041</v>
      </c>
      <c r="C1884" s="17">
        <v>19900101</v>
      </c>
      <c r="D1884" s="17">
        <v>22991231</v>
      </c>
      <c r="E1884" s="25">
        <v>40.03</v>
      </c>
    </row>
    <row r="1885" spans="1:5" x14ac:dyDescent="0.3">
      <c r="A1885" s="17" t="str">
        <f>"29705"</f>
        <v>29705</v>
      </c>
      <c r="B1885" s="5" t="s">
        <v>2042</v>
      </c>
      <c r="C1885" s="17">
        <v>19900101</v>
      </c>
      <c r="D1885" s="17">
        <v>22991231</v>
      </c>
      <c r="E1885" s="25">
        <v>32.520000000000003</v>
      </c>
    </row>
    <row r="1886" spans="1:5" ht="26" x14ac:dyDescent="0.3">
      <c r="A1886" s="17" t="str">
        <f>"29710"</f>
        <v>29710</v>
      </c>
      <c r="B1886" s="5" t="s">
        <v>2043</v>
      </c>
      <c r="C1886" s="17">
        <v>19900101</v>
      </c>
      <c r="D1886" s="17">
        <v>22991231</v>
      </c>
      <c r="E1886" s="25">
        <v>66.62</v>
      </c>
    </row>
    <row r="1887" spans="1:5" x14ac:dyDescent="0.3">
      <c r="A1887" s="17" t="str">
        <f>"29720"</f>
        <v>29720</v>
      </c>
      <c r="B1887" s="5" t="s">
        <v>2044</v>
      </c>
      <c r="C1887" s="17">
        <v>19900101</v>
      </c>
      <c r="D1887" s="17">
        <v>22991231</v>
      </c>
      <c r="E1887" s="25">
        <v>57.23</v>
      </c>
    </row>
    <row r="1888" spans="1:5" ht="26" x14ac:dyDescent="0.3">
      <c r="A1888" s="17" t="str">
        <f>"29730"</f>
        <v>29730</v>
      </c>
      <c r="B1888" s="5" t="s">
        <v>2045</v>
      </c>
      <c r="C1888" s="17">
        <v>19900101</v>
      </c>
      <c r="D1888" s="17">
        <v>22991231</v>
      </c>
      <c r="E1888" s="25">
        <v>34.4</v>
      </c>
    </row>
    <row r="1889" spans="1:5" x14ac:dyDescent="0.3">
      <c r="A1889" s="17" t="str">
        <f>"29740"</f>
        <v>29740</v>
      </c>
      <c r="B1889" s="5" t="s">
        <v>2046</v>
      </c>
      <c r="C1889" s="17">
        <v>19900101</v>
      </c>
      <c r="D1889" s="17">
        <v>22991231</v>
      </c>
      <c r="E1889" s="25">
        <v>52.23</v>
      </c>
    </row>
    <row r="1890" spans="1:5" x14ac:dyDescent="0.3">
      <c r="A1890" s="17" t="str">
        <f>"29750"</f>
        <v>29750</v>
      </c>
      <c r="B1890" s="5" t="s">
        <v>2047</v>
      </c>
      <c r="C1890" s="17">
        <v>19900101</v>
      </c>
      <c r="D1890" s="17">
        <v>22991231</v>
      </c>
      <c r="E1890" s="25">
        <v>54.41</v>
      </c>
    </row>
    <row r="1891" spans="1:5" x14ac:dyDescent="0.3">
      <c r="A1891" s="17" t="str">
        <f>"29800"</f>
        <v>29800</v>
      </c>
      <c r="B1891" s="5" t="s">
        <v>2048</v>
      </c>
      <c r="C1891" s="17">
        <v>19910401</v>
      </c>
      <c r="D1891" s="17">
        <v>22991231</v>
      </c>
      <c r="E1891" s="25">
        <v>1450.8</v>
      </c>
    </row>
    <row r="1892" spans="1:5" x14ac:dyDescent="0.3">
      <c r="A1892" s="17" t="str">
        <f>"29804"</f>
        <v>29804</v>
      </c>
      <c r="B1892" s="5" t="s">
        <v>2049</v>
      </c>
      <c r="C1892" s="17">
        <v>19910401</v>
      </c>
      <c r="D1892" s="17">
        <v>22991231</v>
      </c>
      <c r="E1892" s="25">
        <v>1450.8</v>
      </c>
    </row>
    <row r="1893" spans="1:5" x14ac:dyDescent="0.3">
      <c r="A1893" s="17" t="str">
        <f>"29805"</f>
        <v>29805</v>
      </c>
      <c r="B1893" s="5" t="s">
        <v>2050</v>
      </c>
      <c r="C1893" s="17">
        <v>20030401</v>
      </c>
      <c r="D1893" s="17">
        <v>22991231</v>
      </c>
      <c r="E1893" s="25">
        <v>1450.8</v>
      </c>
    </row>
    <row r="1894" spans="1:5" ht="26" x14ac:dyDescent="0.3">
      <c r="A1894" s="17" t="str">
        <f>"29806"</f>
        <v>29806</v>
      </c>
      <c r="B1894" s="5" t="s">
        <v>2051</v>
      </c>
      <c r="C1894" s="17">
        <v>20020101</v>
      </c>
      <c r="D1894" s="17">
        <v>22991231</v>
      </c>
      <c r="E1894" s="25">
        <v>3240.75</v>
      </c>
    </row>
    <row r="1895" spans="1:5" x14ac:dyDescent="0.3">
      <c r="A1895" s="17" t="str">
        <f>"29807"</f>
        <v>29807</v>
      </c>
      <c r="B1895" s="5" t="s">
        <v>2052</v>
      </c>
      <c r="C1895" s="17">
        <v>20030101</v>
      </c>
      <c r="D1895" s="17">
        <v>22991231</v>
      </c>
      <c r="E1895" s="25">
        <v>3240.75</v>
      </c>
    </row>
    <row r="1896" spans="1:5" ht="26" x14ac:dyDescent="0.3">
      <c r="A1896" s="17" t="str">
        <f>"29819"</f>
        <v>29819</v>
      </c>
      <c r="B1896" s="5" t="s">
        <v>2053</v>
      </c>
      <c r="C1896" s="17">
        <v>19900101</v>
      </c>
      <c r="D1896" s="17">
        <v>22991231</v>
      </c>
      <c r="E1896" s="25">
        <v>1450.8</v>
      </c>
    </row>
    <row r="1897" spans="1:5" ht="26" x14ac:dyDescent="0.3">
      <c r="A1897" s="17" t="str">
        <f>"29820"</f>
        <v>29820</v>
      </c>
      <c r="B1897" s="5" t="s">
        <v>2054</v>
      </c>
      <c r="C1897" s="17">
        <v>19900101</v>
      </c>
      <c r="D1897" s="17">
        <v>22991231</v>
      </c>
      <c r="E1897" s="25">
        <v>3240.75</v>
      </c>
    </row>
    <row r="1898" spans="1:5" ht="26" x14ac:dyDescent="0.3">
      <c r="A1898" s="17" t="str">
        <f>"29821"</f>
        <v>29821</v>
      </c>
      <c r="B1898" s="5" t="s">
        <v>2055</v>
      </c>
      <c r="C1898" s="17">
        <v>19900101</v>
      </c>
      <c r="D1898" s="17">
        <v>22991231</v>
      </c>
      <c r="E1898" s="25">
        <v>1450.8</v>
      </c>
    </row>
    <row r="1899" spans="1:5" ht="26" x14ac:dyDescent="0.3">
      <c r="A1899" s="17" t="str">
        <f>"29822"</f>
        <v>29822</v>
      </c>
      <c r="B1899" s="5" t="s">
        <v>2056</v>
      </c>
      <c r="C1899" s="17">
        <v>19900101</v>
      </c>
      <c r="D1899" s="17">
        <v>22991231</v>
      </c>
      <c r="E1899" s="25">
        <v>1450.8</v>
      </c>
    </row>
    <row r="1900" spans="1:5" ht="26" x14ac:dyDescent="0.3">
      <c r="A1900" s="17" t="str">
        <f>"29823"</f>
        <v>29823</v>
      </c>
      <c r="B1900" s="5" t="s">
        <v>2057</v>
      </c>
      <c r="C1900" s="17">
        <v>19900101</v>
      </c>
      <c r="D1900" s="17">
        <v>22991231</v>
      </c>
      <c r="E1900" s="25">
        <v>1450.8</v>
      </c>
    </row>
    <row r="1901" spans="1:5" ht="26" x14ac:dyDescent="0.3">
      <c r="A1901" s="17" t="str">
        <f>"29824"</f>
        <v>29824</v>
      </c>
      <c r="B1901" s="5" t="s">
        <v>2058</v>
      </c>
      <c r="C1901" s="17">
        <v>20030401</v>
      </c>
      <c r="D1901" s="17">
        <v>22991231</v>
      </c>
      <c r="E1901" s="25">
        <v>1450.8</v>
      </c>
    </row>
    <row r="1902" spans="1:5" ht="26" x14ac:dyDescent="0.3">
      <c r="A1902" s="17" t="str">
        <f>"29825"</f>
        <v>29825</v>
      </c>
      <c r="B1902" s="5" t="s">
        <v>2059</v>
      </c>
      <c r="C1902" s="17">
        <v>19900101</v>
      </c>
      <c r="D1902" s="17">
        <v>22991231</v>
      </c>
      <c r="E1902" s="25">
        <v>1450.8</v>
      </c>
    </row>
    <row r="1903" spans="1:5" ht="26" x14ac:dyDescent="0.3">
      <c r="A1903" s="17" t="str">
        <f>"29826"</f>
        <v>29826</v>
      </c>
      <c r="B1903" s="5" t="s">
        <v>2060</v>
      </c>
      <c r="C1903" s="17">
        <v>19900401</v>
      </c>
      <c r="D1903" s="17">
        <v>22991231</v>
      </c>
      <c r="E1903" s="25">
        <v>0</v>
      </c>
    </row>
    <row r="1904" spans="1:5" ht="26" x14ac:dyDescent="0.3">
      <c r="A1904" s="17" t="str">
        <f>"29827"</f>
        <v>29827</v>
      </c>
      <c r="B1904" s="5" t="s">
        <v>2061</v>
      </c>
      <c r="C1904" s="17">
        <v>20030101</v>
      </c>
      <c r="D1904" s="17">
        <v>22991231</v>
      </c>
      <c r="E1904" s="25">
        <v>3240.75</v>
      </c>
    </row>
    <row r="1905" spans="1:5" ht="26" x14ac:dyDescent="0.3">
      <c r="A1905" s="17" t="str">
        <f>"29828"</f>
        <v>29828</v>
      </c>
      <c r="B1905" s="5" t="s">
        <v>2062</v>
      </c>
      <c r="C1905" s="17">
        <v>20080101</v>
      </c>
      <c r="D1905" s="17">
        <v>22991231</v>
      </c>
      <c r="E1905" s="25">
        <v>3240.75</v>
      </c>
    </row>
    <row r="1906" spans="1:5" ht="26" x14ac:dyDescent="0.3">
      <c r="A1906" s="17" t="str">
        <f>"29830"</f>
        <v>29830</v>
      </c>
      <c r="B1906" s="5" t="s">
        <v>2063</v>
      </c>
      <c r="C1906" s="17">
        <v>19900101</v>
      </c>
      <c r="D1906" s="17">
        <v>22991231</v>
      </c>
      <c r="E1906" s="25">
        <v>1450.8</v>
      </c>
    </row>
    <row r="1907" spans="1:5" ht="26" x14ac:dyDescent="0.3">
      <c r="A1907" s="17" t="str">
        <f>"29834"</f>
        <v>29834</v>
      </c>
      <c r="B1907" s="5" t="s">
        <v>2064</v>
      </c>
      <c r="C1907" s="17">
        <v>19900101</v>
      </c>
      <c r="D1907" s="17">
        <v>22991231</v>
      </c>
      <c r="E1907" s="25">
        <v>1450.8</v>
      </c>
    </row>
    <row r="1908" spans="1:5" ht="26" x14ac:dyDescent="0.3">
      <c r="A1908" s="17" t="str">
        <f>"29835"</f>
        <v>29835</v>
      </c>
      <c r="B1908" s="5" t="s">
        <v>2065</v>
      </c>
      <c r="C1908" s="17">
        <v>19900101</v>
      </c>
      <c r="D1908" s="17">
        <v>22991231</v>
      </c>
      <c r="E1908" s="25">
        <v>1450.8</v>
      </c>
    </row>
    <row r="1909" spans="1:5" ht="26" x14ac:dyDescent="0.3">
      <c r="A1909" s="17" t="str">
        <f>"29836"</f>
        <v>29836</v>
      </c>
      <c r="B1909" s="5" t="s">
        <v>2066</v>
      </c>
      <c r="C1909" s="17">
        <v>19900101</v>
      </c>
      <c r="D1909" s="17">
        <v>22991231</v>
      </c>
      <c r="E1909" s="25">
        <v>3240.75</v>
      </c>
    </row>
    <row r="1910" spans="1:5" ht="26" x14ac:dyDescent="0.3">
      <c r="A1910" s="17" t="str">
        <f>"29837"</f>
        <v>29837</v>
      </c>
      <c r="B1910" s="5" t="s">
        <v>2067</v>
      </c>
      <c r="C1910" s="17">
        <v>19900101</v>
      </c>
      <c r="D1910" s="17">
        <v>22991231</v>
      </c>
      <c r="E1910" s="25">
        <v>1450.8</v>
      </c>
    </row>
    <row r="1911" spans="1:5" ht="26" x14ac:dyDescent="0.3">
      <c r="A1911" s="17" t="str">
        <f>"29838"</f>
        <v>29838</v>
      </c>
      <c r="B1911" s="5" t="s">
        <v>2068</v>
      </c>
      <c r="C1911" s="17">
        <v>19900101</v>
      </c>
      <c r="D1911" s="17">
        <v>22991231</v>
      </c>
      <c r="E1911" s="25">
        <v>1450.8</v>
      </c>
    </row>
    <row r="1912" spans="1:5" x14ac:dyDescent="0.3">
      <c r="A1912" s="17" t="str">
        <f>"29840"</f>
        <v>29840</v>
      </c>
      <c r="B1912" s="5" t="s">
        <v>2069</v>
      </c>
      <c r="C1912" s="17">
        <v>19900101</v>
      </c>
      <c r="D1912" s="17">
        <v>22991231</v>
      </c>
      <c r="E1912" s="25">
        <v>1450.8</v>
      </c>
    </row>
    <row r="1913" spans="1:5" ht="26" x14ac:dyDescent="0.3">
      <c r="A1913" s="17" t="str">
        <f>"29843"</f>
        <v>29843</v>
      </c>
      <c r="B1913" s="5" t="s">
        <v>2070</v>
      </c>
      <c r="C1913" s="17">
        <v>19900101</v>
      </c>
      <c r="D1913" s="17">
        <v>22991231</v>
      </c>
      <c r="E1913" s="25">
        <v>1450.8</v>
      </c>
    </row>
    <row r="1914" spans="1:5" ht="26" x14ac:dyDescent="0.3">
      <c r="A1914" s="17" t="str">
        <f>"29844"</f>
        <v>29844</v>
      </c>
      <c r="B1914" s="5" t="s">
        <v>2071</v>
      </c>
      <c r="C1914" s="17">
        <v>19900101</v>
      </c>
      <c r="D1914" s="17">
        <v>22991231</v>
      </c>
      <c r="E1914" s="25">
        <v>1450.8</v>
      </c>
    </row>
    <row r="1915" spans="1:5" ht="26" x14ac:dyDescent="0.3">
      <c r="A1915" s="17" t="str">
        <f>"29845"</f>
        <v>29845</v>
      </c>
      <c r="B1915" s="5" t="s">
        <v>2072</v>
      </c>
      <c r="C1915" s="17">
        <v>19900101</v>
      </c>
      <c r="D1915" s="17">
        <v>22991231</v>
      </c>
      <c r="E1915" s="25">
        <v>1450.8</v>
      </c>
    </row>
    <row r="1916" spans="1:5" ht="26" x14ac:dyDescent="0.3">
      <c r="A1916" s="17" t="str">
        <f>"29846"</f>
        <v>29846</v>
      </c>
      <c r="B1916" s="5" t="s">
        <v>2073</v>
      </c>
      <c r="C1916" s="17">
        <v>19900101</v>
      </c>
      <c r="D1916" s="17">
        <v>22991231</v>
      </c>
      <c r="E1916" s="25">
        <v>1450.8</v>
      </c>
    </row>
    <row r="1917" spans="1:5" ht="26" x14ac:dyDescent="0.3">
      <c r="A1917" s="17" t="str">
        <f>"29847"</f>
        <v>29847</v>
      </c>
      <c r="B1917" s="5" t="s">
        <v>2074</v>
      </c>
      <c r="C1917" s="17">
        <v>19900101</v>
      </c>
      <c r="D1917" s="17">
        <v>22991231</v>
      </c>
      <c r="E1917" s="25">
        <v>3240.75</v>
      </c>
    </row>
    <row r="1918" spans="1:5" x14ac:dyDescent="0.3">
      <c r="A1918" s="17" t="str">
        <f>"29848"</f>
        <v>29848</v>
      </c>
      <c r="B1918" s="5" t="s">
        <v>2075</v>
      </c>
      <c r="C1918" s="17">
        <v>19920115</v>
      </c>
      <c r="D1918" s="17">
        <v>22991231</v>
      </c>
      <c r="E1918" s="25">
        <v>782.3</v>
      </c>
    </row>
    <row r="1919" spans="1:5" ht="26" x14ac:dyDescent="0.3">
      <c r="A1919" s="17" t="str">
        <f>"29850"</f>
        <v>29850</v>
      </c>
      <c r="B1919" s="5" t="s">
        <v>2076</v>
      </c>
      <c r="C1919" s="17">
        <v>19930101</v>
      </c>
      <c r="D1919" s="17">
        <v>22991231</v>
      </c>
      <c r="E1919" s="25">
        <v>782.3</v>
      </c>
    </row>
    <row r="1920" spans="1:5" ht="26" x14ac:dyDescent="0.3">
      <c r="A1920" s="17" t="str">
        <f>"29851"</f>
        <v>29851</v>
      </c>
      <c r="B1920" s="5" t="s">
        <v>2077</v>
      </c>
      <c r="C1920" s="17">
        <v>19930101</v>
      </c>
      <c r="D1920" s="17">
        <v>22991231</v>
      </c>
      <c r="E1920" s="25">
        <v>782.3</v>
      </c>
    </row>
    <row r="1921" spans="1:5" ht="26" x14ac:dyDescent="0.3">
      <c r="A1921" s="17" t="str">
        <f>"29855"</f>
        <v>29855</v>
      </c>
      <c r="B1921" s="5" t="s">
        <v>2078</v>
      </c>
      <c r="C1921" s="17">
        <v>19930101</v>
      </c>
      <c r="D1921" s="17">
        <v>22991231</v>
      </c>
      <c r="E1921" s="25">
        <v>4628.62</v>
      </c>
    </row>
    <row r="1922" spans="1:5" ht="26" x14ac:dyDescent="0.3">
      <c r="A1922" s="17" t="str">
        <f>"29856"</f>
        <v>29856</v>
      </c>
      <c r="B1922" s="5" t="s">
        <v>2079</v>
      </c>
      <c r="C1922" s="17">
        <v>19930101</v>
      </c>
      <c r="D1922" s="17">
        <v>22991231</v>
      </c>
      <c r="E1922" s="25">
        <v>10027.49</v>
      </c>
    </row>
    <row r="1923" spans="1:5" x14ac:dyDescent="0.3">
      <c r="A1923" s="17" t="str">
        <f>"29860"</f>
        <v>29860</v>
      </c>
      <c r="B1923" s="5" t="s">
        <v>2080</v>
      </c>
      <c r="C1923" s="17">
        <v>19980101</v>
      </c>
      <c r="D1923" s="17">
        <v>22991231</v>
      </c>
      <c r="E1923" s="25">
        <v>3240.75</v>
      </c>
    </row>
    <row r="1924" spans="1:5" ht="26" x14ac:dyDescent="0.3">
      <c r="A1924" s="17" t="str">
        <f>"29861"</f>
        <v>29861</v>
      </c>
      <c r="B1924" s="5" t="s">
        <v>2081</v>
      </c>
      <c r="C1924" s="17">
        <v>19980101</v>
      </c>
      <c r="D1924" s="17">
        <v>22991231</v>
      </c>
      <c r="E1924" s="25">
        <v>3240.75</v>
      </c>
    </row>
    <row r="1925" spans="1:5" ht="26" x14ac:dyDescent="0.3">
      <c r="A1925" s="17" t="str">
        <f>"29862"</f>
        <v>29862</v>
      </c>
      <c r="B1925" s="5" t="s">
        <v>2082</v>
      </c>
      <c r="C1925" s="17">
        <v>19980101</v>
      </c>
      <c r="D1925" s="17">
        <v>22991231</v>
      </c>
      <c r="E1925" s="25">
        <v>3240.75</v>
      </c>
    </row>
    <row r="1926" spans="1:5" x14ac:dyDescent="0.3">
      <c r="A1926" s="17" t="str">
        <f>"29863"</f>
        <v>29863</v>
      </c>
      <c r="B1926" s="5" t="s">
        <v>2083</v>
      </c>
      <c r="C1926" s="17">
        <v>19980101</v>
      </c>
      <c r="D1926" s="17">
        <v>22991231</v>
      </c>
      <c r="E1926" s="25">
        <v>1450.8</v>
      </c>
    </row>
    <row r="1927" spans="1:5" ht="39" x14ac:dyDescent="0.3">
      <c r="A1927" s="17" t="str">
        <f>"29866"</f>
        <v>29866</v>
      </c>
      <c r="B1927" s="5" t="s">
        <v>2084</v>
      </c>
      <c r="C1927" s="17">
        <v>20230101</v>
      </c>
      <c r="D1927" s="17">
        <v>22991231</v>
      </c>
      <c r="E1927" s="25">
        <v>3240.75</v>
      </c>
    </row>
    <row r="1928" spans="1:5" ht="26" x14ac:dyDescent="0.3">
      <c r="A1928" s="17" t="str">
        <f>"29867"</f>
        <v>29867</v>
      </c>
      <c r="B1928" s="5" t="s">
        <v>2085</v>
      </c>
      <c r="C1928" s="17">
        <v>20230101</v>
      </c>
      <c r="D1928" s="17">
        <v>22991231</v>
      </c>
      <c r="E1928" s="25">
        <v>9276.76</v>
      </c>
    </row>
    <row r="1929" spans="1:5" ht="26" x14ac:dyDescent="0.3">
      <c r="A1929" s="17" t="str">
        <f>"29868"</f>
        <v>29868</v>
      </c>
      <c r="B1929" s="5" t="s">
        <v>2086</v>
      </c>
      <c r="C1929" s="17">
        <v>20240101</v>
      </c>
      <c r="D1929" s="17">
        <v>22991231</v>
      </c>
      <c r="E1929" s="25">
        <v>3240.75</v>
      </c>
    </row>
    <row r="1930" spans="1:5" x14ac:dyDescent="0.3">
      <c r="A1930" s="17" t="str">
        <f>"29870"</f>
        <v>29870</v>
      </c>
      <c r="B1930" s="5" t="s">
        <v>2087</v>
      </c>
      <c r="C1930" s="17">
        <v>19900101</v>
      </c>
      <c r="D1930" s="17">
        <v>22991231</v>
      </c>
      <c r="E1930" s="25">
        <v>1450.8</v>
      </c>
    </row>
    <row r="1931" spans="1:5" ht="26" x14ac:dyDescent="0.3">
      <c r="A1931" s="17" t="str">
        <f>"29871"</f>
        <v>29871</v>
      </c>
      <c r="B1931" s="5" t="s">
        <v>2088</v>
      </c>
      <c r="C1931" s="17">
        <v>19900101</v>
      </c>
      <c r="D1931" s="17">
        <v>22991231</v>
      </c>
      <c r="E1931" s="25">
        <v>1450.8</v>
      </c>
    </row>
    <row r="1932" spans="1:5" ht="26" x14ac:dyDescent="0.3">
      <c r="A1932" s="17" t="str">
        <f>"29873"</f>
        <v>29873</v>
      </c>
      <c r="B1932" s="5" t="s">
        <v>2089</v>
      </c>
      <c r="C1932" s="17">
        <v>20030101</v>
      </c>
      <c r="D1932" s="17">
        <v>22991231</v>
      </c>
      <c r="E1932" s="25">
        <v>1450.8</v>
      </c>
    </row>
    <row r="1933" spans="1:5" ht="26" x14ac:dyDescent="0.3">
      <c r="A1933" s="17" t="str">
        <f>"29874"</f>
        <v>29874</v>
      </c>
      <c r="B1933" s="5" t="s">
        <v>2090</v>
      </c>
      <c r="C1933" s="17">
        <v>19900101</v>
      </c>
      <c r="D1933" s="17">
        <v>22991231</v>
      </c>
      <c r="E1933" s="25">
        <v>1450.8</v>
      </c>
    </row>
    <row r="1934" spans="1:5" ht="26" x14ac:dyDescent="0.3">
      <c r="A1934" s="17" t="str">
        <f>"29875"</f>
        <v>29875</v>
      </c>
      <c r="B1934" s="5" t="s">
        <v>2091</v>
      </c>
      <c r="C1934" s="17">
        <v>19900101</v>
      </c>
      <c r="D1934" s="17">
        <v>22991231</v>
      </c>
      <c r="E1934" s="25">
        <v>1450.8</v>
      </c>
    </row>
    <row r="1935" spans="1:5" ht="26" x14ac:dyDescent="0.3">
      <c r="A1935" s="17" t="str">
        <f>"29876"</f>
        <v>29876</v>
      </c>
      <c r="B1935" s="5" t="s">
        <v>2092</v>
      </c>
      <c r="C1935" s="17">
        <v>19900101</v>
      </c>
      <c r="D1935" s="17">
        <v>22991231</v>
      </c>
      <c r="E1935" s="25">
        <v>1450.8</v>
      </c>
    </row>
    <row r="1936" spans="1:5" ht="26" x14ac:dyDescent="0.3">
      <c r="A1936" s="17" t="str">
        <f>"29877"</f>
        <v>29877</v>
      </c>
      <c r="B1936" s="5" t="s">
        <v>2093</v>
      </c>
      <c r="C1936" s="17">
        <v>19900101</v>
      </c>
      <c r="D1936" s="17">
        <v>22991231</v>
      </c>
      <c r="E1936" s="25">
        <v>1450.8</v>
      </c>
    </row>
    <row r="1937" spans="1:5" ht="26" x14ac:dyDescent="0.3">
      <c r="A1937" s="17" t="str">
        <f>"29879"</f>
        <v>29879</v>
      </c>
      <c r="B1937" s="5" t="s">
        <v>2094</v>
      </c>
      <c r="C1937" s="17">
        <v>19900101</v>
      </c>
      <c r="D1937" s="17">
        <v>22991231</v>
      </c>
      <c r="E1937" s="25">
        <v>1450.8</v>
      </c>
    </row>
    <row r="1938" spans="1:5" ht="26" x14ac:dyDescent="0.3">
      <c r="A1938" s="17" t="str">
        <f>"29880"</f>
        <v>29880</v>
      </c>
      <c r="B1938" s="5" t="s">
        <v>2095</v>
      </c>
      <c r="C1938" s="17">
        <v>19900101</v>
      </c>
      <c r="D1938" s="17">
        <v>22991231</v>
      </c>
      <c r="E1938" s="25">
        <v>1450.8</v>
      </c>
    </row>
    <row r="1939" spans="1:5" x14ac:dyDescent="0.3">
      <c r="A1939" s="17" t="str">
        <f>"29881"</f>
        <v>29881</v>
      </c>
      <c r="B1939" s="5" t="s">
        <v>2096</v>
      </c>
      <c r="C1939" s="17">
        <v>19900101</v>
      </c>
      <c r="D1939" s="17">
        <v>22991231</v>
      </c>
      <c r="E1939" s="25">
        <v>1450.8</v>
      </c>
    </row>
    <row r="1940" spans="1:5" ht="26" x14ac:dyDescent="0.3">
      <c r="A1940" s="17" t="str">
        <f>"29882"</f>
        <v>29882</v>
      </c>
      <c r="B1940" s="5" t="s">
        <v>2097</v>
      </c>
      <c r="C1940" s="17">
        <v>19900101</v>
      </c>
      <c r="D1940" s="17">
        <v>22991231</v>
      </c>
      <c r="E1940" s="25">
        <v>1450.8</v>
      </c>
    </row>
    <row r="1941" spans="1:5" ht="26" x14ac:dyDescent="0.3">
      <c r="A1941" s="17" t="str">
        <f>"29883"</f>
        <v>29883</v>
      </c>
      <c r="B1941" s="5" t="s">
        <v>2098</v>
      </c>
      <c r="C1941" s="17">
        <v>19900101</v>
      </c>
      <c r="D1941" s="17">
        <v>22991231</v>
      </c>
      <c r="E1941" s="25">
        <v>1450.8</v>
      </c>
    </row>
    <row r="1942" spans="1:5" ht="26" x14ac:dyDescent="0.3">
      <c r="A1942" s="17" t="str">
        <f>"29884"</f>
        <v>29884</v>
      </c>
      <c r="B1942" s="5" t="s">
        <v>2099</v>
      </c>
      <c r="C1942" s="17">
        <v>19900101</v>
      </c>
      <c r="D1942" s="17">
        <v>22991231</v>
      </c>
      <c r="E1942" s="25">
        <v>1450.8</v>
      </c>
    </row>
    <row r="1943" spans="1:5" ht="26" x14ac:dyDescent="0.3">
      <c r="A1943" s="17" t="str">
        <f>"29885"</f>
        <v>29885</v>
      </c>
      <c r="B1943" s="5" t="s">
        <v>2100</v>
      </c>
      <c r="C1943" s="17">
        <v>19970801</v>
      </c>
      <c r="D1943" s="17">
        <v>22991231</v>
      </c>
      <c r="E1943" s="25">
        <v>4160.57</v>
      </c>
    </row>
    <row r="1944" spans="1:5" ht="26" x14ac:dyDescent="0.3">
      <c r="A1944" s="17" t="str">
        <f>"29886"</f>
        <v>29886</v>
      </c>
      <c r="B1944" s="5" t="s">
        <v>2101</v>
      </c>
      <c r="C1944" s="17">
        <v>19900101</v>
      </c>
      <c r="D1944" s="17">
        <v>22991231</v>
      </c>
      <c r="E1944" s="25">
        <v>1450.8</v>
      </c>
    </row>
    <row r="1945" spans="1:5" ht="26" x14ac:dyDescent="0.3">
      <c r="A1945" s="17" t="str">
        <f>"29887"</f>
        <v>29887</v>
      </c>
      <c r="B1945" s="5" t="s">
        <v>2102</v>
      </c>
      <c r="C1945" s="17">
        <v>19900101</v>
      </c>
      <c r="D1945" s="17">
        <v>22991231</v>
      </c>
      <c r="E1945" s="25">
        <v>3240.75</v>
      </c>
    </row>
    <row r="1946" spans="1:5" ht="26" x14ac:dyDescent="0.3">
      <c r="A1946" s="17" t="str">
        <f>"29888"</f>
        <v>29888</v>
      </c>
      <c r="B1946" s="5" t="s">
        <v>2103</v>
      </c>
      <c r="C1946" s="17">
        <v>19900101</v>
      </c>
      <c r="D1946" s="17">
        <v>22991231</v>
      </c>
      <c r="E1946" s="25">
        <v>4295.3500000000004</v>
      </c>
    </row>
    <row r="1947" spans="1:5" ht="26" x14ac:dyDescent="0.3">
      <c r="A1947" s="17" t="str">
        <f>"29889"</f>
        <v>29889</v>
      </c>
      <c r="B1947" s="5" t="s">
        <v>2104</v>
      </c>
      <c r="C1947" s="17">
        <v>19970801</v>
      </c>
      <c r="D1947" s="17">
        <v>22991231</v>
      </c>
      <c r="E1947" s="25">
        <v>7819.46</v>
      </c>
    </row>
    <row r="1948" spans="1:5" ht="26" x14ac:dyDescent="0.3">
      <c r="A1948" s="17" t="str">
        <f>"29891"</f>
        <v>29891</v>
      </c>
      <c r="B1948" s="5" t="s">
        <v>2105</v>
      </c>
      <c r="C1948" s="17">
        <v>19980101</v>
      </c>
      <c r="D1948" s="17">
        <v>22991231</v>
      </c>
      <c r="E1948" s="25">
        <v>1450.8</v>
      </c>
    </row>
    <row r="1949" spans="1:5" ht="26" x14ac:dyDescent="0.3">
      <c r="A1949" s="17" t="str">
        <f>"29892"</f>
        <v>29892</v>
      </c>
      <c r="B1949" s="5" t="s">
        <v>2106</v>
      </c>
      <c r="C1949" s="17">
        <v>19980101</v>
      </c>
      <c r="D1949" s="17">
        <v>22991231</v>
      </c>
      <c r="E1949" s="25">
        <v>3240.75</v>
      </c>
    </row>
    <row r="1950" spans="1:5" ht="26" x14ac:dyDescent="0.3">
      <c r="A1950" s="17" t="str">
        <f>"29893"</f>
        <v>29893</v>
      </c>
      <c r="B1950" s="5" t="s">
        <v>2107</v>
      </c>
      <c r="C1950" s="17">
        <v>19980101</v>
      </c>
      <c r="D1950" s="17">
        <v>22991231</v>
      </c>
      <c r="E1950" s="25">
        <v>1450.8</v>
      </c>
    </row>
    <row r="1951" spans="1:5" ht="26" x14ac:dyDescent="0.3">
      <c r="A1951" s="17" t="str">
        <f>"29894"</f>
        <v>29894</v>
      </c>
      <c r="B1951" s="5" t="s">
        <v>2108</v>
      </c>
      <c r="C1951" s="17">
        <v>19900101</v>
      </c>
      <c r="D1951" s="17">
        <v>22991231</v>
      </c>
      <c r="E1951" s="25">
        <v>1450.8</v>
      </c>
    </row>
    <row r="1952" spans="1:5" ht="26" x14ac:dyDescent="0.3">
      <c r="A1952" s="17" t="str">
        <f>"29895"</f>
        <v>29895</v>
      </c>
      <c r="B1952" s="5" t="s">
        <v>2109</v>
      </c>
      <c r="C1952" s="17">
        <v>19900101</v>
      </c>
      <c r="D1952" s="17">
        <v>22991231</v>
      </c>
      <c r="E1952" s="25">
        <v>1450.8</v>
      </c>
    </row>
    <row r="1953" spans="1:5" ht="26" x14ac:dyDescent="0.3">
      <c r="A1953" s="17" t="str">
        <f>"29897"</f>
        <v>29897</v>
      </c>
      <c r="B1953" s="5" t="s">
        <v>2110</v>
      </c>
      <c r="C1953" s="17">
        <v>19900101</v>
      </c>
      <c r="D1953" s="17">
        <v>22991231</v>
      </c>
      <c r="E1953" s="25">
        <v>1450.8</v>
      </c>
    </row>
    <row r="1954" spans="1:5" ht="26" x14ac:dyDescent="0.3">
      <c r="A1954" s="17" t="str">
        <f>"29898"</f>
        <v>29898</v>
      </c>
      <c r="B1954" s="5" t="s">
        <v>2111</v>
      </c>
      <c r="C1954" s="17">
        <v>19900101</v>
      </c>
      <c r="D1954" s="17">
        <v>22991231</v>
      </c>
      <c r="E1954" s="25">
        <v>1450.8</v>
      </c>
    </row>
    <row r="1955" spans="1:5" x14ac:dyDescent="0.3">
      <c r="A1955" s="17" t="str">
        <f>"29899"</f>
        <v>29899</v>
      </c>
      <c r="B1955" s="5" t="s">
        <v>2112</v>
      </c>
      <c r="C1955" s="17">
        <v>20030401</v>
      </c>
      <c r="D1955" s="17">
        <v>22991231</v>
      </c>
      <c r="E1955" s="25">
        <v>4296.7</v>
      </c>
    </row>
    <row r="1956" spans="1:5" ht="26" x14ac:dyDescent="0.3">
      <c r="A1956" s="17" t="str">
        <f>"29900"</f>
        <v>29900</v>
      </c>
      <c r="B1956" s="5" t="s">
        <v>2113</v>
      </c>
      <c r="C1956" s="17">
        <v>20030401</v>
      </c>
      <c r="D1956" s="17">
        <v>22991231</v>
      </c>
      <c r="E1956" s="25">
        <v>1450.8</v>
      </c>
    </row>
    <row r="1957" spans="1:5" ht="26" x14ac:dyDescent="0.3">
      <c r="A1957" s="17" t="str">
        <f>"29901"</f>
        <v>29901</v>
      </c>
      <c r="B1957" s="5" t="s">
        <v>2114</v>
      </c>
      <c r="C1957" s="17">
        <v>20030401</v>
      </c>
      <c r="D1957" s="17">
        <v>22991231</v>
      </c>
      <c r="E1957" s="25">
        <v>1450.8</v>
      </c>
    </row>
    <row r="1958" spans="1:5" ht="26" x14ac:dyDescent="0.3">
      <c r="A1958" s="17" t="str">
        <f>"29902"</f>
        <v>29902</v>
      </c>
      <c r="B1958" s="5" t="s">
        <v>2115</v>
      </c>
      <c r="C1958" s="17">
        <v>20030401</v>
      </c>
      <c r="D1958" s="17">
        <v>22991231</v>
      </c>
      <c r="E1958" s="25">
        <v>782.3</v>
      </c>
    </row>
    <row r="1959" spans="1:5" ht="26" x14ac:dyDescent="0.3">
      <c r="A1959" s="17" t="str">
        <f>"29904"</f>
        <v>29904</v>
      </c>
      <c r="B1959" s="5" t="s">
        <v>2116</v>
      </c>
      <c r="C1959" s="17">
        <v>20080101</v>
      </c>
      <c r="D1959" s="17">
        <v>22991231</v>
      </c>
      <c r="E1959" s="25">
        <v>1450.8</v>
      </c>
    </row>
    <row r="1960" spans="1:5" ht="26" x14ac:dyDescent="0.3">
      <c r="A1960" s="17" t="str">
        <f>"29905"</f>
        <v>29905</v>
      </c>
      <c r="B1960" s="5" t="s">
        <v>2117</v>
      </c>
      <c r="C1960" s="17">
        <v>20080101</v>
      </c>
      <c r="D1960" s="17">
        <v>22991231</v>
      </c>
      <c r="E1960" s="25">
        <v>3240.75</v>
      </c>
    </row>
    <row r="1961" spans="1:5" ht="26" x14ac:dyDescent="0.3">
      <c r="A1961" s="17" t="str">
        <f>"29906"</f>
        <v>29906</v>
      </c>
      <c r="B1961" s="5" t="s">
        <v>2118</v>
      </c>
      <c r="C1961" s="17">
        <v>20080101</v>
      </c>
      <c r="D1961" s="17">
        <v>22991231</v>
      </c>
      <c r="E1961" s="25">
        <v>1450.8</v>
      </c>
    </row>
    <row r="1962" spans="1:5" x14ac:dyDescent="0.3">
      <c r="A1962" s="17" t="str">
        <f>"29907"</f>
        <v>29907</v>
      </c>
      <c r="B1962" s="5" t="s">
        <v>2119</v>
      </c>
      <c r="C1962" s="17">
        <v>20080101</v>
      </c>
      <c r="D1962" s="17">
        <v>22991231</v>
      </c>
      <c r="E1962" s="25">
        <v>8210.67</v>
      </c>
    </row>
    <row r="1963" spans="1:5" ht="26" x14ac:dyDescent="0.3">
      <c r="A1963" s="17" t="str">
        <f>"29914"</f>
        <v>29914</v>
      </c>
      <c r="B1963" s="5" t="s">
        <v>2120</v>
      </c>
      <c r="C1963" s="17">
        <v>20110101</v>
      </c>
      <c r="D1963" s="17">
        <v>22991231</v>
      </c>
      <c r="E1963" s="25">
        <v>3240.75</v>
      </c>
    </row>
    <row r="1964" spans="1:5" x14ac:dyDescent="0.3">
      <c r="A1964" s="17" t="str">
        <f>"29915"</f>
        <v>29915</v>
      </c>
      <c r="B1964" s="5" t="s">
        <v>2121</v>
      </c>
      <c r="C1964" s="17">
        <v>20110101</v>
      </c>
      <c r="D1964" s="17">
        <v>22991231</v>
      </c>
      <c r="E1964" s="25">
        <v>3240.75</v>
      </c>
    </row>
    <row r="1965" spans="1:5" ht="26" x14ac:dyDescent="0.3">
      <c r="A1965" s="17" t="str">
        <f>"29916"</f>
        <v>29916</v>
      </c>
      <c r="B1965" s="5" t="s">
        <v>2122</v>
      </c>
      <c r="C1965" s="17">
        <v>20110101</v>
      </c>
      <c r="D1965" s="17">
        <v>22991231</v>
      </c>
      <c r="E1965" s="25">
        <v>3240.75</v>
      </c>
    </row>
    <row r="1966" spans="1:5" ht="26" x14ac:dyDescent="0.3">
      <c r="A1966" s="17" t="str">
        <f>"30000"</f>
        <v>30000</v>
      </c>
      <c r="B1966" s="5" t="s">
        <v>2123</v>
      </c>
      <c r="C1966" s="17">
        <v>19900101</v>
      </c>
      <c r="D1966" s="17">
        <v>22991231</v>
      </c>
      <c r="E1966" s="25">
        <v>121.03</v>
      </c>
    </row>
    <row r="1967" spans="1:5" ht="26" x14ac:dyDescent="0.3">
      <c r="A1967" s="17" t="str">
        <f>"30020"</f>
        <v>30020</v>
      </c>
      <c r="B1967" s="5" t="s">
        <v>2124</v>
      </c>
      <c r="C1967" s="17">
        <v>19900101</v>
      </c>
      <c r="D1967" s="17">
        <v>22991231</v>
      </c>
      <c r="E1967" s="25">
        <v>201.41</v>
      </c>
    </row>
    <row r="1968" spans="1:5" x14ac:dyDescent="0.3">
      <c r="A1968" s="17" t="str">
        <f>"30100"</f>
        <v>30100</v>
      </c>
      <c r="B1968" s="5" t="s">
        <v>2125</v>
      </c>
      <c r="C1968" s="17">
        <v>19900101</v>
      </c>
      <c r="D1968" s="17">
        <v>22991231</v>
      </c>
      <c r="E1968" s="25">
        <v>99.14</v>
      </c>
    </row>
    <row r="1969" spans="1:5" x14ac:dyDescent="0.3">
      <c r="A1969" s="17" t="str">
        <f>"30110"</f>
        <v>30110</v>
      </c>
      <c r="B1969" s="5" t="s">
        <v>2126</v>
      </c>
      <c r="C1969" s="17">
        <v>19900101</v>
      </c>
      <c r="D1969" s="17">
        <v>22991231</v>
      </c>
      <c r="E1969" s="25">
        <v>175.15</v>
      </c>
    </row>
    <row r="1970" spans="1:5" x14ac:dyDescent="0.3">
      <c r="A1970" s="17" t="str">
        <f>"30115"</f>
        <v>30115</v>
      </c>
      <c r="B1970" s="5" t="s">
        <v>2127</v>
      </c>
      <c r="C1970" s="17">
        <v>19900101</v>
      </c>
      <c r="D1970" s="17">
        <v>22991231</v>
      </c>
      <c r="E1970" s="25">
        <v>1259.74</v>
      </c>
    </row>
    <row r="1971" spans="1:5" ht="26" x14ac:dyDescent="0.3">
      <c r="A1971" s="17" t="str">
        <f>"30117"</f>
        <v>30117</v>
      </c>
      <c r="B1971" s="5" t="s">
        <v>2128</v>
      </c>
      <c r="C1971" s="17">
        <v>19900101</v>
      </c>
      <c r="D1971" s="17">
        <v>22991231</v>
      </c>
      <c r="E1971" s="25">
        <v>1259.74</v>
      </c>
    </row>
    <row r="1972" spans="1:5" x14ac:dyDescent="0.3">
      <c r="A1972" s="17" t="str">
        <f>"30118"</f>
        <v>30118</v>
      </c>
      <c r="B1972" s="5" t="s">
        <v>2129</v>
      </c>
      <c r="C1972" s="17">
        <v>19900101</v>
      </c>
      <c r="D1972" s="17">
        <v>22991231</v>
      </c>
      <c r="E1972" s="25">
        <v>1259.74</v>
      </c>
    </row>
    <row r="1973" spans="1:5" x14ac:dyDescent="0.3">
      <c r="A1973" s="17" t="str">
        <f>"30120"</f>
        <v>30120</v>
      </c>
      <c r="B1973" s="5" t="s">
        <v>2130</v>
      </c>
      <c r="C1973" s="17">
        <v>19900101</v>
      </c>
      <c r="D1973" s="17">
        <v>22991231</v>
      </c>
      <c r="E1973" s="25">
        <v>1259.74</v>
      </c>
    </row>
    <row r="1974" spans="1:5" x14ac:dyDescent="0.3">
      <c r="A1974" s="17" t="str">
        <f>"30124"</f>
        <v>30124</v>
      </c>
      <c r="B1974" s="5" t="s">
        <v>2131</v>
      </c>
      <c r="C1974" s="17">
        <v>19900101</v>
      </c>
      <c r="D1974" s="17">
        <v>22991231</v>
      </c>
      <c r="E1974" s="25">
        <v>636.91999999999996</v>
      </c>
    </row>
    <row r="1975" spans="1:5" x14ac:dyDescent="0.3">
      <c r="A1975" s="17" t="str">
        <f>"30125"</f>
        <v>30125</v>
      </c>
      <c r="B1975" s="5" t="s">
        <v>2132</v>
      </c>
      <c r="C1975" s="17">
        <v>19900101</v>
      </c>
      <c r="D1975" s="17">
        <v>22991231</v>
      </c>
      <c r="E1975" s="25">
        <v>2637</v>
      </c>
    </row>
    <row r="1976" spans="1:5" x14ac:dyDescent="0.3">
      <c r="A1976" s="17" t="str">
        <f>"30130"</f>
        <v>30130</v>
      </c>
      <c r="B1976" s="5" t="s">
        <v>2133</v>
      </c>
      <c r="C1976" s="17">
        <v>19900101</v>
      </c>
      <c r="D1976" s="17">
        <v>22991231</v>
      </c>
      <c r="E1976" s="25">
        <v>1259.74</v>
      </c>
    </row>
    <row r="1977" spans="1:5" x14ac:dyDescent="0.3">
      <c r="A1977" s="17" t="str">
        <f>"30140"</f>
        <v>30140</v>
      </c>
      <c r="B1977" s="5" t="s">
        <v>2134</v>
      </c>
      <c r="C1977" s="17">
        <v>19900101</v>
      </c>
      <c r="D1977" s="17">
        <v>22991231</v>
      </c>
      <c r="E1977" s="25">
        <v>1259.74</v>
      </c>
    </row>
    <row r="1978" spans="1:5" x14ac:dyDescent="0.3">
      <c r="A1978" s="17" t="str">
        <f>"30150"</f>
        <v>30150</v>
      </c>
      <c r="B1978" s="5" t="s">
        <v>2135</v>
      </c>
      <c r="C1978" s="17">
        <v>19900101</v>
      </c>
      <c r="D1978" s="17">
        <v>22991231</v>
      </c>
      <c r="E1978" s="25">
        <v>2637</v>
      </c>
    </row>
    <row r="1979" spans="1:5" x14ac:dyDescent="0.3">
      <c r="A1979" s="17" t="str">
        <f>"30160"</f>
        <v>30160</v>
      </c>
      <c r="B1979" s="5" t="s">
        <v>2136</v>
      </c>
      <c r="C1979" s="17">
        <v>19900101</v>
      </c>
      <c r="D1979" s="17">
        <v>22991231</v>
      </c>
      <c r="E1979" s="25">
        <v>2637</v>
      </c>
    </row>
    <row r="1980" spans="1:5" x14ac:dyDescent="0.3">
      <c r="A1980" s="17" t="str">
        <f>"30200"</f>
        <v>30200</v>
      </c>
      <c r="B1980" s="5" t="s">
        <v>2137</v>
      </c>
      <c r="C1980" s="17">
        <v>20230101</v>
      </c>
      <c r="D1980" s="17">
        <v>22991231</v>
      </c>
      <c r="E1980" s="25">
        <v>76.319999999999993</v>
      </c>
    </row>
    <row r="1981" spans="1:5" x14ac:dyDescent="0.3">
      <c r="A1981" s="17" t="str">
        <f>"30210"</f>
        <v>30210</v>
      </c>
      <c r="B1981" s="5" t="s">
        <v>2138</v>
      </c>
      <c r="C1981" s="17">
        <v>19900101</v>
      </c>
      <c r="D1981" s="17">
        <v>22991231</v>
      </c>
      <c r="E1981" s="25">
        <v>102.9</v>
      </c>
    </row>
    <row r="1982" spans="1:5" x14ac:dyDescent="0.3">
      <c r="A1982" s="17" t="str">
        <f>"30220"</f>
        <v>30220</v>
      </c>
      <c r="B1982" s="5" t="s">
        <v>2139</v>
      </c>
      <c r="C1982" s="17">
        <v>19900101</v>
      </c>
      <c r="D1982" s="17">
        <v>22991231</v>
      </c>
      <c r="E1982" s="25">
        <v>636.91999999999996</v>
      </c>
    </row>
    <row r="1983" spans="1:5" x14ac:dyDescent="0.3">
      <c r="A1983" s="17" t="str">
        <f>"30300"</f>
        <v>30300</v>
      </c>
      <c r="B1983" s="5" t="s">
        <v>2140</v>
      </c>
      <c r="C1983" s="17">
        <v>19900101</v>
      </c>
      <c r="D1983" s="17">
        <v>22991231</v>
      </c>
      <c r="E1983" s="25">
        <v>0</v>
      </c>
    </row>
    <row r="1984" spans="1:5" ht="26" x14ac:dyDescent="0.3">
      <c r="A1984" s="17" t="str">
        <f>"30310"</f>
        <v>30310</v>
      </c>
      <c r="B1984" s="5" t="s">
        <v>2141</v>
      </c>
      <c r="C1984" s="17">
        <v>19900101</v>
      </c>
      <c r="D1984" s="17">
        <v>22991231</v>
      </c>
      <c r="E1984" s="25">
        <v>1259.74</v>
      </c>
    </row>
    <row r="1985" spans="1:5" x14ac:dyDescent="0.3">
      <c r="A1985" s="17" t="str">
        <f>"30320"</f>
        <v>30320</v>
      </c>
      <c r="B1985" s="5" t="s">
        <v>2142</v>
      </c>
      <c r="C1985" s="17">
        <v>19900101</v>
      </c>
      <c r="D1985" s="17">
        <v>22991231</v>
      </c>
      <c r="E1985" s="25">
        <v>636.91999999999996</v>
      </c>
    </row>
    <row r="1986" spans="1:5" x14ac:dyDescent="0.3">
      <c r="A1986" s="17" t="str">
        <f>"30400"</f>
        <v>30400</v>
      </c>
      <c r="B1986" s="5" t="s">
        <v>2143</v>
      </c>
      <c r="C1986" s="17">
        <v>19900101</v>
      </c>
      <c r="D1986" s="17">
        <v>22991231</v>
      </c>
      <c r="E1986" s="25">
        <v>2637</v>
      </c>
    </row>
    <row r="1987" spans="1:5" x14ac:dyDescent="0.3">
      <c r="A1987" s="17" t="str">
        <f>"30410"</f>
        <v>30410</v>
      </c>
      <c r="B1987" s="5" t="s">
        <v>2144</v>
      </c>
      <c r="C1987" s="17">
        <v>19900101</v>
      </c>
      <c r="D1987" s="17">
        <v>22991231</v>
      </c>
      <c r="E1987" s="25">
        <v>2637</v>
      </c>
    </row>
    <row r="1988" spans="1:5" ht="26" x14ac:dyDescent="0.3">
      <c r="A1988" s="17" t="str">
        <f>"30420"</f>
        <v>30420</v>
      </c>
      <c r="B1988" s="5" t="s">
        <v>2145</v>
      </c>
      <c r="C1988" s="17">
        <v>19900101</v>
      </c>
      <c r="D1988" s="17">
        <v>22991231</v>
      </c>
      <c r="E1988" s="25">
        <v>2637</v>
      </c>
    </row>
    <row r="1989" spans="1:5" ht="26" x14ac:dyDescent="0.3">
      <c r="A1989" s="17" t="str">
        <f>"30430"</f>
        <v>30430</v>
      </c>
      <c r="B1989" s="5" t="s">
        <v>2146</v>
      </c>
      <c r="C1989" s="17">
        <v>19900101</v>
      </c>
      <c r="D1989" s="17">
        <v>22991231</v>
      </c>
      <c r="E1989" s="25">
        <v>2637</v>
      </c>
    </row>
    <row r="1990" spans="1:5" ht="26" x14ac:dyDescent="0.3">
      <c r="A1990" s="17" t="str">
        <f>"30435"</f>
        <v>30435</v>
      </c>
      <c r="B1990" s="5" t="s">
        <v>2147</v>
      </c>
      <c r="C1990" s="17">
        <v>19900101</v>
      </c>
      <c r="D1990" s="17">
        <v>22991231</v>
      </c>
      <c r="E1990" s="25">
        <v>2637</v>
      </c>
    </row>
    <row r="1991" spans="1:5" ht="26" x14ac:dyDescent="0.3">
      <c r="A1991" s="17" t="str">
        <f>"30450"</f>
        <v>30450</v>
      </c>
      <c r="B1991" s="5" t="s">
        <v>2148</v>
      </c>
      <c r="C1991" s="17">
        <v>19900101</v>
      </c>
      <c r="D1991" s="17">
        <v>22991231</v>
      </c>
      <c r="E1991" s="25">
        <v>2637</v>
      </c>
    </row>
    <row r="1992" spans="1:5" ht="26" x14ac:dyDescent="0.3">
      <c r="A1992" s="17" t="str">
        <f>"30460"</f>
        <v>30460</v>
      </c>
      <c r="B1992" s="5" t="s">
        <v>2149</v>
      </c>
      <c r="C1992" s="17">
        <v>19930101</v>
      </c>
      <c r="D1992" s="17">
        <v>22991231</v>
      </c>
      <c r="E1992" s="25">
        <v>2637</v>
      </c>
    </row>
    <row r="1993" spans="1:5" ht="26" x14ac:dyDescent="0.3">
      <c r="A1993" s="17" t="str">
        <f>"30462"</f>
        <v>30462</v>
      </c>
      <c r="B1993" s="5" t="s">
        <v>2150</v>
      </c>
      <c r="C1993" s="17">
        <v>19930101</v>
      </c>
      <c r="D1993" s="17">
        <v>22991231</v>
      </c>
      <c r="E1993" s="25">
        <v>2637</v>
      </c>
    </row>
    <row r="1994" spans="1:5" x14ac:dyDescent="0.3">
      <c r="A1994" s="17" t="str">
        <f>"30465"</f>
        <v>30465</v>
      </c>
      <c r="B1994" s="5" t="s">
        <v>2151</v>
      </c>
      <c r="C1994" s="17">
        <v>20010101</v>
      </c>
      <c r="D1994" s="17">
        <v>22991231</v>
      </c>
      <c r="E1994" s="25">
        <v>2637</v>
      </c>
    </row>
    <row r="1995" spans="1:5" ht="26" x14ac:dyDescent="0.3">
      <c r="A1995" s="17" t="str">
        <f>"30468"</f>
        <v>30468</v>
      </c>
      <c r="B1995" s="5" t="s">
        <v>2152</v>
      </c>
      <c r="C1995" s="17">
        <v>20210101</v>
      </c>
      <c r="D1995" s="17">
        <v>22991231</v>
      </c>
      <c r="E1995" s="25">
        <v>3868.25</v>
      </c>
    </row>
    <row r="1996" spans="1:5" x14ac:dyDescent="0.3">
      <c r="A1996" s="17" t="str">
        <f>"30469"</f>
        <v>30469</v>
      </c>
      <c r="B1996" s="5" t="s">
        <v>2153</v>
      </c>
      <c r="C1996" s="17">
        <v>20230101</v>
      </c>
      <c r="D1996" s="17">
        <v>22991231</v>
      </c>
      <c r="E1996" s="25">
        <v>3321.03</v>
      </c>
    </row>
    <row r="1997" spans="1:5" x14ac:dyDescent="0.3">
      <c r="A1997" s="17" t="str">
        <f>"30520"</f>
        <v>30520</v>
      </c>
      <c r="B1997" s="5" t="s">
        <v>2154</v>
      </c>
      <c r="C1997" s="17">
        <v>19900101</v>
      </c>
      <c r="D1997" s="17">
        <v>22991231</v>
      </c>
      <c r="E1997" s="25">
        <v>1259.74</v>
      </c>
    </row>
    <row r="1998" spans="1:5" x14ac:dyDescent="0.3">
      <c r="A1998" s="17" t="str">
        <f>"30540"</f>
        <v>30540</v>
      </c>
      <c r="B1998" s="5" t="s">
        <v>2155</v>
      </c>
      <c r="C1998" s="17">
        <v>19900101</v>
      </c>
      <c r="D1998" s="17">
        <v>22991231</v>
      </c>
      <c r="E1998" s="25">
        <v>2637</v>
      </c>
    </row>
    <row r="1999" spans="1:5" x14ac:dyDescent="0.3">
      <c r="A1999" s="17" t="str">
        <f>"30545"</f>
        <v>30545</v>
      </c>
      <c r="B1999" s="5" t="s">
        <v>2156</v>
      </c>
      <c r="C1999" s="17">
        <v>19900101</v>
      </c>
      <c r="D1999" s="17">
        <v>22991231</v>
      </c>
      <c r="E1999" s="25">
        <v>2637</v>
      </c>
    </row>
    <row r="2000" spans="1:5" x14ac:dyDescent="0.3">
      <c r="A2000" s="17" t="str">
        <f>"30560"</f>
        <v>30560</v>
      </c>
      <c r="B2000" s="5" t="s">
        <v>2157</v>
      </c>
      <c r="C2000" s="17">
        <v>19900101</v>
      </c>
      <c r="D2000" s="17">
        <v>22991231</v>
      </c>
      <c r="E2000" s="25">
        <v>272.61</v>
      </c>
    </row>
    <row r="2001" spans="1:5" ht="26" x14ac:dyDescent="0.3">
      <c r="A2001" s="17" t="str">
        <f>"30580"</f>
        <v>30580</v>
      </c>
      <c r="B2001" s="5" t="s">
        <v>2158</v>
      </c>
      <c r="C2001" s="17">
        <v>19900101</v>
      </c>
      <c r="D2001" s="17">
        <v>22991231</v>
      </c>
      <c r="E2001" s="25">
        <v>2637</v>
      </c>
    </row>
    <row r="2002" spans="1:5" ht="26" x14ac:dyDescent="0.3">
      <c r="A2002" s="17" t="str">
        <f>"30600"</f>
        <v>30600</v>
      </c>
      <c r="B2002" s="5" t="s">
        <v>2159</v>
      </c>
      <c r="C2002" s="17">
        <v>19900101</v>
      </c>
      <c r="D2002" s="17">
        <v>22991231</v>
      </c>
      <c r="E2002" s="25">
        <v>2637</v>
      </c>
    </row>
    <row r="2003" spans="1:5" ht="26" x14ac:dyDescent="0.3">
      <c r="A2003" s="17" t="str">
        <f>"30620"</f>
        <v>30620</v>
      </c>
      <c r="B2003" s="5" t="s">
        <v>2160</v>
      </c>
      <c r="C2003" s="17">
        <v>19900101</v>
      </c>
      <c r="D2003" s="17">
        <v>22991231</v>
      </c>
      <c r="E2003" s="25">
        <v>2637</v>
      </c>
    </row>
    <row r="2004" spans="1:5" x14ac:dyDescent="0.3">
      <c r="A2004" s="17" t="str">
        <f>"30630"</f>
        <v>30630</v>
      </c>
      <c r="B2004" s="5" t="s">
        <v>2161</v>
      </c>
      <c r="C2004" s="17">
        <v>19900101</v>
      </c>
      <c r="D2004" s="17">
        <v>22991231</v>
      </c>
      <c r="E2004" s="25">
        <v>1259.74</v>
      </c>
    </row>
    <row r="2005" spans="1:5" x14ac:dyDescent="0.3">
      <c r="A2005" s="17" t="str">
        <f>"30801"</f>
        <v>30801</v>
      </c>
      <c r="B2005" s="5" t="s">
        <v>2162</v>
      </c>
      <c r="C2005" s="17">
        <v>19920115</v>
      </c>
      <c r="D2005" s="17">
        <v>22991231</v>
      </c>
      <c r="E2005" s="25">
        <v>636.91999999999996</v>
      </c>
    </row>
    <row r="2006" spans="1:5" ht="26" x14ac:dyDescent="0.3">
      <c r="A2006" s="17" t="str">
        <f>"30802"</f>
        <v>30802</v>
      </c>
      <c r="B2006" s="5" t="s">
        <v>2163</v>
      </c>
      <c r="C2006" s="17">
        <v>19920115</v>
      </c>
      <c r="D2006" s="17">
        <v>22991231</v>
      </c>
      <c r="E2006" s="25">
        <v>636.91999999999996</v>
      </c>
    </row>
    <row r="2007" spans="1:5" x14ac:dyDescent="0.3">
      <c r="A2007" s="17" t="str">
        <f>"30901"</f>
        <v>30901</v>
      </c>
      <c r="B2007" s="5" t="s">
        <v>2164</v>
      </c>
      <c r="C2007" s="17">
        <v>19900101</v>
      </c>
      <c r="D2007" s="17">
        <v>22991231</v>
      </c>
      <c r="E2007" s="25">
        <v>0</v>
      </c>
    </row>
    <row r="2008" spans="1:5" x14ac:dyDescent="0.3">
      <c r="A2008" s="17" t="str">
        <f>"30903"</f>
        <v>30903</v>
      </c>
      <c r="B2008" s="5" t="s">
        <v>2165</v>
      </c>
      <c r="C2008" s="17">
        <v>19900101</v>
      </c>
      <c r="D2008" s="17">
        <v>22991231</v>
      </c>
      <c r="E2008" s="25">
        <v>63.29</v>
      </c>
    </row>
    <row r="2009" spans="1:5" ht="26" x14ac:dyDescent="0.3">
      <c r="A2009" s="17" t="str">
        <f>"30905"</f>
        <v>30905</v>
      </c>
      <c r="B2009" s="5" t="s">
        <v>2166</v>
      </c>
      <c r="C2009" s="17">
        <v>19900101</v>
      </c>
      <c r="D2009" s="17">
        <v>22991231</v>
      </c>
      <c r="E2009" s="25">
        <v>63.29</v>
      </c>
    </row>
    <row r="2010" spans="1:5" ht="26" x14ac:dyDescent="0.3">
      <c r="A2010" s="17" t="str">
        <f>"30906"</f>
        <v>30906</v>
      </c>
      <c r="B2010" s="5" t="s">
        <v>2167</v>
      </c>
      <c r="C2010" s="17">
        <v>19900101</v>
      </c>
      <c r="D2010" s="17">
        <v>22991231</v>
      </c>
      <c r="E2010" s="25">
        <v>121.03</v>
      </c>
    </row>
    <row r="2011" spans="1:5" ht="26" x14ac:dyDescent="0.3">
      <c r="A2011" s="17" t="str">
        <f>"30915"</f>
        <v>30915</v>
      </c>
      <c r="B2011" s="5" t="s">
        <v>2168</v>
      </c>
      <c r="C2011" s="17">
        <v>19900101</v>
      </c>
      <c r="D2011" s="17">
        <v>22991231</v>
      </c>
      <c r="E2011" s="25">
        <v>1478.57</v>
      </c>
    </row>
    <row r="2012" spans="1:5" ht="26" x14ac:dyDescent="0.3">
      <c r="A2012" s="17" t="str">
        <f>"30920"</f>
        <v>30920</v>
      </c>
      <c r="B2012" s="5" t="s">
        <v>2169</v>
      </c>
      <c r="C2012" s="17">
        <v>19900101</v>
      </c>
      <c r="D2012" s="17">
        <v>22991231</v>
      </c>
      <c r="E2012" s="25">
        <v>1478.57</v>
      </c>
    </row>
    <row r="2013" spans="1:5" x14ac:dyDescent="0.3">
      <c r="A2013" s="17" t="str">
        <f>"30930"</f>
        <v>30930</v>
      </c>
      <c r="B2013" s="5" t="s">
        <v>2170</v>
      </c>
      <c r="C2013" s="17">
        <v>19900101</v>
      </c>
      <c r="D2013" s="17">
        <v>22991231</v>
      </c>
      <c r="E2013" s="25">
        <v>1259.74</v>
      </c>
    </row>
    <row r="2014" spans="1:5" x14ac:dyDescent="0.3">
      <c r="A2014" s="17" t="str">
        <f>"30999"</f>
        <v>30999</v>
      </c>
      <c r="B2014" s="5" t="s">
        <v>2171</v>
      </c>
      <c r="C2014" s="17">
        <v>19900101</v>
      </c>
      <c r="D2014" s="17">
        <v>22991231</v>
      </c>
      <c r="E2014" s="24" t="s">
        <v>7128</v>
      </c>
    </row>
    <row r="2015" spans="1:5" x14ac:dyDescent="0.3">
      <c r="A2015" s="17" t="str">
        <f>"31000"</f>
        <v>31000</v>
      </c>
      <c r="B2015" s="5" t="s">
        <v>2172</v>
      </c>
      <c r="C2015" s="17">
        <v>19900101</v>
      </c>
      <c r="D2015" s="17">
        <v>22991231</v>
      </c>
      <c r="E2015" s="25">
        <v>121.03</v>
      </c>
    </row>
    <row r="2016" spans="1:5" x14ac:dyDescent="0.3">
      <c r="A2016" s="17" t="str">
        <f>"31002"</f>
        <v>31002</v>
      </c>
      <c r="B2016" s="5" t="s">
        <v>2173</v>
      </c>
      <c r="C2016" s="17">
        <v>19900101</v>
      </c>
      <c r="D2016" s="17">
        <v>22991231</v>
      </c>
      <c r="E2016" s="25">
        <v>636.91999999999996</v>
      </c>
    </row>
    <row r="2017" spans="1:5" x14ac:dyDescent="0.3">
      <c r="A2017" s="17" t="str">
        <f>"31020"</f>
        <v>31020</v>
      </c>
      <c r="B2017" s="5" t="s">
        <v>2174</v>
      </c>
      <c r="C2017" s="17">
        <v>19900101</v>
      </c>
      <c r="D2017" s="17">
        <v>22991231</v>
      </c>
      <c r="E2017" s="25">
        <v>1259.74</v>
      </c>
    </row>
    <row r="2018" spans="1:5" x14ac:dyDescent="0.3">
      <c r="A2018" s="17" t="str">
        <f>"31030"</f>
        <v>31030</v>
      </c>
      <c r="B2018" s="5" t="s">
        <v>2175</v>
      </c>
      <c r="C2018" s="17">
        <v>19900101</v>
      </c>
      <c r="D2018" s="17">
        <v>22991231</v>
      </c>
      <c r="E2018" s="25">
        <v>2637</v>
      </c>
    </row>
    <row r="2019" spans="1:5" x14ac:dyDescent="0.3">
      <c r="A2019" s="17" t="str">
        <f>"31032"</f>
        <v>31032</v>
      </c>
      <c r="B2019" s="5" t="s">
        <v>2176</v>
      </c>
      <c r="C2019" s="17">
        <v>19900101</v>
      </c>
      <c r="D2019" s="17">
        <v>22991231</v>
      </c>
      <c r="E2019" s="25">
        <v>2637</v>
      </c>
    </row>
    <row r="2020" spans="1:5" ht="26" x14ac:dyDescent="0.3">
      <c r="A2020" s="17" t="str">
        <f>"31040"</f>
        <v>31040</v>
      </c>
      <c r="B2020" s="5" t="s">
        <v>2177</v>
      </c>
      <c r="C2020" s="17">
        <v>19900101</v>
      </c>
      <c r="D2020" s="17">
        <v>22991231</v>
      </c>
      <c r="E2020" s="25">
        <v>2637</v>
      </c>
    </row>
    <row r="2021" spans="1:5" x14ac:dyDescent="0.3">
      <c r="A2021" s="17" t="str">
        <f>"31050"</f>
        <v>31050</v>
      </c>
      <c r="B2021" s="5" t="s">
        <v>2178</v>
      </c>
      <c r="C2021" s="17">
        <v>19900101</v>
      </c>
      <c r="D2021" s="17">
        <v>22991231</v>
      </c>
      <c r="E2021" s="25">
        <v>2637</v>
      </c>
    </row>
    <row r="2022" spans="1:5" x14ac:dyDescent="0.3">
      <c r="A2022" s="17" t="str">
        <f>"31051"</f>
        <v>31051</v>
      </c>
      <c r="B2022" s="5" t="s">
        <v>2179</v>
      </c>
      <c r="C2022" s="17">
        <v>19900101</v>
      </c>
      <c r="D2022" s="17">
        <v>22991231</v>
      </c>
      <c r="E2022" s="25">
        <v>2637</v>
      </c>
    </row>
    <row r="2023" spans="1:5" x14ac:dyDescent="0.3">
      <c r="A2023" s="17" t="str">
        <f>"31070"</f>
        <v>31070</v>
      </c>
      <c r="B2023" s="5" t="s">
        <v>2180</v>
      </c>
      <c r="C2023" s="17">
        <v>19900101</v>
      </c>
      <c r="D2023" s="17">
        <v>22991231</v>
      </c>
      <c r="E2023" s="25">
        <v>2637</v>
      </c>
    </row>
    <row r="2024" spans="1:5" x14ac:dyDescent="0.3">
      <c r="A2024" s="17" t="str">
        <f>"31075"</f>
        <v>31075</v>
      </c>
      <c r="B2024" s="5" t="s">
        <v>2181</v>
      </c>
      <c r="C2024" s="17">
        <v>19900101</v>
      </c>
      <c r="D2024" s="17">
        <v>22991231</v>
      </c>
      <c r="E2024" s="25">
        <v>2637</v>
      </c>
    </row>
    <row r="2025" spans="1:5" ht="26" x14ac:dyDescent="0.3">
      <c r="A2025" s="17" t="str">
        <f>"31080"</f>
        <v>31080</v>
      </c>
      <c r="B2025" s="5" t="s">
        <v>2182</v>
      </c>
      <c r="C2025" s="17">
        <v>19900101</v>
      </c>
      <c r="D2025" s="17">
        <v>22991231</v>
      </c>
      <c r="E2025" s="25">
        <v>2637</v>
      </c>
    </row>
    <row r="2026" spans="1:5" ht="26" x14ac:dyDescent="0.3">
      <c r="A2026" s="17" t="str">
        <f>"31081"</f>
        <v>31081</v>
      </c>
      <c r="B2026" s="5" t="s">
        <v>2183</v>
      </c>
      <c r="C2026" s="17">
        <v>19900101</v>
      </c>
      <c r="D2026" s="17">
        <v>22991231</v>
      </c>
      <c r="E2026" s="25">
        <v>2637</v>
      </c>
    </row>
    <row r="2027" spans="1:5" ht="26" x14ac:dyDescent="0.3">
      <c r="A2027" s="17" t="str">
        <f>"31084"</f>
        <v>31084</v>
      </c>
      <c r="B2027" s="5" t="s">
        <v>2184</v>
      </c>
      <c r="C2027" s="17">
        <v>19900101</v>
      </c>
      <c r="D2027" s="17">
        <v>22991231</v>
      </c>
      <c r="E2027" s="25">
        <v>2637</v>
      </c>
    </row>
    <row r="2028" spans="1:5" ht="26" x14ac:dyDescent="0.3">
      <c r="A2028" s="17" t="str">
        <f>"31085"</f>
        <v>31085</v>
      </c>
      <c r="B2028" s="5" t="s">
        <v>2185</v>
      </c>
      <c r="C2028" s="17">
        <v>19900101</v>
      </c>
      <c r="D2028" s="17">
        <v>22991231</v>
      </c>
      <c r="E2028" s="25">
        <v>3409.95</v>
      </c>
    </row>
    <row r="2029" spans="1:5" ht="26" x14ac:dyDescent="0.3">
      <c r="A2029" s="17" t="str">
        <f>"31086"</f>
        <v>31086</v>
      </c>
      <c r="B2029" s="5" t="s">
        <v>2186</v>
      </c>
      <c r="C2029" s="17">
        <v>19900101</v>
      </c>
      <c r="D2029" s="17">
        <v>22991231</v>
      </c>
      <c r="E2029" s="25">
        <v>2637</v>
      </c>
    </row>
    <row r="2030" spans="1:5" ht="26" x14ac:dyDescent="0.3">
      <c r="A2030" s="17" t="str">
        <f>"31087"</f>
        <v>31087</v>
      </c>
      <c r="B2030" s="5" t="s">
        <v>2187</v>
      </c>
      <c r="C2030" s="17">
        <v>19900101</v>
      </c>
      <c r="D2030" s="17">
        <v>22991231</v>
      </c>
      <c r="E2030" s="25">
        <v>2637</v>
      </c>
    </row>
    <row r="2031" spans="1:5" ht="26" x14ac:dyDescent="0.3">
      <c r="A2031" s="17" t="str">
        <f>"31090"</f>
        <v>31090</v>
      </c>
      <c r="B2031" s="5" t="s">
        <v>2188</v>
      </c>
      <c r="C2031" s="17">
        <v>19900101</v>
      </c>
      <c r="D2031" s="17">
        <v>22991231</v>
      </c>
      <c r="E2031" s="25">
        <v>2637</v>
      </c>
    </row>
    <row r="2032" spans="1:5" x14ac:dyDescent="0.3">
      <c r="A2032" s="17" t="str">
        <f>"31200"</f>
        <v>31200</v>
      </c>
      <c r="B2032" s="5" t="s">
        <v>2189</v>
      </c>
      <c r="C2032" s="17">
        <v>19900101</v>
      </c>
      <c r="D2032" s="17">
        <v>22991231</v>
      </c>
      <c r="E2032" s="25">
        <v>2637</v>
      </c>
    </row>
    <row r="2033" spans="1:5" ht="26" x14ac:dyDescent="0.3">
      <c r="A2033" s="17" t="str">
        <f>"31201"</f>
        <v>31201</v>
      </c>
      <c r="B2033" s="5" t="s">
        <v>2190</v>
      </c>
      <c r="C2033" s="17">
        <v>19900101</v>
      </c>
      <c r="D2033" s="17">
        <v>22991231</v>
      </c>
      <c r="E2033" s="25">
        <v>636.91999999999996</v>
      </c>
    </row>
    <row r="2034" spans="1:5" ht="26" x14ac:dyDescent="0.3">
      <c r="A2034" s="17" t="str">
        <f>"31205"</f>
        <v>31205</v>
      </c>
      <c r="B2034" s="5" t="s">
        <v>2191</v>
      </c>
      <c r="C2034" s="17">
        <v>19900101</v>
      </c>
      <c r="D2034" s="17">
        <v>22991231</v>
      </c>
      <c r="E2034" s="25">
        <v>1259.74</v>
      </c>
    </row>
    <row r="2035" spans="1:5" x14ac:dyDescent="0.3">
      <c r="A2035" s="17" t="str">
        <f>"31225"</f>
        <v>31225</v>
      </c>
      <c r="B2035" s="5" t="s">
        <v>2192</v>
      </c>
      <c r="C2035" s="17">
        <v>19900101</v>
      </c>
      <c r="D2035" s="17">
        <v>22991231</v>
      </c>
      <c r="E2035" s="24" t="s">
        <v>7128</v>
      </c>
    </row>
    <row r="2036" spans="1:5" ht="26" x14ac:dyDescent="0.3">
      <c r="A2036" s="17" t="str">
        <f>"31231"</f>
        <v>31231</v>
      </c>
      <c r="B2036" s="5" t="s">
        <v>2193</v>
      </c>
      <c r="C2036" s="17">
        <v>19940101</v>
      </c>
      <c r="D2036" s="17">
        <v>22991231</v>
      </c>
      <c r="E2036" s="25">
        <v>98.14</v>
      </c>
    </row>
    <row r="2037" spans="1:5" ht="26" x14ac:dyDescent="0.3">
      <c r="A2037" s="17" t="str">
        <f>"31233"</f>
        <v>31233</v>
      </c>
      <c r="B2037" s="5" t="s">
        <v>2194</v>
      </c>
      <c r="C2037" s="17">
        <v>19940101</v>
      </c>
      <c r="D2037" s="17">
        <v>22991231</v>
      </c>
      <c r="E2037" s="25">
        <v>202.31</v>
      </c>
    </row>
    <row r="2038" spans="1:5" ht="26" x14ac:dyDescent="0.3">
      <c r="A2038" s="17" t="str">
        <f>"31235"</f>
        <v>31235</v>
      </c>
      <c r="B2038" s="5" t="s">
        <v>2195</v>
      </c>
      <c r="C2038" s="17">
        <v>19940101</v>
      </c>
      <c r="D2038" s="17">
        <v>22991231</v>
      </c>
      <c r="E2038" s="25">
        <v>723.17</v>
      </c>
    </row>
    <row r="2039" spans="1:5" ht="26" x14ac:dyDescent="0.3">
      <c r="A2039" s="17" t="str">
        <f>"31237"</f>
        <v>31237</v>
      </c>
      <c r="B2039" s="5" t="s">
        <v>2196</v>
      </c>
      <c r="C2039" s="17">
        <v>19940101</v>
      </c>
      <c r="D2039" s="17">
        <v>22991231</v>
      </c>
      <c r="E2039" s="25">
        <v>723.17</v>
      </c>
    </row>
    <row r="2040" spans="1:5" x14ac:dyDescent="0.3">
      <c r="A2040" s="17" t="str">
        <f>"31238"</f>
        <v>31238</v>
      </c>
      <c r="B2040" s="5" t="s">
        <v>2197</v>
      </c>
      <c r="C2040" s="17">
        <v>19940101</v>
      </c>
      <c r="D2040" s="17">
        <v>22991231</v>
      </c>
      <c r="E2040" s="25">
        <v>723.17</v>
      </c>
    </row>
    <row r="2041" spans="1:5" x14ac:dyDescent="0.3">
      <c r="A2041" s="17" t="str">
        <f>"31239"</f>
        <v>31239</v>
      </c>
      <c r="B2041" s="5" t="s">
        <v>2198</v>
      </c>
      <c r="C2041" s="17">
        <v>19940101</v>
      </c>
      <c r="D2041" s="17">
        <v>22991231</v>
      </c>
      <c r="E2041" s="25">
        <v>1496.36</v>
      </c>
    </row>
    <row r="2042" spans="1:5" ht="26" x14ac:dyDescent="0.3">
      <c r="A2042" s="17" t="str">
        <f>"31240"</f>
        <v>31240</v>
      </c>
      <c r="B2042" s="5" t="s">
        <v>2199</v>
      </c>
      <c r="C2042" s="17">
        <v>19940101</v>
      </c>
      <c r="D2042" s="17">
        <v>22991231</v>
      </c>
      <c r="E2042" s="25">
        <v>723.17</v>
      </c>
    </row>
    <row r="2043" spans="1:5" ht="26" x14ac:dyDescent="0.3">
      <c r="A2043" s="17" t="str">
        <f>"31241"</f>
        <v>31241</v>
      </c>
      <c r="B2043" s="5" t="s">
        <v>2200</v>
      </c>
      <c r="C2043" s="17">
        <v>20180101</v>
      </c>
      <c r="D2043" s="17">
        <v>22991231</v>
      </c>
      <c r="E2043" s="24" t="s">
        <v>7128</v>
      </c>
    </row>
    <row r="2044" spans="1:5" ht="26" x14ac:dyDescent="0.3">
      <c r="A2044" s="17" t="str">
        <f>"31242"</f>
        <v>31242</v>
      </c>
      <c r="B2044" s="5" t="s">
        <v>2201</v>
      </c>
      <c r="C2044" s="17">
        <v>20240101</v>
      </c>
      <c r="D2044" s="17">
        <v>22991231</v>
      </c>
      <c r="E2044" s="25">
        <v>3321.03</v>
      </c>
    </row>
    <row r="2045" spans="1:5" ht="26" x14ac:dyDescent="0.3">
      <c r="A2045" s="17" t="str">
        <f>"31243"</f>
        <v>31243</v>
      </c>
      <c r="B2045" s="5" t="s">
        <v>2202</v>
      </c>
      <c r="C2045" s="17">
        <v>20240101</v>
      </c>
      <c r="D2045" s="17">
        <v>22991231</v>
      </c>
      <c r="E2045" s="25">
        <v>3506.59</v>
      </c>
    </row>
    <row r="2046" spans="1:5" ht="26" x14ac:dyDescent="0.3">
      <c r="A2046" s="17" t="str">
        <f>"31253"</f>
        <v>31253</v>
      </c>
      <c r="B2046" s="5" t="s">
        <v>2203</v>
      </c>
      <c r="C2046" s="17">
        <v>20180101</v>
      </c>
      <c r="D2046" s="17">
        <v>22991231</v>
      </c>
      <c r="E2046" s="25">
        <v>2197.87</v>
      </c>
    </row>
    <row r="2047" spans="1:5" ht="26" x14ac:dyDescent="0.3">
      <c r="A2047" s="17" t="str">
        <f>"31254"</f>
        <v>31254</v>
      </c>
      <c r="B2047" s="5" t="s">
        <v>2204</v>
      </c>
      <c r="C2047" s="17">
        <v>19900101</v>
      </c>
      <c r="D2047" s="17">
        <v>22991231</v>
      </c>
      <c r="E2047" s="25">
        <v>2197.87</v>
      </c>
    </row>
    <row r="2048" spans="1:5" x14ac:dyDescent="0.3">
      <c r="A2048" s="17" t="str">
        <f>"31255"</f>
        <v>31255</v>
      </c>
      <c r="B2048" s="5" t="s">
        <v>2205</v>
      </c>
      <c r="C2048" s="17">
        <v>19900101</v>
      </c>
      <c r="D2048" s="17">
        <v>22991231</v>
      </c>
      <c r="E2048" s="25">
        <v>2197.87</v>
      </c>
    </row>
    <row r="2049" spans="1:5" x14ac:dyDescent="0.3">
      <c r="A2049" s="17" t="str">
        <f>"31256"</f>
        <v>31256</v>
      </c>
      <c r="B2049" s="5" t="s">
        <v>2206</v>
      </c>
      <c r="C2049" s="17">
        <v>19900101</v>
      </c>
      <c r="D2049" s="17">
        <v>22991231</v>
      </c>
      <c r="E2049" s="25">
        <v>1496.36</v>
      </c>
    </row>
    <row r="2050" spans="1:5" ht="26" x14ac:dyDescent="0.3">
      <c r="A2050" s="17" t="str">
        <f>"31257"</f>
        <v>31257</v>
      </c>
      <c r="B2050" s="5" t="s">
        <v>2207</v>
      </c>
      <c r="C2050" s="17">
        <v>20180101</v>
      </c>
      <c r="D2050" s="17">
        <v>22991231</v>
      </c>
      <c r="E2050" s="25">
        <v>2197.87</v>
      </c>
    </row>
    <row r="2051" spans="1:5" ht="26" x14ac:dyDescent="0.3">
      <c r="A2051" s="17" t="str">
        <f>"31259"</f>
        <v>31259</v>
      </c>
      <c r="B2051" s="5" t="s">
        <v>2208</v>
      </c>
      <c r="C2051" s="17">
        <v>20180101</v>
      </c>
      <c r="D2051" s="17">
        <v>22991231</v>
      </c>
      <c r="E2051" s="25">
        <v>2197.87</v>
      </c>
    </row>
    <row r="2052" spans="1:5" ht="26" x14ac:dyDescent="0.3">
      <c r="A2052" s="17" t="str">
        <f>"31267"</f>
        <v>31267</v>
      </c>
      <c r="B2052" s="5" t="s">
        <v>2209</v>
      </c>
      <c r="C2052" s="17">
        <v>19900101</v>
      </c>
      <c r="D2052" s="17">
        <v>22991231</v>
      </c>
      <c r="E2052" s="25">
        <v>2197.87</v>
      </c>
    </row>
    <row r="2053" spans="1:5" x14ac:dyDescent="0.3">
      <c r="A2053" s="17" t="str">
        <f>"31276"</f>
        <v>31276</v>
      </c>
      <c r="B2053" s="5" t="s">
        <v>2210</v>
      </c>
      <c r="C2053" s="17">
        <v>19940101</v>
      </c>
      <c r="D2053" s="17">
        <v>22991231</v>
      </c>
      <c r="E2053" s="25">
        <v>2197.87</v>
      </c>
    </row>
    <row r="2054" spans="1:5" ht="26" x14ac:dyDescent="0.3">
      <c r="A2054" s="17" t="str">
        <f>"31287"</f>
        <v>31287</v>
      </c>
      <c r="B2054" s="5" t="s">
        <v>2211</v>
      </c>
      <c r="C2054" s="17">
        <v>19940101</v>
      </c>
      <c r="D2054" s="17">
        <v>22991231</v>
      </c>
      <c r="E2054" s="25">
        <v>2197.87</v>
      </c>
    </row>
    <row r="2055" spans="1:5" ht="26" x14ac:dyDescent="0.3">
      <c r="A2055" s="17" t="str">
        <f>"31288"</f>
        <v>31288</v>
      </c>
      <c r="B2055" s="5" t="s">
        <v>2212</v>
      </c>
      <c r="C2055" s="17">
        <v>19940101</v>
      </c>
      <c r="D2055" s="17">
        <v>22991231</v>
      </c>
      <c r="E2055" s="25">
        <v>2197.87</v>
      </c>
    </row>
    <row r="2056" spans="1:5" ht="26" x14ac:dyDescent="0.3">
      <c r="A2056" s="17" t="str">
        <f>"31292"</f>
        <v>31292</v>
      </c>
      <c r="B2056" s="5" t="s">
        <v>2213</v>
      </c>
      <c r="C2056" s="17">
        <v>19940101</v>
      </c>
      <c r="D2056" s="17">
        <v>22991231</v>
      </c>
      <c r="E2056" s="24" t="s">
        <v>7128</v>
      </c>
    </row>
    <row r="2057" spans="1:5" ht="26" x14ac:dyDescent="0.3">
      <c r="A2057" s="17" t="str">
        <f>"31293"</f>
        <v>31293</v>
      </c>
      <c r="B2057" s="5" t="s">
        <v>2214</v>
      </c>
      <c r="C2057" s="17">
        <v>19940101</v>
      </c>
      <c r="D2057" s="17">
        <v>22991231</v>
      </c>
      <c r="E2057" s="24" t="s">
        <v>7128</v>
      </c>
    </row>
    <row r="2058" spans="1:5" ht="26" x14ac:dyDescent="0.3">
      <c r="A2058" s="17" t="str">
        <f>"31294"</f>
        <v>31294</v>
      </c>
      <c r="B2058" s="5" t="s">
        <v>2215</v>
      </c>
      <c r="C2058" s="17">
        <v>19940101</v>
      </c>
      <c r="D2058" s="17">
        <v>22991231</v>
      </c>
      <c r="E2058" s="24" t="s">
        <v>7128</v>
      </c>
    </row>
    <row r="2059" spans="1:5" x14ac:dyDescent="0.3">
      <c r="A2059" s="17" t="str">
        <f>"31295"</f>
        <v>31295</v>
      </c>
      <c r="B2059" s="5" t="s">
        <v>2216</v>
      </c>
      <c r="C2059" s="17">
        <v>20110101</v>
      </c>
      <c r="D2059" s="17">
        <v>22991231</v>
      </c>
      <c r="E2059" s="25">
        <v>2797.3</v>
      </c>
    </row>
    <row r="2060" spans="1:5" ht="26" x14ac:dyDescent="0.3">
      <c r="A2060" s="17" t="str">
        <f>"31296"</f>
        <v>31296</v>
      </c>
      <c r="B2060" s="5" t="s">
        <v>2217</v>
      </c>
      <c r="C2060" s="17">
        <v>20110101</v>
      </c>
      <c r="D2060" s="17">
        <v>22991231</v>
      </c>
      <c r="E2060" s="25">
        <v>1454.32</v>
      </c>
    </row>
    <row r="2061" spans="1:5" ht="26" x14ac:dyDescent="0.3">
      <c r="A2061" s="17" t="str">
        <f>"31297"</f>
        <v>31297</v>
      </c>
      <c r="B2061" s="5" t="s">
        <v>2218</v>
      </c>
      <c r="C2061" s="17">
        <v>20110101</v>
      </c>
      <c r="D2061" s="17">
        <v>22991231</v>
      </c>
      <c r="E2061" s="25">
        <v>1440.56</v>
      </c>
    </row>
    <row r="2062" spans="1:5" ht="26" x14ac:dyDescent="0.3">
      <c r="A2062" s="17" t="str">
        <f>"31298"</f>
        <v>31298</v>
      </c>
      <c r="B2062" s="5" t="s">
        <v>2219</v>
      </c>
      <c r="C2062" s="17">
        <v>20180101</v>
      </c>
      <c r="D2062" s="17">
        <v>22991231</v>
      </c>
      <c r="E2062" s="25">
        <v>2197.87</v>
      </c>
    </row>
    <row r="2063" spans="1:5" ht="26" x14ac:dyDescent="0.3">
      <c r="A2063" s="17" t="str">
        <f>"31300"</f>
        <v>31300</v>
      </c>
      <c r="B2063" s="5" t="s">
        <v>2220</v>
      </c>
      <c r="C2063" s="17">
        <v>19900101</v>
      </c>
      <c r="D2063" s="17">
        <v>22991231</v>
      </c>
      <c r="E2063" s="25">
        <v>1259.74</v>
      </c>
    </row>
    <row r="2064" spans="1:5" x14ac:dyDescent="0.3">
      <c r="A2064" s="17" t="str">
        <f>"31400"</f>
        <v>31400</v>
      </c>
      <c r="B2064" s="5" t="s">
        <v>2221</v>
      </c>
      <c r="C2064" s="17">
        <v>19900101</v>
      </c>
      <c r="D2064" s="17">
        <v>22991231</v>
      </c>
      <c r="E2064" s="25">
        <v>2637</v>
      </c>
    </row>
    <row r="2065" spans="1:5" x14ac:dyDescent="0.3">
      <c r="A2065" s="17" t="str">
        <f>"31420"</f>
        <v>31420</v>
      </c>
      <c r="B2065" s="5" t="s">
        <v>2222</v>
      </c>
      <c r="C2065" s="17">
        <v>19900101</v>
      </c>
      <c r="D2065" s="17">
        <v>22991231</v>
      </c>
      <c r="E2065" s="25">
        <v>2637</v>
      </c>
    </row>
    <row r="2066" spans="1:5" ht="26" x14ac:dyDescent="0.3">
      <c r="A2066" s="17" t="str">
        <f>"31500"</f>
        <v>31500</v>
      </c>
      <c r="B2066" s="5" t="s">
        <v>2223</v>
      </c>
      <c r="C2066" s="17">
        <v>19900101</v>
      </c>
      <c r="D2066" s="17">
        <v>22991231</v>
      </c>
      <c r="E2066" s="25">
        <v>121.03</v>
      </c>
    </row>
    <row r="2067" spans="1:5" x14ac:dyDescent="0.3">
      <c r="A2067" s="17" t="str">
        <f>"31502"</f>
        <v>31502</v>
      </c>
      <c r="B2067" s="5" t="s">
        <v>2224</v>
      </c>
      <c r="C2067" s="17">
        <v>19910401</v>
      </c>
      <c r="D2067" s="17">
        <v>22991231</v>
      </c>
      <c r="E2067" s="25">
        <v>121.03</v>
      </c>
    </row>
    <row r="2068" spans="1:5" ht="26" x14ac:dyDescent="0.3">
      <c r="A2068" s="17" t="str">
        <f>"31505"</f>
        <v>31505</v>
      </c>
      <c r="B2068" s="5" t="s">
        <v>2225</v>
      </c>
      <c r="C2068" s="17">
        <v>19900101</v>
      </c>
      <c r="D2068" s="17">
        <v>22991231</v>
      </c>
      <c r="E2068" s="25">
        <v>62.87</v>
      </c>
    </row>
    <row r="2069" spans="1:5" ht="26" x14ac:dyDescent="0.3">
      <c r="A2069" s="17" t="str">
        <f>"31510"</f>
        <v>31510</v>
      </c>
      <c r="B2069" s="5" t="s">
        <v>2226</v>
      </c>
      <c r="C2069" s="17">
        <v>19900101</v>
      </c>
      <c r="D2069" s="17">
        <v>22991231</v>
      </c>
      <c r="E2069" s="25">
        <v>1496.36</v>
      </c>
    </row>
    <row r="2070" spans="1:5" ht="26" x14ac:dyDescent="0.3">
      <c r="A2070" s="17" t="str">
        <f>"31511"</f>
        <v>31511</v>
      </c>
      <c r="B2070" s="5" t="s">
        <v>2227</v>
      </c>
      <c r="C2070" s="17">
        <v>19900101</v>
      </c>
      <c r="D2070" s="17">
        <v>22991231</v>
      </c>
      <c r="E2070" s="25">
        <v>98.14</v>
      </c>
    </row>
    <row r="2071" spans="1:5" ht="26" x14ac:dyDescent="0.3">
      <c r="A2071" s="17" t="str">
        <f>"31512"</f>
        <v>31512</v>
      </c>
      <c r="B2071" s="5" t="s">
        <v>2228</v>
      </c>
      <c r="C2071" s="17">
        <v>19900101</v>
      </c>
      <c r="D2071" s="17">
        <v>22991231</v>
      </c>
      <c r="E2071" s="25">
        <v>1496.36</v>
      </c>
    </row>
    <row r="2072" spans="1:5" ht="26" x14ac:dyDescent="0.3">
      <c r="A2072" s="17" t="str">
        <f>"31513"</f>
        <v>31513</v>
      </c>
      <c r="B2072" s="5" t="s">
        <v>2229</v>
      </c>
      <c r="C2072" s="17">
        <v>19900101</v>
      </c>
      <c r="D2072" s="17">
        <v>22991231</v>
      </c>
      <c r="E2072" s="25">
        <v>202.31</v>
      </c>
    </row>
    <row r="2073" spans="1:5" x14ac:dyDescent="0.3">
      <c r="A2073" s="17" t="str">
        <f>"31515"</f>
        <v>31515</v>
      </c>
      <c r="B2073" s="5" t="s">
        <v>2230</v>
      </c>
      <c r="C2073" s="17">
        <v>19900101</v>
      </c>
      <c r="D2073" s="17">
        <v>22991231</v>
      </c>
      <c r="E2073" s="25">
        <v>202.31</v>
      </c>
    </row>
    <row r="2074" spans="1:5" ht="26" x14ac:dyDescent="0.3">
      <c r="A2074" s="17" t="str">
        <f>"31520"</f>
        <v>31520</v>
      </c>
      <c r="B2074" s="5" t="s">
        <v>2231</v>
      </c>
      <c r="C2074" s="17">
        <v>19900101</v>
      </c>
      <c r="D2074" s="17">
        <v>22991231</v>
      </c>
      <c r="E2074" s="25">
        <v>202.31</v>
      </c>
    </row>
    <row r="2075" spans="1:5" ht="26" x14ac:dyDescent="0.3">
      <c r="A2075" s="17" t="str">
        <f>"31525"</f>
        <v>31525</v>
      </c>
      <c r="B2075" s="5" t="s">
        <v>2232</v>
      </c>
      <c r="C2075" s="17">
        <v>19900101</v>
      </c>
      <c r="D2075" s="17">
        <v>22991231</v>
      </c>
      <c r="E2075" s="25">
        <v>723.17</v>
      </c>
    </row>
    <row r="2076" spans="1:5" ht="39" x14ac:dyDescent="0.3">
      <c r="A2076" s="17" t="str">
        <f>"31526"</f>
        <v>31526</v>
      </c>
      <c r="B2076" s="5" t="s">
        <v>2233</v>
      </c>
      <c r="C2076" s="17">
        <v>19900101</v>
      </c>
      <c r="D2076" s="17">
        <v>22991231</v>
      </c>
      <c r="E2076" s="25">
        <v>723.17</v>
      </c>
    </row>
    <row r="2077" spans="1:5" ht="26" x14ac:dyDescent="0.3">
      <c r="A2077" s="17" t="str">
        <f>"31527"</f>
        <v>31527</v>
      </c>
      <c r="B2077" s="5" t="s">
        <v>2234</v>
      </c>
      <c r="C2077" s="17">
        <v>19900101</v>
      </c>
      <c r="D2077" s="17">
        <v>22991231</v>
      </c>
      <c r="E2077" s="25">
        <v>1496.36</v>
      </c>
    </row>
    <row r="2078" spans="1:5" x14ac:dyDescent="0.3">
      <c r="A2078" s="17" t="str">
        <f>"31528"</f>
        <v>31528</v>
      </c>
      <c r="B2078" s="5" t="s">
        <v>2235</v>
      </c>
      <c r="C2078" s="17">
        <v>19900101</v>
      </c>
      <c r="D2078" s="17">
        <v>22991231</v>
      </c>
      <c r="E2078" s="25">
        <v>1496.36</v>
      </c>
    </row>
    <row r="2079" spans="1:5" ht="26" x14ac:dyDescent="0.3">
      <c r="A2079" s="17" t="str">
        <f>"31529"</f>
        <v>31529</v>
      </c>
      <c r="B2079" s="5" t="s">
        <v>2236</v>
      </c>
      <c r="C2079" s="17">
        <v>19900101</v>
      </c>
      <c r="D2079" s="17">
        <v>22991231</v>
      </c>
      <c r="E2079" s="25">
        <v>1496.36</v>
      </c>
    </row>
    <row r="2080" spans="1:5" ht="26" x14ac:dyDescent="0.3">
      <c r="A2080" s="17" t="str">
        <f>"31530"</f>
        <v>31530</v>
      </c>
      <c r="B2080" s="5" t="s">
        <v>2237</v>
      </c>
      <c r="C2080" s="17">
        <v>19900101</v>
      </c>
      <c r="D2080" s="17">
        <v>22991231</v>
      </c>
      <c r="E2080" s="25">
        <v>723.17</v>
      </c>
    </row>
    <row r="2081" spans="1:5" ht="39" x14ac:dyDescent="0.3">
      <c r="A2081" s="17" t="str">
        <f>"31531"</f>
        <v>31531</v>
      </c>
      <c r="B2081" s="5" t="s">
        <v>2238</v>
      </c>
      <c r="C2081" s="17">
        <v>19900101</v>
      </c>
      <c r="D2081" s="17">
        <v>22991231</v>
      </c>
      <c r="E2081" s="25">
        <v>1496.36</v>
      </c>
    </row>
    <row r="2082" spans="1:5" x14ac:dyDescent="0.3">
      <c r="A2082" s="17" t="str">
        <f>"31535"</f>
        <v>31535</v>
      </c>
      <c r="B2082" s="5" t="s">
        <v>2239</v>
      </c>
      <c r="C2082" s="17">
        <v>19900101</v>
      </c>
      <c r="D2082" s="17">
        <v>22991231</v>
      </c>
      <c r="E2082" s="25">
        <v>1496.36</v>
      </c>
    </row>
    <row r="2083" spans="1:5" ht="26" x14ac:dyDescent="0.3">
      <c r="A2083" s="17" t="str">
        <f>"31536"</f>
        <v>31536</v>
      </c>
      <c r="B2083" s="5" t="s">
        <v>2240</v>
      </c>
      <c r="C2083" s="17">
        <v>19900101</v>
      </c>
      <c r="D2083" s="17">
        <v>22991231</v>
      </c>
      <c r="E2083" s="25">
        <v>1496.36</v>
      </c>
    </row>
    <row r="2084" spans="1:5" ht="26" x14ac:dyDescent="0.3">
      <c r="A2084" s="17" t="str">
        <f>"31540"</f>
        <v>31540</v>
      </c>
      <c r="B2084" s="5" t="s">
        <v>2241</v>
      </c>
      <c r="C2084" s="17">
        <v>19900101</v>
      </c>
      <c r="D2084" s="17">
        <v>22991231</v>
      </c>
      <c r="E2084" s="25">
        <v>1496.36</v>
      </c>
    </row>
    <row r="2085" spans="1:5" ht="39" x14ac:dyDescent="0.3">
      <c r="A2085" s="17" t="str">
        <f>"31541"</f>
        <v>31541</v>
      </c>
      <c r="B2085" s="5" t="s">
        <v>2242</v>
      </c>
      <c r="C2085" s="17">
        <v>19900101</v>
      </c>
      <c r="D2085" s="17">
        <v>22991231</v>
      </c>
      <c r="E2085" s="25">
        <v>1496.36</v>
      </c>
    </row>
    <row r="2086" spans="1:5" ht="52" x14ac:dyDescent="0.3">
      <c r="A2086" s="17" t="str">
        <f>"31545"</f>
        <v>31545</v>
      </c>
      <c r="B2086" s="5" t="s">
        <v>2243</v>
      </c>
      <c r="C2086" s="17">
        <v>20051001</v>
      </c>
      <c r="D2086" s="17">
        <v>22991231</v>
      </c>
      <c r="E2086" s="25">
        <v>1496.36</v>
      </c>
    </row>
    <row r="2087" spans="1:5" ht="39" x14ac:dyDescent="0.3">
      <c r="A2087" s="17" t="str">
        <f>"31546"</f>
        <v>31546</v>
      </c>
      <c r="B2087" s="5" t="s">
        <v>2244</v>
      </c>
      <c r="C2087" s="17">
        <v>20051001</v>
      </c>
      <c r="D2087" s="17">
        <v>22991231</v>
      </c>
      <c r="E2087" s="25">
        <v>2197.87</v>
      </c>
    </row>
    <row r="2088" spans="1:5" ht="26" x14ac:dyDescent="0.3">
      <c r="A2088" s="17" t="str">
        <f>"31551"</f>
        <v>31551</v>
      </c>
      <c r="B2088" s="5" t="s">
        <v>2245</v>
      </c>
      <c r="C2088" s="17">
        <v>20170101</v>
      </c>
      <c r="D2088" s="17">
        <v>22991231</v>
      </c>
      <c r="E2088" s="25">
        <v>2637</v>
      </c>
    </row>
    <row r="2089" spans="1:5" ht="26" x14ac:dyDescent="0.3">
      <c r="A2089" s="17" t="str">
        <f>"31552"</f>
        <v>31552</v>
      </c>
      <c r="B2089" s="5" t="s">
        <v>2246</v>
      </c>
      <c r="C2089" s="17">
        <v>20170101</v>
      </c>
      <c r="D2089" s="17">
        <v>22991231</v>
      </c>
      <c r="E2089" s="25">
        <v>2637</v>
      </c>
    </row>
    <row r="2090" spans="1:5" ht="39" x14ac:dyDescent="0.3">
      <c r="A2090" s="17" t="str">
        <f>"31553"</f>
        <v>31553</v>
      </c>
      <c r="B2090" s="5" t="s">
        <v>2247</v>
      </c>
      <c r="C2090" s="17">
        <v>20170101</v>
      </c>
      <c r="D2090" s="17">
        <v>22991231</v>
      </c>
      <c r="E2090" s="25">
        <v>2637</v>
      </c>
    </row>
    <row r="2091" spans="1:5" ht="26" x14ac:dyDescent="0.3">
      <c r="A2091" s="17" t="str">
        <f>"31554"</f>
        <v>31554</v>
      </c>
      <c r="B2091" s="5" t="s">
        <v>2248</v>
      </c>
      <c r="C2091" s="17">
        <v>20170101</v>
      </c>
      <c r="D2091" s="17">
        <v>22991231</v>
      </c>
      <c r="E2091" s="25">
        <v>2637</v>
      </c>
    </row>
    <row r="2092" spans="1:5" ht="26" x14ac:dyDescent="0.3">
      <c r="A2092" s="17" t="str">
        <f>"31560"</f>
        <v>31560</v>
      </c>
      <c r="B2092" s="5" t="s">
        <v>2249</v>
      </c>
      <c r="C2092" s="17">
        <v>19900101</v>
      </c>
      <c r="D2092" s="17">
        <v>22991231</v>
      </c>
      <c r="E2092" s="25">
        <v>2197.87</v>
      </c>
    </row>
    <row r="2093" spans="1:5" ht="39" x14ac:dyDescent="0.3">
      <c r="A2093" s="17" t="str">
        <f>"31561"</f>
        <v>31561</v>
      </c>
      <c r="B2093" s="5" t="s">
        <v>2250</v>
      </c>
      <c r="C2093" s="17">
        <v>19900101</v>
      </c>
      <c r="D2093" s="17">
        <v>22991231</v>
      </c>
      <c r="E2093" s="25">
        <v>2197.87</v>
      </c>
    </row>
    <row r="2094" spans="1:5" x14ac:dyDescent="0.3">
      <c r="A2094" s="17" t="str">
        <f>"31570"</f>
        <v>31570</v>
      </c>
      <c r="B2094" s="5" t="s">
        <v>2251</v>
      </c>
      <c r="C2094" s="17">
        <v>19900101</v>
      </c>
      <c r="D2094" s="17">
        <v>22991231</v>
      </c>
      <c r="E2094" s="25">
        <v>1496.36</v>
      </c>
    </row>
    <row r="2095" spans="1:5" ht="26" x14ac:dyDescent="0.3">
      <c r="A2095" s="17" t="str">
        <f>"31571"</f>
        <v>31571</v>
      </c>
      <c r="B2095" s="5" t="s">
        <v>2252</v>
      </c>
      <c r="C2095" s="17">
        <v>19900101</v>
      </c>
      <c r="D2095" s="17">
        <v>22991231</v>
      </c>
      <c r="E2095" s="25">
        <v>1496.36</v>
      </c>
    </row>
    <row r="2096" spans="1:5" ht="26" x14ac:dyDescent="0.3">
      <c r="A2096" s="17" t="str">
        <f>"31572"</f>
        <v>31572</v>
      </c>
      <c r="B2096" s="5" t="s">
        <v>2253</v>
      </c>
      <c r="C2096" s="17">
        <v>20170101</v>
      </c>
      <c r="D2096" s="17">
        <v>22991231</v>
      </c>
      <c r="E2096" s="25">
        <v>1496.36</v>
      </c>
    </row>
    <row r="2097" spans="1:5" ht="26" x14ac:dyDescent="0.3">
      <c r="A2097" s="17" t="str">
        <f>"31573"</f>
        <v>31573</v>
      </c>
      <c r="B2097" s="5" t="s">
        <v>2254</v>
      </c>
      <c r="C2097" s="17">
        <v>20170101</v>
      </c>
      <c r="D2097" s="17">
        <v>22991231</v>
      </c>
      <c r="E2097" s="25">
        <v>183.59</v>
      </c>
    </row>
    <row r="2098" spans="1:5" ht="26" x14ac:dyDescent="0.3">
      <c r="A2098" s="17" t="str">
        <f>"31574"</f>
        <v>31574</v>
      </c>
      <c r="B2098" s="5" t="s">
        <v>2255</v>
      </c>
      <c r="C2098" s="17">
        <v>20170101</v>
      </c>
      <c r="D2098" s="17">
        <v>22991231</v>
      </c>
      <c r="E2098" s="25">
        <v>723.17</v>
      </c>
    </row>
    <row r="2099" spans="1:5" ht="26" x14ac:dyDescent="0.3">
      <c r="A2099" s="17" t="str">
        <f>"31575"</f>
        <v>31575</v>
      </c>
      <c r="B2099" s="5" t="s">
        <v>2256</v>
      </c>
      <c r="C2099" s="17">
        <v>19900101</v>
      </c>
      <c r="D2099" s="17">
        <v>22991231</v>
      </c>
      <c r="E2099" s="25">
        <v>87.57</v>
      </c>
    </row>
    <row r="2100" spans="1:5" x14ac:dyDescent="0.3">
      <c r="A2100" s="17" t="str">
        <f>"31576"</f>
        <v>31576</v>
      </c>
      <c r="B2100" s="5" t="s">
        <v>2257</v>
      </c>
      <c r="C2100" s="17">
        <v>19900101</v>
      </c>
      <c r="D2100" s="17">
        <v>22991231</v>
      </c>
      <c r="E2100" s="25">
        <v>723.17</v>
      </c>
    </row>
    <row r="2101" spans="1:5" ht="26" x14ac:dyDescent="0.3">
      <c r="A2101" s="17" t="str">
        <f>"31577"</f>
        <v>31577</v>
      </c>
      <c r="B2101" s="5" t="s">
        <v>2258</v>
      </c>
      <c r="C2101" s="17">
        <v>19900101</v>
      </c>
      <c r="D2101" s="17">
        <v>22991231</v>
      </c>
      <c r="E2101" s="25">
        <v>202.31</v>
      </c>
    </row>
    <row r="2102" spans="1:5" ht="26" x14ac:dyDescent="0.3">
      <c r="A2102" s="17" t="str">
        <f>"31578"</f>
        <v>31578</v>
      </c>
      <c r="B2102" s="5" t="s">
        <v>2259</v>
      </c>
      <c r="C2102" s="17">
        <v>19900101</v>
      </c>
      <c r="D2102" s="17">
        <v>22991231</v>
      </c>
      <c r="E2102" s="25">
        <v>1496.36</v>
      </c>
    </row>
    <row r="2103" spans="1:5" ht="26" x14ac:dyDescent="0.3">
      <c r="A2103" s="17" t="str">
        <f>"31579"</f>
        <v>31579</v>
      </c>
      <c r="B2103" s="5" t="s">
        <v>2260</v>
      </c>
      <c r="C2103" s="17">
        <v>19900101</v>
      </c>
      <c r="D2103" s="17">
        <v>22991231</v>
      </c>
      <c r="E2103" s="25">
        <v>119.47</v>
      </c>
    </row>
    <row r="2104" spans="1:5" ht="26" x14ac:dyDescent="0.3">
      <c r="A2104" s="17" t="str">
        <f>"31580"</f>
        <v>31580</v>
      </c>
      <c r="B2104" s="5" t="s">
        <v>2261</v>
      </c>
      <c r="C2104" s="17">
        <v>19900101</v>
      </c>
      <c r="D2104" s="17">
        <v>22991231</v>
      </c>
      <c r="E2104" s="25">
        <v>2637</v>
      </c>
    </row>
    <row r="2105" spans="1:5" x14ac:dyDescent="0.3">
      <c r="A2105" s="17" t="str">
        <f>"31584"</f>
        <v>31584</v>
      </c>
      <c r="B2105" s="5" t="s">
        <v>2262</v>
      </c>
      <c r="C2105" s="17">
        <v>19900101</v>
      </c>
      <c r="D2105" s="17">
        <v>22991231</v>
      </c>
      <c r="E2105" s="24" t="s">
        <v>7128</v>
      </c>
    </row>
    <row r="2106" spans="1:5" x14ac:dyDescent="0.3">
      <c r="A2106" s="17" t="str">
        <f>"31587"</f>
        <v>31587</v>
      </c>
      <c r="B2106" s="5" t="s">
        <v>2263</v>
      </c>
      <c r="C2106" s="17">
        <v>19900101</v>
      </c>
      <c r="D2106" s="17">
        <v>22991231</v>
      </c>
      <c r="E2106" s="24" t="s">
        <v>7128</v>
      </c>
    </row>
    <row r="2107" spans="1:5" ht="26" x14ac:dyDescent="0.3">
      <c r="A2107" s="17" t="str">
        <f>"31590"</f>
        <v>31590</v>
      </c>
      <c r="B2107" s="5" t="s">
        <v>2264</v>
      </c>
      <c r="C2107" s="17">
        <v>19900101</v>
      </c>
      <c r="D2107" s="17">
        <v>22991231</v>
      </c>
      <c r="E2107" s="25">
        <v>2637</v>
      </c>
    </row>
    <row r="2108" spans="1:5" ht="26" x14ac:dyDescent="0.3">
      <c r="A2108" s="17" t="str">
        <f>"31591"</f>
        <v>31591</v>
      </c>
      <c r="B2108" s="5" t="s">
        <v>2265</v>
      </c>
      <c r="C2108" s="17">
        <v>20170101</v>
      </c>
      <c r="D2108" s="17">
        <v>22991231</v>
      </c>
      <c r="E2108" s="25">
        <v>2637</v>
      </c>
    </row>
    <row r="2109" spans="1:5" x14ac:dyDescent="0.3">
      <c r="A2109" s="17" t="str">
        <f>"31592"</f>
        <v>31592</v>
      </c>
      <c r="B2109" s="5" t="s">
        <v>2266</v>
      </c>
      <c r="C2109" s="17">
        <v>20170101</v>
      </c>
      <c r="D2109" s="17">
        <v>22991231</v>
      </c>
      <c r="E2109" s="25">
        <v>2637</v>
      </c>
    </row>
    <row r="2110" spans="1:5" ht="26" x14ac:dyDescent="0.3">
      <c r="A2110" s="17" t="str">
        <f>"31600"</f>
        <v>31600</v>
      </c>
      <c r="B2110" s="5" t="s">
        <v>2267</v>
      </c>
      <c r="C2110" s="17">
        <v>19900101</v>
      </c>
      <c r="D2110" s="17">
        <v>22991231</v>
      </c>
      <c r="E2110" s="24" t="s">
        <v>7128</v>
      </c>
    </row>
    <row r="2111" spans="1:5" ht="26" x14ac:dyDescent="0.3">
      <c r="A2111" s="17" t="str">
        <f>"31601"</f>
        <v>31601</v>
      </c>
      <c r="B2111" s="5" t="s">
        <v>2268</v>
      </c>
      <c r="C2111" s="17">
        <v>19900101</v>
      </c>
      <c r="D2111" s="17">
        <v>22991231</v>
      </c>
      <c r="E2111" s="24" t="s">
        <v>7128</v>
      </c>
    </row>
    <row r="2112" spans="1:5" ht="26" x14ac:dyDescent="0.3">
      <c r="A2112" s="17" t="str">
        <f>"31603"</f>
        <v>31603</v>
      </c>
      <c r="B2112" s="5" t="s">
        <v>2269</v>
      </c>
      <c r="C2112" s="17">
        <v>19900101</v>
      </c>
      <c r="D2112" s="17">
        <v>22991231</v>
      </c>
      <c r="E2112" s="25">
        <v>636.91999999999996</v>
      </c>
    </row>
    <row r="2113" spans="1:5" ht="26" x14ac:dyDescent="0.3">
      <c r="A2113" s="17" t="str">
        <f>"31605"</f>
        <v>31605</v>
      </c>
      <c r="B2113" s="5" t="s">
        <v>2270</v>
      </c>
      <c r="C2113" s="17">
        <v>19900101</v>
      </c>
      <c r="D2113" s="17">
        <v>22991231</v>
      </c>
      <c r="E2113" s="25">
        <v>121.03</v>
      </c>
    </row>
    <row r="2114" spans="1:5" ht="26" x14ac:dyDescent="0.3">
      <c r="A2114" s="17" t="str">
        <f>"31610"</f>
        <v>31610</v>
      </c>
      <c r="B2114" s="5" t="s">
        <v>2271</v>
      </c>
      <c r="C2114" s="17">
        <v>19900101</v>
      </c>
      <c r="D2114" s="17">
        <v>22991231</v>
      </c>
      <c r="E2114" s="24" t="s">
        <v>7128</v>
      </c>
    </row>
    <row r="2115" spans="1:5" ht="26" x14ac:dyDescent="0.3">
      <c r="A2115" s="17" t="str">
        <f>"31611"</f>
        <v>31611</v>
      </c>
      <c r="B2115" s="5" t="s">
        <v>2272</v>
      </c>
      <c r="C2115" s="17">
        <v>19900401</v>
      </c>
      <c r="D2115" s="17">
        <v>22991231</v>
      </c>
      <c r="E2115" s="25">
        <v>1259.74</v>
      </c>
    </row>
    <row r="2116" spans="1:5" ht="26" x14ac:dyDescent="0.3">
      <c r="A2116" s="17" t="str">
        <f>"31612"</f>
        <v>31612</v>
      </c>
      <c r="B2116" s="5" t="s">
        <v>2273</v>
      </c>
      <c r="C2116" s="17">
        <v>19900101</v>
      </c>
      <c r="D2116" s="17">
        <v>22991231</v>
      </c>
      <c r="E2116" s="25">
        <v>1259.74</v>
      </c>
    </row>
    <row r="2117" spans="1:5" ht="26" x14ac:dyDescent="0.3">
      <c r="A2117" s="17" t="str">
        <f>"31613"</f>
        <v>31613</v>
      </c>
      <c r="B2117" s="5" t="s">
        <v>2274</v>
      </c>
      <c r="C2117" s="17">
        <v>19900101</v>
      </c>
      <c r="D2117" s="17">
        <v>22991231</v>
      </c>
      <c r="E2117" s="25">
        <v>1259.74</v>
      </c>
    </row>
    <row r="2118" spans="1:5" ht="26" x14ac:dyDescent="0.3">
      <c r="A2118" s="17" t="str">
        <f>"31614"</f>
        <v>31614</v>
      </c>
      <c r="B2118" s="5" t="s">
        <v>2275</v>
      </c>
      <c r="C2118" s="17">
        <v>19900101</v>
      </c>
      <c r="D2118" s="17">
        <v>22991231</v>
      </c>
      <c r="E2118" s="25">
        <v>2637</v>
      </c>
    </row>
    <row r="2119" spans="1:5" ht="26" x14ac:dyDescent="0.3">
      <c r="A2119" s="17" t="str">
        <f>"31615"</f>
        <v>31615</v>
      </c>
      <c r="B2119" s="5" t="s">
        <v>2276</v>
      </c>
      <c r="C2119" s="17">
        <v>19900101</v>
      </c>
      <c r="D2119" s="17">
        <v>22991231</v>
      </c>
      <c r="E2119" s="25">
        <v>272.61</v>
      </c>
    </row>
    <row r="2120" spans="1:5" ht="26" x14ac:dyDescent="0.3">
      <c r="A2120" s="17" t="str">
        <f>"31622"</f>
        <v>31622</v>
      </c>
      <c r="B2120" s="5" t="s">
        <v>2277</v>
      </c>
      <c r="C2120" s="17">
        <v>19900101</v>
      </c>
      <c r="D2120" s="17">
        <v>22991231</v>
      </c>
      <c r="E2120" s="25">
        <v>723.17</v>
      </c>
    </row>
    <row r="2121" spans="1:5" x14ac:dyDescent="0.3">
      <c r="A2121" s="17" t="str">
        <f>"31623"</f>
        <v>31623</v>
      </c>
      <c r="B2121" s="5" t="s">
        <v>2278</v>
      </c>
      <c r="C2121" s="17">
        <v>19990101</v>
      </c>
      <c r="D2121" s="17">
        <v>22991231</v>
      </c>
      <c r="E2121" s="25">
        <v>723.17</v>
      </c>
    </row>
    <row r="2122" spans="1:5" ht="26" x14ac:dyDescent="0.3">
      <c r="A2122" s="17" t="str">
        <f>"31624"</f>
        <v>31624</v>
      </c>
      <c r="B2122" s="5" t="s">
        <v>2279</v>
      </c>
      <c r="C2122" s="17">
        <v>19990101</v>
      </c>
      <c r="D2122" s="17">
        <v>22991231</v>
      </c>
      <c r="E2122" s="25">
        <v>723.17</v>
      </c>
    </row>
    <row r="2123" spans="1:5" x14ac:dyDescent="0.3">
      <c r="A2123" s="17" t="str">
        <f>"31625"</f>
        <v>31625</v>
      </c>
      <c r="B2123" s="5" t="s">
        <v>2280</v>
      </c>
      <c r="C2123" s="17">
        <v>19900101</v>
      </c>
      <c r="D2123" s="17">
        <v>22991231</v>
      </c>
      <c r="E2123" s="25">
        <v>723.17</v>
      </c>
    </row>
    <row r="2124" spans="1:5" ht="26" x14ac:dyDescent="0.3">
      <c r="A2124" s="17" t="str">
        <f>"31626"</f>
        <v>31626</v>
      </c>
      <c r="B2124" s="5" t="s">
        <v>2281</v>
      </c>
      <c r="C2124" s="17">
        <v>20230101</v>
      </c>
      <c r="D2124" s="17">
        <v>22991231</v>
      </c>
      <c r="E2124" s="25">
        <v>2197.87</v>
      </c>
    </row>
    <row r="2125" spans="1:5" ht="26" x14ac:dyDescent="0.3">
      <c r="A2125" s="17" t="str">
        <f>"31627"</f>
        <v>31627</v>
      </c>
      <c r="B2125" s="5" t="s">
        <v>2282</v>
      </c>
      <c r="C2125" s="17">
        <v>20230101</v>
      </c>
      <c r="D2125" s="17">
        <v>22991231</v>
      </c>
      <c r="E2125" s="25">
        <v>0</v>
      </c>
    </row>
    <row r="2126" spans="1:5" ht="26" x14ac:dyDescent="0.3">
      <c r="A2126" s="17" t="str">
        <f>"31628"</f>
        <v>31628</v>
      </c>
      <c r="B2126" s="5" t="s">
        <v>2283</v>
      </c>
      <c r="C2126" s="17">
        <v>19900101</v>
      </c>
      <c r="D2126" s="17">
        <v>22991231</v>
      </c>
      <c r="E2126" s="25">
        <v>1496.36</v>
      </c>
    </row>
    <row r="2127" spans="1:5" ht="26" x14ac:dyDescent="0.3">
      <c r="A2127" s="17" t="str">
        <f>"31629"</f>
        <v>31629</v>
      </c>
      <c r="B2127" s="5" t="s">
        <v>2284</v>
      </c>
      <c r="C2127" s="17">
        <v>19900101</v>
      </c>
      <c r="D2127" s="17">
        <v>22991231</v>
      </c>
      <c r="E2127" s="25">
        <v>1496.36</v>
      </c>
    </row>
    <row r="2128" spans="1:5" ht="26" x14ac:dyDescent="0.3">
      <c r="A2128" s="17" t="str">
        <f>"31630"</f>
        <v>31630</v>
      </c>
      <c r="B2128" s="5" t="s">
        <v>2285</v>
      </c>
      <c r="C2128" s="17">
        <v>19900101</v>
      </c>
      <c r="D2128" s="17">
        <v>22991231</v>
      </c>
      <c r="E2128" s="25">
        <v>1496.36</v>
      </c>
    </row>
    <row r="2129" spans="1:5" ht="26" x14ac:dyDescent="0.3">
      <c r="A2129" s="17" t="str">
        <f>"31631"</f>
        <v>31631</v>
      </c>
      <c r="B2129" s="5" t="s">
        <v>2286</v>
      </c>
      <c r="C2129" s="17">
        <v>19900101</v>
      </c>
      <c r="D2129" s="17">
        <v>22991231</v>
      </c>
      <c r="E2129" s="25">
        <v>2197.87</v>
      </c>
    </row>
    <row r="2130" spans="1:5" ht="26" x14ac:dyDescent="0.3">
      <c r="A2130" s="17" t="str">
        <f>"31632"</f>
        <v>31632</v>
      </c>
      <c r="B2130" s="5" t="s">
        <v>2287</v>
      </c>
      <c r="C2130" s="17">
        <v>20031001</v>
      </c>
      <c r="D2130" s="17">
        <v>22991231</v>
      </c>
      <c r="E2130" s="25">
        <v>0</v>
      </c>
    </row>
    <row r="2131" spans="1:5" ht="26" x14ac:dyDescent="0.3">
      <c r="A2131" s="17" t="str">
        <f>"31633"</f>
        <v>31633</v>
      </c>
      <c r="B2131" s="5" t="s">
        <v>2288</v>
      </c>
      <c r="C2131" s="17">
        <v>20230101</v>
      </c>
      <c r="D2131" s="17">
        <v>22991231</v>
      </c>
      <c r="E2131" s="25">
        <v>0</v>
      </c>
    </row>
    <row r="2132" spans="1:5" ht="26" x14ac:dyDescent="0.3">
      <c r="A2132" s="17" t="str">
        <f>"31634"</f>
        <v>31634</v>
      </c>
      <c r="B2132" s="5" t="s">
        <v>2289</v>
      </c>
      <c r="C2132" s="17">
        <v>20110101</v>
      </c>
      <c r="D2132" s="17">
        <v>22991231</v>
      </c>
      <c r="E2132" s="25">
        <v>2197.87</v>
      </c>
    </row>
    <row r="2133" spans="1:5" ht="26" x14ac:dyDescent="0.3">
      <c r="A2133" s="17" t="str">
        <f>"31635"</f>
        <v>31635</v>
      </c>
      <c r="B2133" s="5" t="s">
        <v>2290</v>
      </c>
      <c r="C2133" s="17">
        <v>19900101</v>
      </c>
      <c r="D2133" s="17">
        <v>22991231</v>
      </c>
      <c r="E2133" s="25">
        <v>723.17</v>
      </c>
    </row>
    <row r="2134" spans="1:5" ht="26" x14ac:dyDescent="0.3">
      <c r="A2134" s="17" t="str">
        <f>"31636"</f>
        <v>31636</v>
      </c>
      <c r="B2134" s="5" t="s">
        <v>2291</v>
      </c>
      <c r="C2134" s="17">
        <v>20230101</v>
      </c>
      <c r="D2134" s="17">
        <v>22991231</v>
      </c>
      <c r="E2134" s="25">
        <v>2938.83</v>
      </c>
    </row>
    <row r="2135" spans="1:5" ht="26" x14ac:dyDescent="0.3">
      <c r="A2135" s="17" t="str">
        <f>"31637"</f>
        <v>31637</v>
      </c>
      <c r="B2135" s="5" t="s">
        <v>2292</v>
      </c>
      <c r="C2135" s="17">
        <v>20230101</v>
      </c>
      <c r="D2135" s="17">
        <v>22991231</v>
      </c>
      <c r="E2135" s="25">
        <v>0</v>
      </c>
    </row>
    <row r="2136" spans="1:5" ht="26" x14ac:dyDescent="0.3">
      <c r="A2136" s="17" t="str">
        <f>"31638"</f>
        <v>31638</v>
      </c>
      <c r="B2136" s="5" t="s">
        <v>2293</v>
      </c>
      <c r="C2136" s="17">
        <v>20230101</v>
      </c>
      <c r="D2136" s="17">
        <v>22991231</v>
      </c>
      <c r="E2136" s="25">
        <v>2197.87</v>
      </c>
    </row>
    <row r="2137" spans="1:5" ht="26" x14ac:dyDescent="0.3">
      <c r="A2137" s="17" t="str">
        <f>"31640"</f>
        <v>31640</v>
      </c>
      <c r="B2137" s="5" t="s">
        <v>2294</v>
      </c>
      <c r="C2137" s="17">
        <v>19900101</v>
      </c>
      <c r="D2137" s="17">
        <v>22991231</v>
      </c>
      <c r="E2137" s="25">
        <v>1496.36</v>
      </c>
    </row>
    <row r="2138" spans="1:5" ht="26" x14ac:dyDescent="0.3">
      <c r="A2138" s="17" t="str">
        <f>"31641"</f>
        <v>31641</v>
      </c>
      <c r="B2138" s="5" t="s">
        <v>2295</v>
      </c>
      <c r="C2138" s="17">
        <v>19900101</v>
      </c>
      <c r="D2138" s="17">
        <v>22991231</v>
      </c>
      <c r="E2138" s="25">
        <v>1496.36</v>
      </c>
    </row>
    <row r="2139" spans="1:5" ht="26" x14ac:dyDescent="0.3">
      <c r="A2139" s="17" t="str">
        <f>"31643"</f>
        <v>31643</v>
      </c>
      <c r="B2139" s="5" t="s">
        <v>2296</v>
      </c>
      <c r="C2139" s="17">
        <v>19990101</v>
      </c>
      <c r="D2139" s="17">
        <v>22991231</v>
      </c>
      <c r="E2139" s="25">
        <v>723.17</v>
      </c>
    </row>
    <row r="2140" spans="1:5" ht="26" x14ac:dyDescent="0.3">
      <c r="A2140" s="17" t="str">
        <f>"31645"</f>
        <v>31645</v>
      </c>
      <c r="B2140" s="5" t="s">
        <v>2297</v>
      </c>
      <c r="C2140" s="17">
        <v>19900101</v>
      </c>
      <c r="D2140" s="17">
        <v>22991231</v>
      </c>
      <c r="E2140" s="25">
        <v>723.17</v>
      </c>
    </row>
    <row r="2141" spans="1:5" ht="39" x14ac:dyDescent="0.3">
      <c r="A2141" s="17" t="str">
        <f>"31646"</f>
        <v>31646</v>
      </c>
      <c r="B2141" s="5" t="s">
        <v>2298</v>
      </c>
      <c r="C2141" s="17">
        <v>19900101</v>
      </c>
      <c r="D2141" s="17">
        <v>22991231</v>
      </c>
      <c r="E2141" s="25">
        <v>202.31</v>
      </c>
    </row>
    <row r="2142" spans="1:5" ht="39" x14ac:dyDescent="0.3">
      <c r="A2142" s="17" t="str">
        <f>"31647"</f>
        <v>31647</v>
      </c>
      <c r="B2142" s="5" t="s">
        <v>2299</v>
      </c>
      <c r="C2142" s="17">
        <v>20130101</v>
      </c>
      <c r="D2142" s="17">
        <v>22991231</v>
      </c>
      <c r="E2142" s="25">
        <v>2768.36</v>
      </c>
    </row>
    <row r="2143" spans="1:5" ht="26" x14ac:dyDescent="0.3">
      <c r="A2143" s="17" t="str">
        <f>"31648"</f>
        <v>31648</v>
      </c>
      <c r="B2143" s="5" t="s">
        <v>2300</v>
      </c>
      <c r="C2143" s="17">
        <v>20130101</v>
      </c>
      <c r="D2143" s="17">
        <v>22991231</v>
      </c>
      <c r="E2143" s="25">
        <v>1496.36</v>
      </c>
    </row>
    <row r="2144" spans="1:5" ht="39" x14ac:dyDescent="0.3">
      <c r="A2144" s="17" t="str">
        <f>"31649"</f>
        <v>31649</v>
      </c>
      <c r="B2144" s="5" t="s">
        <v>2301</v>
      </c>
      <c r="C2144" s="17">
        <v>20130101</v>
      </c>
      <c r="D2144" s="17">
        <v>22991231</v>
      </c>
      <c r="E2144" s="25">
        <v>723.17</v>
      </c>
    </row>
    <row r="2145" spans="1:5" ht="39" x14ac:dyDescent="0.3">
      <c r="A2145" s="17" t="str">
        <f>"31651"</f>
        <v>31651</v>
      </c>
      <c r="B2145" s="5" t="s">
        <v>2302</v>
      </c>
      <c r="C2145" s="17">
        <v>20130101</v>
      </c>
      <c r="D2145" s="17">
        <v>22991231</v>
      </c>
      <c r="E2145" s="25">
        <v>0</v>
      </c>
    </row>
    <row r="2146" spans="1:5" ht="39" x14ac:dyDescent="0.3">
      <c r="A2146" s="17" t="str">
        <f>"31652"</f>
        <v>31652</v>
      </c>
      <c r="B2146" s="5" t="s">
        <v>2303</v>
      </c>
      <c r="C2146" s="17">
        <v>20230101</v>
      </c>
      <c r="D2146" s="17">
        <v>22991231</v>
      </c>
      <c r="E2146" s="25">
        <v>1496.36</v>
      </c>
    </row>
    <row r="2147" spans="1:5" ht="39" x14ac:dyDescent="0.3">
      <c r="A2147" s="17" t="str">
        <f>"31653"</f>
        <v>31653</v>
      </c>
      <c r="B2147" s="5" t="s">
        <v>2304</v>
      </c>
      <c r="C2147" s="17">
        <v>20230101</v>
      </c>
      <c r="D2147" s="17">
        <v>22991231</v>
      </c>
      <c r="E2147" s="25">
        <v>1496.36</v>
      </c>
    </row>
    <row r="2148" spans="1:5" ht="39" x14ac:dyDescent="0.3">
      <c r="A2148" s="17" t="str">
        <f>"31654"</f>
        <v>31654</v>
      </c>
      <c r="B2148" s="5" t="s">
        <v>2305</v>
      </c>
      <c r="C2148" s="17">
        <v>20230101</v>
      </c>
      <c r="D2148" s="17">
        <v>22991231</v>
      </c>
      <c r="E2148" s="25">
        <v>0</v>
      </c>
    </row>
    <row r="2149" spans="1:5" x14ac:dyDescent="0.3">
      <c r="A2149" s="17" t="str">
        <f>"31717"</f>
        <v>31717</v>
      </c>
      <c r="B2149" s="5" t="s">
        <v>2306</v>
      </c>
      <c r="C2149" s="17">
        <v>19900101</v>
      </c>
      <c r="D2149" s="17">
        <v>22991231</v>
      </c>
      <c r="E2149" s="25">
        <v>202.31</v>
      </c>
    </row>
    <row r="2150" spans="1:5" ht="26" x14ac:dyDescent="0.3">
      <c r="A2150" s="17" t="str">
        <f>"31720"</f>
        <v>31720</v>
      </c>
      <c r="B2150" s="5" t="s">
        <v>2307</v>
      </c>
      <c r="C2150" s="17">
        <v>19900101</v>
      </c>
      <c r="D2150" s="17">
        <v>22991231</v>
      </c>
      <c r="E2150" s="25">
        <v>0</v>
      </c>
    </row>
    <row r="2151" spans="1:5" ht="26" x14ac:dyDescent="0.3">
      <c r="A2151" s="17" t="str">
        <f>"31730"</f>
        <v>31730</v>
      </c>
      <c r="B2151" s="5" t="s">
        <v>2308</v>
      </c>
      <c r="C2151" s="17">
        <v>20230101</v>
      </c>
      <c r="D2151" s="17">
        <v>22991231</v>
      </c>
      <c r="E2151" s="25">
        <v>723.17</v>
      </c>
    </row>
    <row r="2152" spans="1:5" x14ac:dyDescent="0.3">
      <c r="A2152" s="17" t="str">
        <f>"31750"</f>
        <v>31750</v>
      </c>
      <c r="B2152" s="5" t="s">
        <v>2309</v>
      </c>
      <c r="C2152" s="17">
        <v>19900101</v>
      </c>
      <c r="D2152" s="17">
        <v>22991231</v>
      </c>
      <c r="E2152" s="25">
        <v>2637</v>
      </c>
    </row>
    <row r="2153" spans="1:5" ht="26" x14ac:dyDescent="0.3">
      <c r="A2153" s="17" t="str">
        <f>"31755"</f>
        <v>31755</v>
      </c>
      <c r="B2153" s="5" t="s">
        <v>2310</v>
      </c>
      <c r="C2153" s="17">
        <v>19900101</v>
      </c>
      <c r="D2153" s="17">
        <v>22991231</v>
      </c>
      <c r="E2153" s="25">
        <v>2637</v>
      </c>
    </row>
    <row r="2154" spans="1:5" x14ac:dyDescent="0.3">
      <c r="A2154" s="17" t="str">
        <f>"31785"</f>
        <v>31785</v>
      </c>
      <c r="B2154" s="5" t="s">
        <v>2311</v>
      </c>
      <c r="C2154" s="17">
        <v>19900101</v>
      </c>
      <c r="D2154" s="17">
        <v>22991231</v>
      </c>
      <c r="E2154" s="24" t="s">
        <v>7128</v>
      </c>
    </row>
    <row r="2155" spans="1:5" ht="26" x14ac:dyDescent="0.3">
      <c r="A2155" s="17" t="str">
        <f>"31820"</f>
        <v>31820</v>
      </c>
      <c r="B2155" s="5" t="s">
        <v>2312</v>
      </c>
      <c r="C2155" s="17">
        <v>19900101</v>
      </c>
      <c r="D2155" s="17">
        <v>22991231</v>
      </c>
      <c r="E2155" s="25">
        <v>1259.74</v>
      </c>
    </row>
    <row r="2156" spans="1:5" ht="26" x14ac:dyDescent="0.3">
      <c r="A2156" s="17" t="str">
        <f>"31825"</f>
        <v>31825</v>
      </c>
      <c r="B2156" s="5" t="s">
        <v>2313</v>
      </c>
      <c r="C2156" s="17">
        <v>19900101</v>
      </c>
      <c r="D2156" s="17">
        <v>22991231</v>
      </c>
      <c r="E2156" s="25">
        <v>1259.74</v>
      </c>
    </row>
    <row r="2157" spans="1:5" x14ac:dyDescent="0.3">
      <c r="A2157" s="17" t="str">
        <f>"31830"</f>
        <v>31830</v>
      </c>
      <c r="B2157" s="5" t="s">
        <v>2314</v>
      </c>
      <c r="C2157" s="17">
        <v>19900101</v>
      </c>
      <c r="D2157" s="17">
        <v>22991231</v>
      </c>
      <c r="E2157" s="25">
        <v>1259.74</v>
      </c>
    </row>
    <row r="2158" spans="1:5" x14ac:dyDescent="0.3">
      <c r="A2158" s="17" t="str">
        <f>"32400"</f>
        <v>32400</v>
      </c>
      <c r="B2158" s="5" t="s">
        <v>2315</v>
      </c>
      <c r="C2158" s="17">
        <v>19900101</v>
      </c>
      <c r="D2158" s="17">
        <v>22991231</v>
      </c>
      <c r="E2158" s="25">
        <v>652.27</v>
      </c>
    </row>
    <row r="2159" spans="1:5" ht="26" x14ac:dyDescent="0.3">
      <c r="A2159" s="17" t="str">
        <f>"32408"</f>
        <v>32408</v>
      </c>
      <c r="B2159" s="5" t="s">
        <v>2316</v>
      </c>
      <c r="C2159" s="17">
        <v>20210101</v>
      </c>
      <c r="D2159" s="17">
        <v>22991231</v>
      </c>
      <c r="E2159" s="25">
        <v>652.27</v>
      </c>
    </row>
    <row r="2160" spans="1:5" ht="26" x14ac:dyDescent="0.3">
      <c r="A2160" s="17" t="str">
        <f>"32550"</f>
        <v>32550</v>
      </c>
      <c r="B2160" s="5" t="s">
        <v>2317</v>
      </c>
      <c r="C2160" s="17">
        <v>20080101</v>
      </c>
      <c r="D2160" s="17">
        <v>22991231</v>
      </c>
      <c r="E2160" s="25">
        <v>2025.03</v>
      </c>
    </row>
    <row r="2161" spans="1:5" ht="26" x14ac:dyDescent="0.3">
      <c r="A2161" s="17" t="str">
        <f>"32551"</f>
        <v>32551</v>
      </c>
      <c r="B2161" s="5" t="s">
        <v>2318</v>
      </c>
      <c r="C2161" s="17">
        <v>20080101</v>
      </c>
      <c r="D2161" s="17">
        <v>22991231</v>
      </c>
      <c r="E2161" s="24" t="s">
        <v>7128</v>
      </c>
    </row>
    <row r="2162" spans="1:5" x14ac:dyDescent="0.3">
      <c r="A2162" s="17" t="str">
        <f>"32552"</f>
        <v>32552</v>
      </c>
      <c r="B2162" s="5" t="s">
        <v>2319</v>
      </c>
      <c r="C2162" s="17">
        <v>20230101</v>
      </c>
      <c r="D2162" s="17">
        <v>22991231</v>
      </c>
      <c r="E2162" s="25">
        <v>311.25</v>
      </c>
    </row>
    <row r="2163" spans="1:5" ht="26" x14ac:dyDescent="0.3">
      <c r="A2163" s="17" t="str">
        <f>"32553"</f>
        <v>32553</v>
      </c>
      <c r="B2163" s="5" t="s">
        <v>2320</v>
      </c>
      <c r="C2163" s="17">
        <v>20230101</v>
      </c>
      <c r="D2163" s="17">
        <v>22991231</v>
      </c>
      <c r="E2163" s="25">
        <v>686.53</v>
      </c>
    </row>
    <row r="2164" spans="1:5" x14ac:dyDescent="0.3">
      <c r="A2164" s="17" t="str">
        <f>"32554"</f>
        <v>32554</v>
      </c>
      <c r="B2164" s="5" t="s">
        <v>2321</v>
      </c>
      <c r="C2164" s="17">
        <v>20130101</v>
      </c>
      <c r="D2164" s="17">
        <v>22991231</v>
      </c>
      <c r="E2164" s="25">
        <v>311.25</v>
      </c>
    </row>
    <row r="2165" spans="1:5" ht="26" x14ac:dyDescent="0.3">
      <c r="A2165" s="17" t="str">
        <f>"32555"</f>
        <v>32555</v>
      </c>
      <c r="B2165" s="5" t="s">
        <v>2322</v>
      </c>
      <c r="C2165" s="17">
        <v>20130101</v>
      </c>
      <c r="D2165" s="17">
        <v>22991231</v>
      </c>
      <c r="E2165" s="25">
        <v>311.25</v>
      </c>
    </row>
    <row r="2166" spans="1:5" ht="26" x14ac:dyDescent="0.3">
      <c r="A2166" s="17" t="str">
        <f>"32556"</f>
        <v>32556</v>
      </c>
      <c r="B2166" s="5" t="s">
        <v>2323</v>
      </c>
      <c r="C2166" s="17">
        <v>20130101</v>
      </c>
      <c r="D2166" s="17">
        <v>22991231</v>
      </c>
      <c r="E2166" s="25">
        <v>794.51</v>
      </c>
    </row>
    <row r="2167" spans="1:5" ht="39" x14ac:dyDescent="0.3">
      <c r="A2167" s="17" t="str">
        <f>"32557"</f>
        <v>32557</v>
      </c>
      <c r="B2167" s="5" t="s">
        <v>2324</v>
      </c>
      <c r="C2167" s="17">
        <v>20130101</v>
      </c>
      <c r="D2167" s="17">
        <v>22991231</v>
      </c>
      <c r="E2167" s="25">
        <v>591.41</v>
      </c>
    </row>
    <row r="2168" spans="1:5" ht="26" x14ac:dyDescent="0.3">
      <c r="A2168" s="17" t="str">
        <f>"32560"</f>
        <v>32560</v>
      </c>
      <c r="B2168" s="27" t="s">
        <v>7132</v>
      </c>
      <c r="C2168" s="17">
        <v>20080101</v>
      </c>
      <c r="D2168" s="17">
        <v>22991231</v>
      </c>
      <c r="E2168" s="24" t="s">
        <v>7128</v>
      </c>
    </row>
    <row r="2169" spans="1:5" ht="26" x14ac:dyDescent="0.3">
      <c r="A2169" s="17" t="str">
        <f>"32601"</f>
        <v>32601</v>
      </c>
      <c r="B2169" s="5" t="s">
        <v>2325</v>
      </c>
      <c r="C2169" s="17">
        <v>19940101</v>
      </c>
      <c r="D2169" s="17">
        <v>22991231</v>
      </c>
      <c r="E2169" s="24" t="s">
        <v>7128</v>
      </c>
    </row>
    <row r="2170" spans="1:5" x14ac:dyDescent="0.3">
      <c r="A2170" s="17" t="str">
        <f>"32604"</f>
        <v>32604</v>
      </c>
      <c r="B2170" s="5" t="s">
        <v>2326</v>
      </c>
      <c r="C2170" s="17">
        <v>19940101</v>
      </c>
      <c r="D2170" s="17">
        <v>22991231</v>
      </c>
      <c r="E2170" s="24" t="s">
        <v>7128</v>
      </c>
    </row>
    <row r="2171" spans="1:5" x14ac:dyDescent="0.3">
      <c r="A2171" s="17" t="str">
        <f>"32606"</f>
        <v>32606</v>
      </c>
      <c r="B2171" s="5" t="s">
        <v>2327</v>
      </c>
      <c r="C2171" s="17">
        <v>19940101</v>
      </c>
      <c r="D2171" s="17">
        <v>22991231</v>
      </c>
      <c r="E2171" s="24" t="s">
        <v>7128</v>
      </c>
    </row>
    <row r="2172" spans="1:5" x14ac:dyDescent="0.3">
      <c r="A2172" s="17" t="str">
        <f>"32960"</f>
        <v>32960</v>
      </c>
      <c r="B2172" s="5" t="s">
        <v>2328</v>
      </c>
      <c r="C2172" s="17">
        <v>19900101</v>
      </c>
      <c r="D2172" s="17">
        <v>22991231</v>
      </c>
      <c r="E2172" s="24">
        <v>311.25</v>
      </c>
    </row>
    <row r="2173" spans="1:5" x14ac:dyDescent="0.3">
      <c r="A2173" s="17" t="str">
        <f>"32994"</f>
        <v>32994</v>
      </c>
      <c r="B2173" s="5" t="s">
        <v>2329</v>
      </c>
      <c r="C2173" s="17">
        <v>20180101</v>
      </c>
      <c r="D2173" s="17">
        <v>22991231</v>
      </c>
      <c r="E2173" s="24">
        <v>5847.4</v>
      </c>
    </row>
    <row r="2174" spans="1:5" ht="26" x14ac:dyDescent="0.3">
      <c r="A2174" s="17" t="str">
        <f>"32998"</f>
        <v>32998</v>
      </c>
      <c r="B2174" s="5" t="s">
        <v>2330</v>
      </c>
      <c r="C2174" s="17">
        <v>20230101</v>
      </c>
      <c r="D2174" s="17">
        <v>22991231</v>
      </c>
      <c r="E2174" s="25">
        <v>2584.12</v>
      </c>
    </row>
    <row r="2175" spans="1:5" x14ac:dyDescent="0.3">
      <c r="A2175" s="17" t="str">
        <f>"33016"</f>
        <v>33016</v>
      </c>
      <c r="B2175" s="5" t="s">
        <v>2331</v>
      </c>
      <c r="C2175" s="17">
        <v>20200101</v>
      </c>
      <c r="D2175" s="17">
        <v>22991231</v>
      </c>
      <c r="E2175" s="25">
        <v>591.41</v>
      </c>
    </row>
    <row r="2176" spans="1:5" ht="26" x14ac:dyDescent="0.3">
      <c r="A2176" s="17" t="str">
        <f>"33206"</f>
        <v>33206</v>
      </c>
      <c r="B2176" s="5" t="s">
        <v>2332</v>
      </c>
      <c r="C2176" s="17">
        <v>19900101</v>
      </c>
      <c r="D2176" s="17">
        <v>22991231</v>
      </c>
      <c r="E2176" s="25">
        <v>6894.4</v>
      </c>
    </row>
    <row r="2177" spans="1:5" ht="26" x14ac:dyDescent="0.3">
      <c r="A2177" s="17" t="str">
        <f>"33207"</f>
        <v>33207</v>
      </c>
      <c r="B2177" s="5" t="s">
        <v>2333</v>
      </c>
      <c r="C2177" s="17">
        <v>19900101</v>
      </c>
      <c r="D2177" s="17">
        <v>22991231</v>
      </c>
      <c r="E2177" s="25">
        <v>7082.53</v>
      </c>
    </row>
    <row r="2178" spans="1:5" ht="26" x14ac:dyDescent="0.3">
      <c r="A2178" s="17" t="str">
        <f>"33208"</f>
        <v>33208</v>
      </c>
      <c r="B2178" s="5" t="s">
        <v>2334</v>
      </c>
      <c r="C2178" s="17">
        <v>19900101</v>
      </c>
      <c r="D2178" s="17">
        <v>22991231</v>
      </c>
      <c r="E2178" s="25">
        <v>7290.45</v>
      </c>
    </row>
    <row r="2179" spans="1:5" ht="26" x14ac:dyDescent="0.3">
      <c r="A2179" s="17" t="str">
        <f>"33210"</f>
        <v>33210</v>
      </c>
      <c r="B2179" s="5" t="s">
        <v>2335</v>
      </c>
      <c r="C2179" s="17">
        <v>19900101</v>
      </c>
      <c r="D2179" s="17">
        <v>22991231</v>
      </c>
      <c r="E2179" s="25">
        <v>5504.31</v>
      </c>
    </row>
    <row r="2180" spans="1:5" ht="26" x14ac:dyDescent="0.3">
      <c r="A2180" s="17" t="str">
        <f>"33211"</f>
        <v>33211</v>
      </c>
      <c r="B2180" s="5" t="s">
        <v>2336</v>
      </c>
      <c r="C2180" s="17">
        <v>19940101</v>
      </c>
      <c r="D2180" s="17">
        <v>22991231</v>
      </c>
      <c r="E2180" s="25">
        <v>6906.15</v>
      </c>
    </row>
    <row r="2181" spans="1:5" ht="26" x14ac:dyDescent="0.3">
      <c r="A2181" s="17" t="str">
        <f>"33212"</f>
        <v>33212</v>
      </c>
      <c r="B2181" s="5" t="s">
        <v>2337</v>
      </c>
      <c r="C2181" s="17">
        <v>19900101</v>
      </c>
      <c r="D2181" s="17">
        <v>22991231</v>
      </c>
      <c r="E2181" s="25">
        <v>6028.19</v>
      </c>
    </row>
    <row r="2182" spans="1:5" ht="26" x14ac:dyDescent="0.3">
      <c r="A2182" s="17" t="str">
        <f>"33213"</f>
        <v>33213</v>
      </c>
      <c r="B2182" s="5" t="s">
        <v>2338</v>
      </c>
      <c r="C2182" s="17">
        <v>19940101</v>
      </c>
      <c r="D2182" s="17">
        <v>22991231</v>
      </c>
      <c r="E2182" s="25">
        <v>7242</v>
      </c>
    </row>
    <row r="2183" spans="1:5" x14ac:dyDescent="0.3">
      <c r="A2183" s="17" t="str">
        <f>"33214"</f>
        <v>33214</v>
      </c>
      <c r="B2183" s="5" t="s">
        <v>2339</v>
      </c>
      <c r="C2183" s="17">
        <v>19940101</v>
      </c>
      <c r="D2183" s="17">
        <v>22991231</v>
      </c>
      <c r="E2183" s="25">
        <v>7313.46</v>
      </c>
    </row>
    <row r="2184" spans="1:5" ht="26" x14ac:dyDescent="0.3">
      <c r="A2184" s="17" t="str">
        <f>"33215"</f>
        <v>33215</v>
      </c>
      <c r="B2184" s="5" t="s">
        <v>2340</v>
      </c>
      <c r="C2184" s="17">
        <v>20230101</v>
      </c>
      <c r="D2184" s="17">
        <v>22991231</v>
      </c>
      <c r="E2184" s="25">
        <v>1478.57</v>
      </c>
    </row>
    <row r="2185" spans="1:5" ht="26" x14ac:dyDescent="0.3">
      <c r="A2185" s="17" t="str">
        <f>"33216"</f>
        <v>33216</v>
      </c>
      <c r="B2185" s="5" t="s">
        <v>2341</v>
      </c>
      <c r="C2185" s="17">
        <v>19900101</v>
      </c>
      <c r="D2185" s="17">
        <v>22991231</v>
      </c>
      <c r="E2185" s="25">
        <v>5387.2</v>
      </c>
    </row>
    <row r="2186" spans="1:5" ht="26" x14ac:dyDescent="0.3">
      <c r="A2186" s="17" t="str">
        <f>"33217"</f>
        <v>33217</v>
      </c>
      <c r="B2186" s="5" t="s">
        <v>2342</v>
      </c>
      <c r="C2186" s="17">
        <v>19940101</v>
      </c>
      <c r="D2186" s="17">
        <v>22991231</v>
      </c>
      <c r="E2186" s="25">
        <v>5183.9799999999996</v>
      </c>
    </row>
    <row r="2187" spans="1:5" ht="26" x14ac:dyDescent="0.3">
      <c r="A2187" s="17" t="str">
        <f>"33218"</f>
        <v>33218</v>
      </c>
      <c r="B2187" s="5" t="s">
        <v>2343</v>
      </c>
      <c r="C2187" s="17">
        <v>19900101</v>
      </c>
      <c r="D2187" s="17">
        <v>22991231</v>
      </c>
      <c r="E2187" s="25">
        <v>1945.71</v>
      </c>
    </row>
    <row r="2188" spans="1:5" ht="26" x14ac:dyDescent="0.3">
      <c r="A2188" s="17" t="str">
        <f>"33220"</f>
        <v>33220</v>
      </c>
      <c r="B2188" s="5" t="s">
        <v>2344</v>
      </c>
      <c r="C2188" s="17">
        <v>19940101</v>
      </c>
      <c r="D2188" s="17">
        <v>22991231</v>
      </c>
      <c r="E2188" s="25">
        <v>2540.7800000000002</v>
      </c>
    </row>
    <row r="2189" spans="1:5" ht="26" x14ac:dyDescent="0.3">
      <c r="A2189" s="17" t="str">
        <f>"33221"</f>
        <v>33221</v>
      </c>
      <c r="B2189" s="5" t="s">
        <v>2345</v>
      </c>
      <c r="C2189" s="17">
        <v>20120101</v>
      </c>
      <c r="D2189" s="17">
        <v>22991231</v>
      </c>
      <c r="E2189" s="25">
        <v>12456.35</v>
      </c>
    </row>
    <row r="2190" spans="1:5" x14ac:dyDescent="0.3">
      <c r="A2190" s="17" t="str">
        <f>"33222"</f>
        <v>33222</v>
      </c>
      <c r="B2190" s="5" t="s">
        <v>2346</v>
      </c>
      <c r="C2190" s="17">
        <v>20030401</v>
      </c>
      <c r="D2190" s="17">
        <v>22991231</v>
      </c>
      <c r="E2190" s="25">
        <v>903.54</v>
      </c>
    </row>
    <row r="2191" spans="1:5" x14ac:dyDescent="0.3">
      <c r="A2191" s="17" t="str">
        <f>"33223"</f>
        <v>33223</v>
      </c>
      <c r="B2191" s="5" t="s">
        <v>2347</v>
      </c>
      <c r="C2191" s="17">
        <v>19940101</v>
      </c>
      <c r="D2191" s="17">
        <v>22991231</v>
      </c>
      <c r="E2191" s="25">
        <v>903.54</v>
      </c>
    </row>
    <row r="2192" spans="1:5" ht="26" x14ac:dyDescent="0.3">
      <c r="A2192" s="17" t="str">
        <f>"33224"</f>
        <v>33224</v>
      </c>
      <c r="B2192" s="5" t="s">
        <v>2348</v>
      </c>
      <c r="C2192" s="17">
        <v>20230101</v>
      </c>
      <c r="D2192" s="17">
        <v>22991231</v>
      </c>
      <c r="E2192" s="25">
        <v>7371.6</v>
      </c>
    </row>
    <row r="2193" spans="1:5" ht="26" x14ac:dyDescent="0.3">
      <c r="A2193" s="17" t="str">
        <f>"33225"</f>
        <v>33225</v>
      </c>
      <c r="B2193" s="5" t="s">
        <v>2349</v>
      </c>
      <c r="C2193" s="17">
        <v>20230101</v>
      </c>
      <c r="D2193" s="17">
        <v>22991231</v>
      </c>
      <c r="E2193" s="25">
        <v>0</v>
      </c>
    </row>
    <row r="2194" spans="1:5" x14ac:dyDescent="0.3">
      <c r="A2194" s="17" t="str">
        <f>"33226"</f>
        <v>33226</v>
      </c>
      <c r="B2194" s="5" t="s">
        <v>2350</v>
      </c>
      <c r="C2194" s="17">
        <v>20230101</v>
      </c>
      <c r="D2194" s="17">
        <v>22991231</v>
      </c>
      <c r="E2194" s="25">
        <v>1862.11</v>
      </c>
    </row>
    <row r="2195" spans="1:5" ht="26" x14ac:dyDescent="0.3">
      <c r="A2195" s="17" t="str">
        <f>"33227"</f>
        <v>33227</v>
      </c>
      <c r="B2195" s="5" t="s">
        <v>2351</v>
      </c>
      <c r="C2195" s="17">
        <v>20120101</v>
      </c>
      <c r="D2195" s="17">
        <v>22991231</v>
      </c>
      <c r="E2195" s="25">
        <v>6010.28</v>
      </c>
    </row>
    <row r="2196" spans="1:5" ht="26" x14ac:dyDescent="0.3">
      <c r="A2196" s="17" t="str">
        <f>"33228"</f>
        <v>33228</v>
      </c>
      <c r="B2196" s="5" t="s">
        <v>2352</v>
      </c>
      <c r="C2196" s="17">
        <v>20120101</v>
      </c>
      <c r="D2196" s="17">
        <v>22991231</v>
      </c>
      <c r="E2196" s="25">
        <v>7125.33</v>
      </c>
    </row>
    <row r="2197" spans="1:5" ht="26" x14ac:dyDescent="0.3">
      <c r="A2197" s="17" t="str">
        <f>"33229"</f>
        <v>33229</v>
      </c>
      <c r="B2197" s="5" t="s">
        <v>2353</v>
      </c>
      <c r="C2197" s="17">
        <v>20120101</v>
      </c>
      <c r="D2197" s="17">
        <v>22991231</v>
      </c>
      <c r="E2197" s="25">
        <v>12280.51</v>
      </c>
    </row>
    <row r="2198" spans="1:5" x14ac:dyDescent="0.3">
      <c r="A2198" s="17" t="str">
        <f>"33230"</f>
        <v>33230</v>
      </c>
      <c r="B2198" s="5" t="s">
        <v>2354</v>
      </c>
      <c r="C2198" s="17">
        <v>20120101</v>
      </c>
      <c r="D2198" s="17">
        <v>22991231</v>
      </c>
      <c r="E2198" s="25">
        <v>18170.29</v>
      </c>
    </row>
    <row r="2199" spans="1:5" ht="26" x14ac:dyDescent="0.3">
      <c r="A2199" s="17" t="str">
        <f>"33231"</f>
        <v>33231</v>
      </c>
      <c r="B2199" s="5" t="s">
        <v>2355</v>
      </c>
      <c r="C2199" s="17">
        <v>20120101</v>
      </c>
      <c r="D2199" s="17">
        <v>22991231</v>
      </c>
      <c r="E2199" s="25">
        <v>24032.05</v>
      </c>
    </row>
    <row r="2200" spans="1:5" ht="26" x14ac:dyDescent="0.3">
      <c r="A2200" s="17" t="str">
        <f>"33233"</f>
        <v>33233</v>
      </c>
      <c r="B2200" s="5" t="s">
        <v>2356</v>
      </c>
      <c r="C2200" s="17">
        <v>19940101</v>
      </c>
      <c r="D2200" s="17">
        <v>22991231</v>
      </c>
      <c r="E2200" s="25">
        <v>5326.58</v>
      </c>
    </row>
    <row r="2201" spans="1:5" x14ac:dyDescent="0.3">
      <c r="A2201" s="17" t="str">
        <f>"33234"</f>
        <v>33234</v>
      </c>
      <c r="B2201" s="5" t="s">
        <v>2357</v>
      </c>
      <c r="C2201" s="17">
        <v>19940101</v>
      </c>
      <c r="D2201" s="17">
        <v>22991231</v>
      </c>
      <c r="E2201" s="25">
        <v>2567.64</v>
      </c>
    </row>
    <row r="2202" spans="1:5" x14ac:dyDescent="0.3">
      <c r="A2202" s="17" t="str">
        <f>"33235"</f>
        <v>33235</v>
      </c>
      <c r="B2202" s="5" t="s">
        <v>2358</v>
      </c>
      <c r="C2202" s="17">
        <v>19940101</v>
      </c>
      <c r="D2202" s="17">
        <v>22991231</v>
      </c>
      <c r="E2202" s="25">
        <v>1945.71</v>
      </c>
    </row>
    <row r="2203" spans="1:5" ht="26" x14ac:dyDescent="0.3">
      <c r="A2203" s="17" t="str">
        <f>"33240"</f>
        <v>33240</v>
      </c>
      <c r="B2203" s="5" t="s">
        <v>2359</v>
      </c>
      <c r="C2203" s="17">
        <v>19940101</v>
      </c>
      <c r="D2203" s="17">
        <v>22991231</v>
      </c>
      <c r="E2203" s="25">
        <v>18935.72</v>
      </c>
    </row>
    <row r="2204" spans="1:5" x14ac:dyDescent="0.3">
      <c r="A2204" s="17" t="str">
        <f>"33241"</f>
        <v>33241</v>
      </c>
      <c r="B2204" s="5" t="s">
        <v>2360</v>
      </c>
      <c r="C2204" s="17">
        <v>19940101</v>
      </c>
      <c r="D2204" s="17">
        <v>22991231</v>
      </c>
      <c r="E2204" s="25">
        <v>1945.71</v>
      </c>
    </row>
    <row r="2205" spans="1:5" x14ac:dyDescent="0.3">
      <c r="A2205" s="17" t="str">
        <f>"33244"</f>
        <v>33244</v>
      </c>
      <c r="B2205" s="5" t="s">
        <v>2361</v>
      </c>
      <c r="C2205" s="17">
        <v>19940101</v>
      </c>
      <c r="D2205" s="17">
        <v>22991231</v>
      </c>
      <c r="E2205" s="24" t="s">
        <v>7128</v>
      </c>
    </row>
    <row r="2206" spans="1:5" x14ac:dyDescent="0.3">
      <c r="A2206" s="17" t="str">
        <f>"33249"</f>
        <v>33249</v>
      </c>
      <c r="B2206" s="5" t="s">
        <v>2362</v>
      </c>
      <c r="C2206" s="17">
        <v>19940101</v>
      </c>
      <c r="D2206" s="17">
        <v>22991231</v>
      </c>
      <c r="E2206" s="25">
        <v>23708.53</v>
      </c>
    </row>
    <row r="2207" spans="1:5" ht="26" x14ac:dyDescent="0.3">
      <c r="A2207" s="17" t="str">
        <f>"33262"</f>
        <v>33262</v>
      </c>
      <c r="B2207" s="5" t="s">
        <v>2363</v>
      </c>
      <c r="C2207" s="17">
        <v>20120101</v>
      </c>
      <c r="D2207" s="17">
        <v>22991231</v>
      </c>
      <c r="E2207" s="25">
        <v>18271.759999999998</v>
      </c>
    </row>
    <row r="2208" spans="1:5" ht="26" x14ac:dyDescent="0.3">
      <c r="A2208" s="17" t="str">
        <f>"33263"</f>
        <v>33263</v>
      </c>
      <c r="B2208" s="5" t="s">
        <v>2364</v>
      </c>
      <c r="C2208" s="17">
        <v>20120101</v>
      </c>
      <c r="D2208" s="17">
        <v>22991231</v>
      </c>
      <c r="E2208" s="25">
        <v>18255.330000000002</v>
      </c>
    </row>
    <row r="2209" spans="1:5" ht="26" x14ac:dyDescent="0.3">
      <c r="A2209" s="17" t="str">
        <f>"33264"</f>
        <v>33264</v>
      </c>
      <c r="B2209" s="5" t="s">
        <v>2365</v>
      </c>
      <c r="C2209" s="17">
        <v>20120101</v>
      </c>
      <c r="D2209" s="17">
        <v>22991231</v>
      </c>
      <c r="E2209" s="25">
        <v>23883.32</v>
      </c>
    </row>
    <row r="2210" spans="1:5" ht="26" x14ac:dyDescent="0.3">
      <c r="A2210" s="17" t="str">
        <f>"33270"</f>
        <v>33270</v>
      </c>
      <c r="B2210" s="5" t="s">
        <v>2366</v>
      </c>
      <c r="C2210" s="17">
        <v>20230101</v>
      </c>
      <c r="D2210" s="17">
        <v>22991231</v>
      </c>
      <c r="E2210" s="25">
        <v>24022.14</v>
      </c>
    </row>
    <row r="2211" spans="1:5" x14ac:dyDescent="0.3">
      <c r="A2211" s="17" t="str">
        <f>"33271"</f>
        <v>33271</v>
      </c>
      <c r="B2211" s="5" t="s">
        <v>2367</v>
      </c>
      <c r="C2211" s="17">
        <v>20230101</v>
      </c>
      <c r="D2211" s="17">
        <v>22991231</v>
      </c>
      <c r="E2211" s="25">
        <v>5849.77</v>
      </c>
    </row>
    <row r="2212" spans="1:5" x14ac:dyDescent="0.3">
      <c r="A2212" s="17" t="str">
        <f>"33273"</f>
        <v>33273</v>
      </c>
      <c r="B2212" s="5" t="s">
        <v>2368</v>
      </c>
      <c r="C2212" s="17">
        <v>20230101</v>
      </c>
      <c r="D2212" s="17">
        <v>22991231</v>
      </c>
      <c r="E2212" s="25">
        <v>1945.71</v>
      </c>
    </row>
    <row r="2213" spans="1:5" ht="26" x14ac:dyDescent="0.3">
      <c r="A2213" s="17" t="str">
        <f>"33274"</f>
        <v>33274</v>
      </c>
      <c r="B2213" s="5" t="s">
        <v>2369</v>
      </c>
      <c r="C2213" s="17">
        <v>20230101</v>
      </c>
      <c r="D2213" s="17">
        <v>22991231</v>
      </c>
      <c r="E2213" s="25">
        <v>12569.77</v>
      </c>
    </row>
    <row r="2214" spans="1:5" ht="26" x14ac:dyDescent="0.3">
      <c r="A2214" s="17" t="str">
        <f>"33275"</f>
        <v>33275</v>
      </c>
      <c r="B2214" s="5" t="s">
        <v>2370</v>
      </c>
      <c r="C2214" s="17">
        <v>20200101</v>
      </c>
      <c r="D2214" s="17">
        <v>22991231</v>
      </c>
      <c r="E2214" s="25">
        <v>2204.94</v>
      </c>
    </row>
    <row r="2215" spans="1:5" ht="26" x14ac:dyDescent="0.3">
      <c r="A2215" s="17" t="str">
        <f>"33276"</f>
        <v>33276</v>
      </c>
      <c r="B2215" s="5" t="s">
        <v>2371</v>
      </c>
      <c r="C2215" s="17">
        <v>20240101</v>
      </c>
      <c r="D2215" s="17">
        <v>22991231</v>
      </c>
      <c r="E2215" s="25">
        <v>38748.78</v>
      </c>
    </row>
    <row r="2216" spans="1:5" ht="26" x14ac:dyDescent="0.3">
      <c r="A2216" s="17" t="str">
        <f>"33277"</f>
        <v>33277</v>
      </c>
      <c r="B2216" s="5" t="s">
        <v>2372</v>
      </c>
      <c r="C2216" s="17">
        <v>20240101</v>
      </c>
      <c r="D2216" s="17">
        <v>22991231</v>
      </c>
      <c r="E2216" s="25">
        <v>0</v>
      </c>
    </row>
    <row r="2217" spans="1:5" ht="26" x14ac:dyDescent="0.3">
      <c r="A2217" s="17" t="str">
        <f>"33278"</f>
        <v>33278</v>
      </c>
      <c r="B2217" s="5" t="s">
        <v>2373</v>
      </c>
      <c r="C2217" s="17">
        <v>20240101</v>
      </c>
      <c r="D2217" s="17">
        <v>22991231</v>
      </c>
      <c r="E2217" s="25">
        <v>1813.03</v>
      </c>
    </row>
    <row r="2218" spans="1:5" ht="26" x14ac:dyDescent="0.3">
      <c r="A2218" s="17" t="str">
        <f>"33279"</f>
        <v>33279</v>
      </c>
      <c r="B2218" s="5" t="s">
        <v>2374</v>
      </c>
      <c r="C2218" s="17">
        <v>20240101</v>
      </c>
      <c r="D2218" s="17">
        <v>22991231</v>
      </c>
      <c r="E2218" s="25">
        <v>2283.31</v>
      </c>
    </row>
    <row r="2219" spans="1:5" ht="26" x14ac:dyDescent="0.3">
      <c r="A2219" s="17" t="str">
        <f>"33280"</f>
        <v>33280</v>
      </c>
      <c r="B2219" s="5" t="s">
        <v>2375</v>
      </c>
      <c r="C2219" s="17">
        <v>20240101</v>
      </c>
      <c r="D2219" s="17">
        <v>22991231</v>
      </c>
      <c r="E2219" s="25">
        <v>1813.03</v>
      </c>
    </row>
    <row r="2220" spans="1:5" ht="26" x14ac:dyDescent="0.3">
      <c r="A2220" s="17" t="str">
        <f>"33281"</f>
        <v>33281</v>
      </c>
      <c r="B2220" s="5" t="s">
        <v>2376</v>
      </c>
      <c r="C2220" s="17">
        <v>20240101</v>
      </c>
      <c r="D2220" s="17">
        <v>22991231</v>
      </c>
      <c r="E2220" s="25">
        <v>1813.03</v>
      </c>
    </row>
    <row r="2221" spans="1:5" x14ac:dyDescent="0.3">
      <c r="A2221" s="17" t="str">
        <f>"33285"</f>
        <v>33285</v>
      </c>
      <c r="B2221" s="5" t="s">
        <v>2377</v>
      </c>
      <c r="C2221" s="17">
        <v>20230101</v>
      </c>
      <c r="D2221" s="17">
        <v>22991231</v>
      </c>
      <c r="E2221" s="25">
        <v>6588.92</v>
      </c>
    </row>
    <row r="2222" spans="1:5" ht="26" x14ac:dyDescent="0.3">
      <c r="A2222" s="17" t="str">
        <f>"33286"</f>
        <v>33286</v>
      </c>
      <c r="B2222" s="5" t="s">
        <v>2378</v>
      </c>
      <c r="C2222" s="17">
        <v>20230101</v>
      </c>
      <c r="D2222" s="17">
        <v>22991231</v>
      </c>
      <c r="E2222" s="25">
        <v>348.6</v>
      </c>
    </row>
    <row r="2223" spans="1:5" ht="26" x14ac:dyDescent="0.3">
      <c r="A2223" s="17" t="str">
        <f>"33287"</f>
        <v>33287</v>
      </c>
      <c r="B2223" s="5" t="s">
        <v>2379</v>
      </c>
      <c r="C2223" s="17">
        <v>20240101</v>
      </c>
      <c r="D2223" s="17">
        <v>22991231</v>
      </c>
      <c r="E2223" s="25">
        <v>23077.09</v>
      </c>
    </row>
    <row r="2224" spans="1:5" ht="26" x14ac:dyDescent="0.3">
      <c r="A2224" s="17" t="str">
        <f>"33288"</f>
        <v>33288</v>
      </c>
      <c r="B2224" s="5" t="s">
        <v>2380</v>
      </c>
      <c r="C2224" s="17">
        <v>20240101</v>
      </c>
      <c r="D2224" s="17">
        <v>22991231</v>
      </c>
      <c r="E2224" s="25">
        <v>10477.370000000001</v>
      </c>
    </row>
    <row r="2225" spans="1:5" ht="26" x14ac:dyDescent="0.3">
      <c r="A2225" s="17" t="str">
        <f>"33289"</f>
        <v>33289</v>
      </c>
      <c r="B2225" s="5" t="s">
        <v>2381</v>
      </c>
      <c r="C2225" s="17">
        <v>20240101</v>
      </c>
      <c r="D2225" s="17">
        <v>22991231</v>
      </c>
      <c r="E2225" s="25">
        <v>23583.68</v>
      </c>
    </row>
    <row r="2226" spans="1:5" ht="26" x14ac:dyDescent="0.3">
      <c r="A2226" s="17" t="str">
        <f>"33419"</f>
        <v>33419</v>
      </c>
      <c r="B2226" s="5" t="s">
        <v>2382</v>
      </c>
      <c r="C2226" s="17">
        <v>20230101</v>
      </c>
      <c r="D2226" s="17">
        <v>22991231</v>
      </c>
      <c r="E2226" s="25">
        <v>0</v>
      </c>
    </row>
    <row r="2227" spans="1:5" x14ac:dyDescent="0.3">
      <c r="A2227" s="17" t="str">
        <f>"33475"</f>
        <v>33475</v>
      </c>
      <c r="B2227" s="5" t="s">
        <v>2383</v>
      </c>
      <c r="C2227" s="17">
        <v>19940101</v>
      </c>
      <c r="D2227" s="17">
        <v>22991231</v>
      </c>
      <c r="E2227" s="24" t="s">
        <v>7128</v>
      </c>
    </row>
    <row r="2228" spans="1:5" x14ac:dyDescent="0.3">
      <c r="A2228" s="17" t="str">
        <f>"33508"</f>
        <v>33508</v>
      </c>
      <c r="B2228" s="5" t="s">
        <v>2384</v>
      </c>
      <c r="C2228" s="17">
        <v>20230101</v>
      </c>
      <c r="D2228" s="17">
        <v>22991231</v>
      </c>
      <c r="E2228" s="25">
        <v>0</v>
      </c>
    </row>
    <row r="2229" spans="1:5" ht="39" x14ac:dyDescent="0.3">
      <c r="A2229" s="17" t="str">
        <f>"33741"</f>
        <v>33741</v>
      </c>
      <c r="B2229" s="5" t="s">
        <v>2385</v>
      </c>
      <c r="C2229" s="17">
        <v>20210101</v>
      </c>
      <c r="D2229" s="17">
        <v>22991231</v>
      </c>
      <c r="E2229" s="24" t="s">
        <v>7128</v>
      </c>
    </row>
    <row r="2230" spans="1:5" ht="39" x14ac:dyDescent="0.3">
      <c r="A2230" s="17" t="str">
        <f>"33745"</f>
        <v>33745</v>
      </c>
      <c r="B2230" s="5" t="s">
        <v>2386</v>
      </c>
      <c r="C2230" s="17">
        <v>20210101</v>
      </c>
      <c r="D2230" s="17">
        <v>22991231</v>
      </c>
      <c r="E2230" s="24" t="s">
        <v>7128</v>
      </c>
    </row>
    <row r="2231" spans="1:5" ht="39" x14ac:dyDescent="0.3">
      <c r="A2231" s="17" t="str">
        <f>"33746"</f>
        <v>33746</v>
      </c>
      <c r="B2231" s="5" t="s">
        <v>2387</v>
      </c>
      <c r="C2231" s="17">
        <v>20210101</v>
      </c>
      <c r="D2231" s="17">
        <v>22991231</v>
      </c>
      <c r="E2231" s="24" t="s">
        <v>7128</v>
      </c>
    </row>
    <row r="2232" spans="1:5" x14ac:dyDescent="0.3">
      <c r="A2232" s="17" t="str">
        <f>"33866"</f>
        <v>33866</v>
      </c>
      <c r="B2232" s="5" t="s">
        <v>2388</v>
      </c>
      <c r="C2232" s="17">
        <v>20230101</v>
      </c>
      <c r="D2232" s="17">
        <v>22991231</v>
      </c>
      <c r="E2232" s="25">
        <v>0</v>
      </c>
    </row>
    <row r="2233" spans="1:5" ht="39" x14ac:dyDescent="0.3">
      <c r="A2233" s="17" t="str">
        <f>"33900"</f>
        <v>33900</v>
      </c>
      <c r="B2233" s="5" t="s">
        <v>2389</v>
      </c>
      <c r="C2233" s="17">
        <v>20230101</v>
      </c>
      <c r="D2233" s="17">
        <v>22991231</v>
      </c>
      <c r="E2233" s="25">
        <v>5831.08</v>
      </c>
    </row>
    <row r="2234" spans="1:5" ht="39" x14ac:dyDescent="0.3">
      <c r="A2234" s="17" t="str">
        <f>"33901"</f>
        <v>33901</v>
      </c>
      <c r="B2234" s="5" t="s">
        <v>2390</v>
      </c>
      <c r="C2234" s="17">
        <v>20230101</v>
      </c>
      <c r="D2234" s="17">
        <v>22991231</v>
      </c>
      <c r="E2234" s="25">
        <v>5831.08</v>
      </c>
    </row>
    <row r="2235" spans="1:5" ht="39" x14ac:dyDescent="0.3">
      <c r="A2235" s="17" t="str">
        <f>"33902"</f>
        <v>33902</v>
      </c>
      <c r="B2235" s="5" t="s">
        <v>2391</v>
      </c>
      <c r="C2235" s="17">
        <v>20230101</v>
      </c>
      <c r="D2235" s="17">
        <v>22991231</v>
      </c>
      <c r="E2235" s="25">
        <v>9461.34</v>
      </c>
    </row>
    <row r="2236" spans="1:5" ht="39" x14ac:dyDescent="0.3">
      <c r="A2236" s="17" t="str">
        <f>"33903"</f>
        <v>33903</v>
      </c>
      <c r="B2236" s="5" t="s">
        <v>2392</v>
      </c>
      <c r="C2236" s="17">
        <v>20230101</v>
      </c>
      <c r="D2236" s="17">
        <v>22991231</v>
      </c>
      <c r="E2236" s="25">
        <v>5831.08</v>
      </c>
    </row>
    <row r="2237" spans="1:5" ht="52" x14ac:dyDescent="0.3">
      <c r="A2237" s="17" t="str">
        <f>"33995"</f>
        <v>33995</v>
      </c>
      <c r="B2237" s="5" t="s">
        <v>2393</v>
      </c>
      <c r="C2237" s="17">
        <v>20210101</v>
      </c>
      <c r="D2237" s="17">
        <v>22991231</v>
      </c>
      <c r="E2237" s="24" t="s">
        <v>7128</v>
      </c>
    </row>
    <row r="2238" spans="1:5" ht="26" x14ac:dyDescent="0.3">
      <c r="A2238" s="17" t="str">
        <f>"33997"</f>
        <v>33997</v>
      </c>
      <c r="B2238" s="5" t="s">
        <v>2394</v>
      </c>
      <c r="C2238" s="17">
        <v>20210101</v>
      </c>
      <c r="D2238" s="17">
        <v>22991231</v>
      </c>
      <c r="E2238" s="24" t="s">
        <v>7128</v>
      </c>
    </row>
    <row r="2239" spans="1:5" x14ac:dyDescent="0.3">
      <c r="A2239" s="17" t="str">
        <f>"34101"</f>
        <v>34101</v>
      </c>
      <c r="B2239" s="5" t="s">
        <v>2395</v>
      </c>
      <c r="C2239" s="17">
        <v>19900101</v>
      </c>
      <c r="D2239" s="17">
        <v>22991231</v>
      </c>
      <c r="E2239" s="24" t="s">
        <v>7128</v>
      </c>
    </row>
    <row r="2240" spans="1:5" x14ac:dyDescent="0.3">
      <c r="A2240" s="17" t="str">
        <f>"34201"</f>
        <v>34201</v>
      </c>
      <c r="B2240" s="5" t="s">
        <v>2396</v>
      </c>
      <c r="C2240" s="17">
        <v>19900101</v>
      </c>
      <c r="D2240" s="17">
        <v>22991231</v>
      </c>
      <c r="E2240" s="24" t="s">
        <v>7128</v>
      </c>
    </row>
    <row r="2241" spans="1:5" x14ac:dyDescent="0.3">
      <c r="A2241" s="17" t="str">
        <f>"34203"</f>
        <v>34203</v>
      </c>
      <c r="B2241" s="5" t="s">
        <v>2397</v>
      </c>
      <c r="C2241" s="17">
        <v>19900101</v>
      </c>
      <c r="D2241" s="17">
        <v>22991231</v>
      </c>
      <c r="E2241" s="24" t="s">
        <v>7128</v>
      </c>
    </row>
    <row r="2242" spans="1:5" ht="26" x14ac:dyDescent="0.3">
      <c r="A2242" s="17" t="str">
        <f>"34421"</f>
        <v>34421</v>
      </c>
      <c r="B2242" s="5" t="s">
        <v>2398</v>
      </c>
      <c r="C2242" s="17">
        <v>19900101</v>
      </c>
      <c r="D2242" s="17">
        <v>22991231</v>
      </c>
      <c r="E2242" s="24" t="s">
        <v>7128</v>
      </c>
    </row>
    <row r="2243" spans="1:5" x14ac:dyDescent="0.3">
      <c r="A2243" s="17" t="str">
        <f>"34471"</f>
        <v>34471</v>
      </c>
      <c r="B2243" s="5" t="s">
        <v>2399</v>
      </c>
      <c r="C2243" s="17">
        <v>19900101</v>
      </c>
      <c r="D2243" s="17">
        <v>22991231</v>
      </c>
      <c r="E2243" s="24" t="s">
        <v>7128</v>
      </c>
    </row>
    <row r="2244" spans="1:5" ht="26" x14ac:dyDescent="0.3">
      <c r="A2244" s="17" t="str">
        <f>"34490"</f>
        <v>34490</v>
      </c>
      <c r="B2244" s="5" t="s">
        <v>2400</v>
      </c>
      <c r="C2244" s="17">
        <v>19900101</v>
      </c>
      <c r="D2244" s="17">
        <v>22991231</v>
      </c>
      <c r="E2244" s="25">
        <v>1478.57</v>
      </c>
    </row>
    <row r="2245" spans="1:5" x14ac:dyDescent="0.3">
      <c r="A2245" s="17" t="str">
        <f>"34713"</f>
        <v>34713</v>
      </c>
      <c r="B2245" s="5" t="s">
        <v>2401</v>
      </c>
      <c r="C2245" s="17">
        <v>20180101</v>
      </c>
      <c r="D2245" s="17">
        <v>22991231</v>
      </c>
      <c r="E2245" s="25">
        <v>0</v>
      </c>
    </row>
    <row r="2246" spans="1:5" ht="26" x14ac:dyDescent="0.3">
      <c r="A2246" s="17" t="str">
        <f>"34714"</f>
        <v>34714</v>
      </c>
      <c r="B2246" s="5" t="s">
        <v>2402</v>
      </c>
      <c r="C2246" s="17">
        <v>20180101</v>
      </c>
      <c r="D2246" s="17">
        <v>22991231</v>
      </c>
      <c r="E2246" s="25">
        <v>0</v>
      </c>
    </row>
    <row r="2247" spans="1:5" ht="26" x14ac:dyDescent="0.3">
      <c r="A2247" s="17" t="str">
        <f>"34715"</f>
        <v>34715</v>
      </c>
      <c r="B2247" s="5" t="s">
        <v>2403</v>
      </c>
      <c r="C2247" s="17">
        <v>20180101</v>
      </c>
      <c r="D2247" s="17">
        <v>22991231</v>
      </c>
      <c r="E2247" s="25">
        <v>0</v>
      </c>
    </row>
    <row r="2248" spans="1:5" ht="26" x14ac:dyDescent="0.3">
      <c r="A2248" s="17" t="str">
        <f>"34716"</f>
        <v>34716</v>
      </c>
      <c r="B2248" s="5" t="s">
        <v>2404</v>
      </c>
      <c r="C2248" s="17">
        <v>20180101</v>
      </c>
      <c r="D2248" s="17">
        <v>22991231</v>
      </c>
      <c r="E2248" s="25">
        <v>0</v>
      </c>
    </row>
    <row r="2249" spans="1:5" x14ac:dyDescent="0.3">
      <c r="A2249" s="17" t="str">
        <f>"35011"</f>
        <v>35011</v>
      </c>
      <c r="B2249" s="5" t="s">
        <v>2405</v>
      </c>
      <c r="C2249" s="17">
        <v>19900101</v>
      </c>
      <c r="D2249" s="17">
        <v>22991231</v>
      </c>
      <c r="E2249" s="24" t="s">
        <v>7128</v>
      </c>
    </row>
    <row r="2250" spans="1:5" ht="26" x14ac:dyDescent="0.3">
      <c r="A2250" s="17" t="str">
        <f>"35188"</f>
        <v>35188</v>
      </c>
      <c r="B2250" s="5" t="s">
        <v>2406</v>
      </c>
      <c r="C2250" s="17">
        <v>20030401</v>
      </c>
      <c r="D2250" s="17">
        <v>22991231</v>
      </c>
      <c r="E2250" s="25">
        <v>2772.9</v>
      </c>
    </row>
    <row r="2251" spans="1:5" x14ac:dyDescent="0.3">
      <c r="A2251" s="17" t="str">
        <f>"35201"</f>
        <v>35201</v>
      </c>
      <c r="B2251" s="5" t="s">
        <v>2407</v>
      </c>
      <c r="C2251" s="17">
        <v>19900101</v>
      </c>
      <c r="D2251" s="17">
        <v>22991231</v>
      </c>
      <c r="E2251" s="24" t="s">
        <v>7128</v>
      </c>
    </row>
    <row r="2252" spans="1:5" x14ac:dyDescent="0.3">
      <c r="A2252" s="17" t="str">
        <f>"35206"</f>
        <v>35206</v>
      </c>
      <c r="B2252" s="5" t="s">
        <v>2408</v>
      </c>
      <c r="C2252" s="17">
        <v>19900101</v>
      </c>
      <c r="D2252" s="17">
        <v>22991231</v>
      </c>
      <c r="E2252" s="24" t="s">
        <v>7128</v>
      </c>
    </row>
    <row r="2253" spans="1:5" x14ac:dyDescent="0.3">
      <c r="A2253" s="17" t="str">
        <f>"35207"</f>
        <v>35207</v>
      </c>
      <c r="B2253" s="5" t="s">
        <v>2409</v>
      </c>
      <c r="C2253" s="17">
        <v>19900101</v>
      </c>
      <c r="D2253" s="17">
        <v>22991231</v>
      </c>
      <c r="E2253" s="25">
        <v>1478.57</v>
      </c>
    </row>
    <row r="2254" spans="1:5" x14ac:dyDescent="0.3">
      <c r="A2254" s="17" t="str">
        <f>"35226"</f>
        <v>35226</v>
      </c>
      <c r="B2254" s="5" t="s">
        <v>2410</v>
      </c>
      <c r="C2254" s="17">
        <v>19900101</v>
      </c>
      <c r="D2254" s="17">
        <v>22991231</v>
      </c>
      <c r="E2254" s="24" t="s">
        <v>7128</v>
      </c>
    </row>
    <row r="2255" spans="1:5" x14ac:dyDescent="0.3">
      <c r="A2255" s="17" t="str">
        <f>"35231"</f>
        <v>35231</v>
      </c>
      <c r="B2255" s="5" t="s">
        <v>2411</v>
      </c>
      <c r="C2255" s="17">
        <v>19900101</v>
      </c>
      <c r="D2255" s="17">
        <v>22991231</v>
      </c>
      <c r="E2255" s="24" t="s">
        <v>7128</v>
      </c>
    </row>
    <row r="2256" spans="1:5" x14ac:dyDescent="0.3">
      <c r="A2256" s="17" t="str">
        <f>"35236"</f>
        <v>35236</v>
      </c>
      <c r="B2256" s="5" t="s">
        <v>2412</v>
      </c>
      <c r="C2256" s="17">
        <v>19900101</v>
      </c>
      <c r="D2256" s="17">
        <v>22991231</v>
      </c>
      <c r="E2256" s="24" t="s">
        <v>7128</v>
      </c>
    </row>
    <row r="2257" spans="1:5" x14ac:dyDescent="0.3">
      <c r="A2257" s="17" t="str">
        <f>"35256"</f>
        <v>35256</v>
      </c>
      <c r="B2257" s="5" t="s">
        <v>2413</v>
      </c>
      <c r="C2257" s="17">
        <v>19900101</v>
      </c>
      <c r="D2257" s="17">
        <v>22991231</v>
      </c>
      <c r="E2257" s="24" t="s">
        <v>7128</v>
      </c>
    </row>
    <row r="2258" spans="1:5" x14ac:dyDescent="0.3">
      <c r="A2258" s="17" t="str">
        <f>"35261"</f>
        <v>35261</v>
      </c>
      <c r="B2258" s="5" t="s">
        <v>2414</v>
      </c>
      <c r="C2258" s="17">
        <v>19900101</v>
      </c>
      <c r="D2258" s="17">
        <v>22991231</v>
      </c>
      <c r="E2258" s="24" t="s">
        <v>7128</v>
      </c>
    </row>
    <row r="2259" spans="1:5" x14ac:dyDescent="0.3">
      <c r="A2259" s="17" t="str">
        <f>"35266"</f>
        <v>35266</v>
      </c>
      <c r="B2259" s="5" t="s">
        <v>2415</v>
      </c>
      <c r="C2259" s="17">
        <v>19900101</v>
      </c>
      <c r="D2259" s="17">
        <v>22991231</v>
      </c>
      <c r="E2259" s="24" t="s">
        <v>7128</v>
      </c>
    </row>
    <row r="2260" spans="1:5" x14ac:dyDescent="0.3">
      <c r="A2260" s="17" t="str">
        <f>"35286"</f>
        <v>35286</v>
      </c>
      <c r="B2260" s="5" t="s">
        <v>2416</v>
      </c>
      <c r="C2260" s="17">
        <v>19900101</v>
      </c>
      <c r="D2260" s="17">
        <v>22991231</v>
      </c>
      <c r="E2260" s="24" t="s">
        <v>7128</v>
      </c>
    </row>
    <row r="2261" spans="1:5" ht="26" x14ac:dyDescent="0.3">
      <c r="A2261" s="17" t="str">
        <f>"35321"</f>
        <v>35321</v>
      </c>
      <c r="B2261" s="5" t="s">
        <v>2417</v>
      </c>
      <c r="C2261" s="17">
        <v>19900101</v>
      </c>
      <c r="D2261" s="17">
        <v>22991231</v>
      </c>
      <c r="E2261" s="24" t="s">
        <v>7128</v>
      </c>
    </row>
    <row r="2262" spans="1:5" x14ac:dyDescent="0.3">
      <c r="A2262" s="17" t="str">
        <f>"35500"</f>
        <v>35500</v>
      </c>
      <c r="B2262" s="5" t="s">
        <v>2418</v>
      </c>
      <c r="C2262" s="17">
        <v>19990101</v>
      </c>
      <c r="D2262" s="17">
        <v>22991231</v>
      </c>
      <c r="E2262" s="24" t="s">
        <v>7128</v>
      </c>
    </row>
    <row r="2263" spans="1:5" x14ac:dyDescent="0.3">
      <c r="A2263" s="17" t="str">
        <f>"35572"</f>
        <v>35572</v>
      </c>
      <c r="B2263" s="5" t="s">
        <v>2419</v>
      </c>
      <c r="C2263" s="17">
        <v>20230101</v>
      </c>
      <c r="D2263" s="17">
        <v>22991231</v>
      </c>
      <c r="E2263" s="25">
        <v>0</v>
      </c>
    </row>
    <row r="2264" spans="1:5" ht="26" x14ac:dyDescent="0.3">
      <c r="A2264" s="17" t="str">
        <f>"35860"</f>
        <v>35860</v>
      </c>
      <c r="B2264" s="5" t="s">
        <v>2420</v>
      </c>
      <c r="C2264" s="17">
        <v>19900101</v>
      </c>
      <c r="D2264" s="17">
        <v>22991231</v>
      </c>
      <c r="E2264" s="24" t="s">
        <v>7128</v>
      </c>
    </row>
    <row r="2265" spans="1:5" x14ac:dyDescent="0.3">
      <c r="A2265" s="17" t="str">
        <f>"35875"</f>
        <v>35875</v>
      </c>
      <c r="B2265" s="5" t="s">
        <v>2421</v>
      </c>
      <c r="C2265" s="17">
        <v>20230101</v>
      </c>
      <c r="D2265" s="17">
        <v>22991231</v>
      </c>
      <c r="E2265" s="25">
        <v>2772.9</v>
      </c>
    </row>
    <row r="2266" spans="1:5" ht="26" x14ac:dyDescent="0.3">
      <c r="A2266" s="17" t="str">
        <f>"35876"</f>
        <v>35876</v>
      </c>
      <c r="B2266" s="5" t="s">
        <v>2422</v>
      </c>
      <c r="C2266" s="17">
        <v>19940101</v>
      </c>
      <c r="D2266" s="17">
        <v>22991231</v>
      </c>
      <c r="E2266" s="25">
        <v>2772.9</v>
      </c>
    </row>
    <row r="2267" spans="1:5" x14ac:dyDescent="0.3">
      <c r="A2267" s="17" t="str">
        <f>"35879"</f>
        <v>35879</v>
      </c>
      <c r="B2267" s="5" t="s">
        <v>2423</v>
      </c>
      <c r="C2267" s="17">
        <v>20000101</v>
      </c>
      <c r="D2267" s="17">
        <v>22991231</v>
      </c>
      <c r="E2267" s="24" t="s">
        <v>7128</v>
      </c>
    </row>
    <row r="2268" spans="1:5" ht="26" x14ac:dyDescent="0.3">
      <c r="A2268" s="17" t="str">
        <f>"35881"</f>
        <v>35881</v>
      </c>
      <c r="B2268" s="5" t="s">
        <v>2424</v>
      </c>
      <c r="C2268" s="17">
        <v>20000101</v>
      </c>
      <c r="D2268" s="17">
        <v>22991231</v>
      </c>
      <c r="E2268" s="24" t="s">
        <v>7128</v>
      </c>
    </row>
    <row r="2269" spans="1:5" x14ac:dyDescent="0.3">
      <c r="A2269" s="17" t="str">
        <f>"35903"</f>
        <v>35903</v>
      </c>
      <c r="B2269" s="5" t="s">
        <v>2425</v>
      </c>
      <c r="C2269" s="17">
        <v>19940101</v>
      </c>
      <c r="D2269" s="17">
        <v>22991231</v>
      </c>
      <c r="E2269" s="24" t="s">
        <v>7128</v>
      </c>
    </row>
    <row r="2270" spans="1:5" x14ac:dyDescent="0.3">
      <c r="A2270" s="17" t="str">
        <f>"36000"</f>
        <v>36000</v>
      </c>
      <c r="B2270" s="5" t="s">
        <v>2426</v>
      </c>
      <c r="C2270" s="17">
        <v>19900101</v>
      </c>
      <c r="D2270" s="17">
        <v>22991231</v>
      </c>
      <c r="E2270" s="25">
        <v>0</v>
      </c>
    </row>
    <row r="2271" spans="1:5" ht="26" x14ac:dyDescent="0.3">
      <c r="A2271" s="17" t="str">
        <f>"36002"</f>
        <v>36002</v>
      </c>
      <c r="B2271" s="5" t="s">
        <v>2427</v>
      </c>
      <c r="C2271" s="17">
        <v>20230101</v>
      </c>
      <c r="D2271" s="17">
        <v>22991231</v>
      </c>
      <c r="E2271" s="25">
        <v>311.25</v>
      </c>
    </row>
    <row r="2272" spans="1:5" ht="26" x14ac:dyDescent="0.3">
      <c r="A2272" s="17" t="str">
        <f>"36005"</f>
        <v>36005</v>
      </c>
      <c r="B2272" s="5" t="s">
        <v>2428</v>
      </c>
      <c r="C2272" s="17">
        <v>20230101</v>
      </c>
      <c r="D2272" s="17">
        <v>22991231</v>
      </c>
      <c r="E2272" s="25">
        <v>0</v>
      </c>
    </row>
    <row r="2273" spans="1:5" x14ac:dyDescent="0.3">
      <c r="A2273" s="17" t="str">
        <f>"36010"</f>
        <v>36010</v>
      </c>
      <c r="B2273" s="5" t="s">
        <v>2429</v>
      </c>
      <c r="C2273" s="17">
        <v>19900101</v>
      </c>
      <c r="D2273" s="17">
        <v>22991231</v>
      </c>
      <c r="E2273" s="25">
        <v>0</v>
      </c>
    </row>
    <row r="2274" spans="1:5" x14ac:dyDescent="0.3">
      <c r="A2274" s="17" t="str">
        <f>"36011"</f>
        <v>36011</v>
      </c>
      <c r="B2274" s="5" t="s">
        <v>2430</v>
      </c>
      <c r="C2274" s="17">
        <v>19920115</v>
      </c>
      <c r="D2274" s="17">
        <v>22991231</v>
      </c>
      <c r="E2274" s="25">
        <v>0</v>
      </c>
    </row>
    <row r="2275" spans="1:5" x14ac:dyDescent="0.3">
      <c r="A2275" s="17" t="str">
        <f>"36012"</f>
        <v>36012</v>
      </c>
      <c r="B2275" s="5" t="s">
        <v>2431</v>
      </c>
      <c r="C2275" s="17">
        <v>19920115</v>
      </c>
      <c r="D2275" s="17">
        <v>22991231</v>
      </c>
      <c r="E2275" s="25">
        <v>0</v>
      </c>
    </row>
    <row r="2276" spans="1:5" ht="26" x14ac:dyDescent="0.3">
      <c r="A2276" s="17" t="str">
        <f>"36013"</f>
        <v>36013</v>
      </c>
      <c r="B2276" s="5" t="s">
        <v>2432</v>
      </c>
      <c r="C2276" s="17">
        <v>19920115</v>
      </c>
      <c r="D2276" s="17">
        <v>22991231</v>
      </c>
      <c r="E2276" s="25">
        <v>0</v>
      </c>
    </row>
    <row r="2277" spans="1:5" ht="26" x14ac:dyDescent="0.3">
      <c r="A2277" s="17" t="str">
        <f>"36014"</f>
        <v>36014</v>
      </c>
      <c r="B2277" s="5" t="s">
        <v>2433</v>
      </c>
      <c r="C2277" s="17">
        <v>19920115</v>
      </c>
      <c r="D2277" s="17">
        <v>22991231</v>
      </c>
      <c r="E2277" s="25">
        <v>0</v>
      </c>
    </row>
    <row r="2278" spans="1:5" x14ac:dyDescent="0.3">
      <c r="A2278" s="17" t="str">
        <f>"36015"</f>
        <v>36015</v>
      </c>
      <c r="B2278" s="5" t="s">
        <v>2434</v>
      </c>
      <c r="C2278" s="17">
        <v>19920115</v>
      </c>
      <c r="D2278" s="17">
        <v>22991231</v>
      </c>
      <c r="E2278" s="25">
        <v>0</v>
      </c>
    </row>
    <row r="2279" spans="1:5" ht="26" x14ac:dyDescent="0.3">
      <c r="A2279" s="17" t="str">
        <f>"36100"</f>
        <v>36100</v>
      </c>
      <c r="B2279" s="5" t="s">
        <v>2435</v>
      </c>
      <c r="C2279" s="17">
        <v>19900101</v>
      </c>
      <c r="D2279" s="17">
        <v>22991231</v>
      </c>
      <c r="E2279" s="25">
        <v>0</v>
      </c>
    </row>
    <row r="2280" spans="1:5" ht="26" x14ac:dyDescent="0.3">
      <c r="A2280" s="17" t="str">
        <f>"36140"</f>
        <v>36140</v>
      </c>
      <c r="B2280" s="5" t="s">
        <v>2436</v>
      </c>
      <c r="C2280" s="17">
        <v>19900101</v>
      </c>
      <c r="D2280" s="17">
        <v>22991231</v>
      </c>
      <c r="E2280" s="25">
        <v>0</v>
      </c>
    </row>
    <row r="2281" spans="1:5" x14ac:dyDescent="0.3">
      <c r="A2281" s="17" t="str">
        <f>"36160"</f>
        <v>36160</v>
      </c>
      <c r="B2281" s="5" t="s">
        <v>2437</v>
      </c>
      <c r="C2281" s="17">
        <v>19900101</v>
      </c>
      <c r="D2281" s="17">
        <v>22991231</v>
      </c>
      <c r="E2281" s="25">
        <v>0</v>
      </c>
    </row>
    <row r="2282" spans="1:5" x14ac:dyDescent="0.3">
      <c r="A2282" s="17" t="str">
        <f>"36200"</f>
        <v>36200</v>
      </c>
      <c r="B2282" s="5" t="s">
        <v>2438</v>
      </c>
      <c r="C2282" s="17">
        <v>19900101</v>
      </c>
      <c r="D2282" s="17">
        <v>22991231</v>
      </c>
      <c r="E2282" s="25">
        <v>0</v>
      </c>
    </row>
    <row r="2283" spans="1:5" ht="26" x14ac:dyDescent="0.3">
      <c r="A2283" s="17" t="str">
        <f>"36215"</f>
        <v>36215</v>
      </c>
      <c r="B2283" s="5" t="s">
        <v>2439</v>
      </c>
      <c r="C2283" s="17">
        <v>19900101</v>
      </c>
      <c r="D2283" s="17">
        <v>22991231</v>
      </c>
      <c r="E2283" s="25">
        <v>0</v>
      </c>
    </row>
    <row r="2284" spans="1:5" ht="26" x14ac:dyDescent="0.3">
      <c r="A2284" s="17" t="str">
        <f>"36216"</f>
        <v>36216</v>
      </c>
      <c r="B2284" s="5" t="s">
        <v>2440</v>
      </c>
      <c r="C2284" s="17">
        <v>19920115</v>
      </c>
      <c r="D2284" s="17">
        <v>22991231</v>
      </c>
      <c r="E2284" s="25">
        <v>0</v>
      </c>
    </row>
    <row r="2285" spans="1:5" ht="26" x14ac:dyDescent="0.3">
      <c r="A2285" s="17" t="str">
        <f>"36217"</f>
        <v>36217</v>
      </c>
      <c r="B2285" s="5" t="s">
        <v>2441</v>
      </c>
      <c r="C2285" s="17">
        <v>19920115</v>
      </c>
      <c r="D2285" s="17">
        <v>22991231</v>
      </c>
      <c r="E2285" s="25">
        <v>0</v>
      </c>
    </row>
    <row r="2286" spans="1:5" ht="26" x14ac:dyDescent="0.3">
      <c r="A2286" s="17" t="str">
        <f>"36218"</f>
        <v>36218</v>
      </c>
      <c r="B2286" s="5" t="s">
        <v>2442</v>
      </c>
      <c r="C2286" s="17">
        <v>19920115</v>
      </c>
      <c r="D2286" s="17">
        <v>22991231</v>
      </c>
      <c r="E2286" s="25">
        <v>0</v>
      </c>
    </row>
    <row r="2287" spans="1:5" ht="26" x14ac:dyDescent="0.3">
      <c r="A2287" s="17" t="str">
        <f>"36221"</f>
        <v>36221</v>
      </c>
      <c r="B2287" s="5" t="s">
        <v>2443</v>
      </c>
      <c r="C2287" s="17">
        <v>20130101</v>
      </c>
      <c r="D2287" s="17">
        <v>22991231</v>
      </c>
      <c r="E2287" s="25">
        <v>0</v>
      </c>
    </row>
    <row r="2288" spans="1:5" ht="26" x14ac:dyDescent="0.3">
      <c r="A2288" s="17" t="str">
        <f>"36222"</f>
        <v>36222</v>
      </c>
      <c r="B2288" s="5" t="s">
        <v>2444</v>
      </c>
      <c r="C2288" s="17">
        <v>20130101</v>
      </c>
      <c r="D2288" s="17">
        <v>22991231</v>
      </c>
      <c r="E2288" s="25">
        <v>0</v>
      </c>
    </row>
    <row r="2289" spans="1:5" ht="26" x14ac:dyDescent="0.3">
      <c r="A2289" s="17" t="str">
        <f>"36223"</f>
        <v>36223</v>
      </c>
      <c r="B2289" s="5" t="s">
        <v>2445</v>
      </c>
      <c r="C2289" s="17">
        <v>20130101</v>
      </c>
      <c r="D2289" s="17">
        <v>22991231</v>
      </c>
      <c r="E2289" s="25">
        <v>0</v>
      </c>
    </row>
    <row r="2290" spans="1:5" ht="26" x14ac:dyDescent="0.3">
      <c r="A2290" s="17" t="str">
        <f>"36224"</f>
        <v>36224</v>
      </c>
      <c r="B2290" s="5" t="s">
        <v>2446</v>
      </c>
      <c r="C2290" s="17">
        <v>20130101</v>
      </c>
      <c r="D2290" s="17">
        <v>22991231</v>
      </c>
      <c r="E2290" s="25">
        <v>0</v>
      </c>
    </row>
    <row r="2291" spans="1:5" ht="26" x14ac:dyDescent="0.3">
      <c r="A2291" s="17" t="str">
        <f>"36225"</f>
        <v>36225</v>
      </c>
      <c r="B2291" s="5" t="s">
        <v>2447</v>
      </c>
      <c r="C2291" s="17">
        <v>20130101</v>
      </c>
      <c r="D2291" s="17">
        <v>22991231</v>
      </c>
      <c r="E2291" s="25">
        <v>0</v>
      </c>
    </row>
    <row r="2292" spans="1:5" ht="26" x14ac:dyDescent="0.3">
      <c r="A2292" s="17" t="str">
        <f>"36226"</f>
        <v>36226</v>
      </c>
      <c r="B2292" s="5" t="s">
        <v>2448</v>
      </c>
      <c r="C2292" s="17">
        <v>20130101</v>
      </c>
      <c r="D2292" s="17">
        <v>22991231</v>
      </c>
      <c r="E2292" s="25">
        <v>0</v>
      </c>
    </row>
    <row r="2293" spans="1:5" ht="26" x14ac:dyDescent="0.3">
      <c r="A2293" s="17" t="str">
        <f>"36227"</f>
        <v>36227</v>
      </c>
      <c r="B2293" s="5" t="s">
        <v>2449</v>
      </c>
      <c r="C2293" s="17">
        <v>20130101</v>
      </c>
      <c r="D2293" s="17">
        <v>22991231</v>
      </c>
      <c r="E2293" s="25">
        <v>0</v>
      </c>
    </row>
    <row r="2294" spans="1:5" ht="26" x14ac:dyDescent="0.3">
      <c r="A2294" s="17" t="str">
        <f>"36228"</f>
        <v>36228</v>
      </c>
      <c r="B2294" s="5" t="s">
        <v>2450</v>
      </c>
      <c r="C2294" s="17">
        <v>20130101</v>
      </c>
      <c r="D2294" s="17">
        <v>22991231</v>
      </c>
      <c r="E2294" s="25">
        <v>0</v>
      </c>
    </row>
    <row r="2295" spans="1:5" ht="26" x14ac:dyDescent="0.3">
      <c r="A2295" s="17" t="str">
        <f>"36245"</f>
        <v>36245</v>
      </c>
      <c r="B2295" s="5" t="s">
        <v>2451</v>
      </c>
      <c r="C2295" s="17">
        <v>19900101</v>
      </c>
      <c r="D2295" s="17">
        <v>22991231</v>
      </c>
      <c r="E2295" s="25">
        <v>0</v>
      </c>
    </row>
    <row r="2296" spans="1:5" ht="26" x14ac:dyDescent="0.3">
      <c r="A2296" s="17" t="str">
        <f>"36246"</f>
        <v>36246</v>
      </c>
      <c r="B2296" s="5" t="s">
        <v>2452</v>
      </c>
      <c r="C2296" s="17">
        <v>19920115</v>
      </c>
      <c r="D2296" s="17">
        <v>22991231</v>
      </c>
      <c r="E2296" s="25">
        <v>0</v>
      </c>
    </row>
    <row r="2297" spans="1:5" ht="26" x14ac:dyDescent="0.3">
      <c r="A2297" s="17" t="str">
        <f>"36247"</f>
        <v>36247</v>
      </c>
      <c r="B2297" s="5" t="s">
        <v>2453</v>
      </c>
      <c r="C2297" s="17">
        <v>19920115</v>
      </c>
      <c r="D2297" s="17">
        <v>22991231</v>
      </c>
      <c r="E2297" s="25">
        <v>0</v>
      </c>
    </row>
    <row r="2298" spans="1:5" ht="26" x14ac:dyDescent="0.3">
      <c r="A2298" s="17" t="str">
        <f>"36248"</f>
        <v>36248</v>
      </c>
      <c r="B2298" s="5" t="s">
        <v>2454</v>
      </c>
      <c r="C2298" s="17">
        <v>19920115</v>
      </c>
      <c r="D2298" s="17">
        <v>22991231</v>
      </c>
      <c r="E2298" s="25">
        <v>0</v>
      </c>
    </row>
    <row r="2299" spans="1:5" ht="39" x14ac:dyDescent="0.3">
      <c r="A2299" s="17" t="str">
        <f>"36251"</f>
        <v>36251</v>
      </c>
      <c r="B2299" s="5" t="s">
        <v>2455</v>
      </c>
      <c r="C2299" s="17">
        <v>20120101</v>
      </c>
      <c r="D2299" s="17">
        <v>22991231</v>
      </c>
      <c r="E2299" s="25">
        <v>0</v>
      </c>
    </row>
    <row r="2300" spans="1:5" ht="39" x14ac:dyDescent="0.3">
      <c r="A2300" s="17" t="str">
        <f>"36252"</f>
        <v>36252</v>
      </c>
      <c r="B2300" s="5" t="s">
        <v>2456</v>
      </c>
      <c r="C2300" s="17">
        <v>20120101</v>
      </c>
      <c r="D2300" s="17">
        <v>22991231</v>
      </c>
      <c r="E2300" s="25">
        <v>0</v>
      </c>
    </row>
    <row r="2301" spans="1:5" ht="39" x14ac:dyDescent="0.3">
      <c r="A2301" s="17" t="str">
        <f>"36253"</f>
        <v>36253</v>
      </c>
      <c r="B2301" s="5" t="s">
        <v>2457</v>
      </c>
      <c r="C2301" s="17">
        <v>20120101</v>
      </c>
      <c r="D2301" s="17">
        <v>22991231</v>
      </c>
      <c r="E2301" s="25">
        <v>0</v>
      </c>
    </row>
    <row r="2302" spans="1:5" ht="39" x14ac:dyDescent="0.3">
      <c r="A2302" s="17" t="str">
        <f>"36254"</f>
        <v>36254</v>
      </c>
      <c r="B2302" s="5" t="s">
        <v>2458</v>
      </c>
      <c r="C2302" s="17">
        <v>20120101</v>
      </c>
      <c r="D2302" s="17">
        <v>22991231</v>
      </c>
      <c r="E2302" s="25">
        <v>0</v>
      </c>
    </row>
    <row r="2303" spans="1:5" x14ac:dyDescent="0.3">
      <c r="A2303" s="17" t="str">
        <f>"36260"</f>
        <v>36260</v>
      </c>
      <c r="B2303" s="5" t="s">
        <v>2459</v>
      </c>
      <c r="C2303" s="17">
        <v>19900101</v>
      </c>
      <c r="D2303" s="17">
        <v>22991231</v>
      </c>
      <c r="E2303" s="25">
        <v>2772.9</v>
      </c>
    </row>
    <row r="2304" spans="1:5" x14ac:dyDescent="0.3">
      <c r="A2304" s="17" t="str">
        <f>"36261"</f>
        <v>36261</v>
      </c>
      <c r="B2304" s="5" t="s">
        <v>2460</v>
      </c>
      <c r="C2304" s="17">
        <v>19900101</v>
      </c>
      <c r="D2304" s="17">
        <v>22991231</v>
      </c>
      <c r="E2304" s="25">
        <v>2693.66</v>
      </c>
    </row>
    <row r="2305" spans="1:5" x14ac:dyDescent="0.3">
      <c r="A2305" s="17" t="str">
        <f>"36262"</f>
        <v>36262</v>
      </c>
      <c r="B2305" s="5" t="s">
        <v>2461</v>
      </c>
      <c r="C2305" s="17">
        <v>19900101</v>
      </c>
      <c r="D2305" s="17">
        <v>22991231</v>
      </c>
      <c r="E2305" s="25">
        <v>1945.71</v>
      </c>
    </row>
    <row r="2306" spans="1:5" ht="26" x14ac:dyDescent="0.3">
      <c r="A2306" s="17" t="str">
        <f>"36400"</f>
        <v>36400</v>
      </c>
      <c r="B2306" s="5" t="s">
        <v>2462</v>
      </c>
      <c r="C2306" s="17">
        <v>19900101</v>
      </c>
      <c r="D2306" s="17">
        <v>22991231</v>
      </c>
      <c r="E2306" s="25">
        <v>0</v>
      </c>
    </row>
    <row r="2307" spans="1:5" ht="26" x14ac:dyDescent="0.3">
      <c r="A2307" s="17" t="str">
        <f>"36405"</f>
        <v>36405</v>
      </c>
      <c r="B2307" s="5" t="s">
        <v>2463</v>
      </c>
      <c r="C2307" s="17">
        <v>19900101</v>
      </c>
      <c r="D2307" s="17">
        <v>22991231</v>
      </c>
      <c r="E2307" s="25">
        <v>0</v>
      </c>
    </row>
    <row r="2308" spans="1:5" ht="26" x14ac:dyDescent="0.3">
      <c r="A2308" s="17" t="str">
        <f>"36406"</f>
        <v>36406</v>
      </c>
      <c r="B2308" s="5" t="s">
        <v>2464</v>
      </c>
      <c r="C2308" s="17">
        <v>19900101</v>
      </c>
      <c r="D2308" s="17">
        <v>22991231</v>
      </c>
      <c r="E2308" s="25">
        <v>0</v>
      </c>
    </row>
    <row r="2309" spans="1:5" x14ac:dyDescent="0.3">
      <c r="A2309" s="17" t="str">
        <f>"36410"</f>
        <v>36410</v>
      </c>
      <c r="B2309" s="5" t="s">
        <v>2465</v>
      </c>
      <c r="C2309" s="17">
        <v>19900101</v>
      </c>
      <c r="D2309" s="17">
        <v>22991231</v>
      </c>
      <c r="E2309" s="25">
        <v>0</v>
      </c>
    </row>
    <row r="2310" spans="1:5" ht="26" x14ac:dyDescent="0.3">
      <c r="A2310" s="17" t="str">
        <f>"36415"</f>
        <v>36415</v>
      </c>
      <c r="B2310" s="5" t="s">
        <v>2466</v>
      </c>
      <c r="C2310" s="17">
        <v>19900101</v>
      </c>
      <c r="D2310" s="17">
        <v>22991231</v>
      </c>
      <c r="E2310" s="24" t="s">
        <v>7128</v>
      </c>
    </row>
    <row r="2311" spans="1:5" x14ac:dyDescent="0.3">
      <c r="A2311" s="17" t="str">
        <f>"36416"</f>
        <v>36416</v>
      </c>
      <c r="B2311" s="5" t="s">
        <v>2467</v>
      </c>
      <c r="C2311" s="17">
        <v>20230101</v>
      </c>
      <c r="D2311" s="17">
        <v>22991231</v>
      </c>
      <c r="E2311" s="25">
        <v>0</v>
      </c>
    </row>
    <row r="2312" spans="1:5" ht="26" x14ac:dyDescent="0.3">
      <c r="A2312" s="17" t="str">
        <f>"36420"</f>
        <v>36420</v>
      </c>
      <c r="B2312" s="5" t="s">
        <v>2468</v>
      </c>
      <c r="C2312" s="17">
        <v>19900101</v>
      </c>
      <c r="D2312" s="17">
        <v>22991231</v>
      </c>
      <c r="E2312" s="25">
        <v>0</v>
      </c>
    </row>
    <row r="2313" spans="1:5" ht="26" x14ac:dyDescent="0.3">
      <c r="A2313" s="17" t="str">
        <f>"36425"</f>
        <v>36425</v>
      </c>
      <c r="B2313" s="5" t="s">
        <v>2469</v>
      </c>
      <c r="C2313" s="17">
        <v>19900101</v>
      </c>
      <c r="D2313" s="17">
        <v>22991231</v>
      </c>
      <c r="E2313" s="25">
        <v>0</v>
      </c>
    </row>
    <row r="2314" spans="1:5" x14ac:dyDescent="0.3">
      <c r="A2314" s="17" t="str">
        <f>"36430"</f>
        <v>36430</v>
      </c>
      <c r="B2314" s="5" t="s">
        <v>2470</v>
      </c>
      <c r="C2314" s="17">
        <v>19900101</v>
      </c>
      <c r="D2314" s="17">
        <v>22991231</v>
      </c>
      <c r="E2314" s="25">
        <v>38.78</v>
      </c>
    </row>
    <row r="2315" spans="1:5" x14ac:dyDescent="0.3">
      <c r="A2315" s="17" t="str">
        <f>"36440"</f>
        <v>36440</v>
      </c>
      <c r="B2315" s="5" t="s">
        <v>2471</v>
      </c>
      <c r="C2315" s="17">
        <v>19900101</v>
      </c>
      <c r="D2315" s="17">
        <v>22991231</v>
      </c>
      <c r="E2315" s="25">
        <v>215.09</v>
      </c>
    </row>
    <row r="2316" spans="1:5" x14ac:dyDescent="0.3">
      <c r="A2316" s="17" t="str">
        <f>"36450"</f>
        <v>36450</v>
      </c>
      <c r="B2316" s="5" t="s">
        <v>2472</v>
      </c>
      <c r="C2316" s="17">
        <v>19900101</v>
      </c>
      <c r="D2316" s="17">
        <v>22991231</v>
      </c>
      <c r="E2316" s="25">
        <v>215.09</v>
      </c>
    </row>
    <row r="2317" spans="1:5" x14ac:dyDescent="0.3">
      <c r="A2317" s="17" t="str">
        <f>"36455"</f>
        <v>36455</v>
      </c>
      <c r="B2317" s="5" t="s">
        <v>2473</v>
      </c>
      <c r="C2317" s="17">
        <v>19900101</v>
      </c>
      <c r="D2317" s="17">
        <v>22991231</v>
      </c>
      <c r="E2317" s="25">
        <v>215.09</v>
      </c>
    </row>
    <row r="2318" spans="1:5" x14ac:dyDescent="0.3">
      <c r="A2318" s="17" t="str">
        <f>"36456"</f>
        <v>36456</v>
      </c>
      <c r="B2318" s="5" t="s">
        <v>2474</v>
      </c>
      <c r="C2318" s="17">
        <v>20170101</v>
      </c>
      <c r="D2318" s="17">
        <v>22991231</v>
      </c>
      <c r="E2318" s="24" t="s">
        <v>7128</v>
      </c>
    </row>
    <row r="2319" spans="1:5" x14ac:dyDescent="0.3">
      <c r="A2319" s="17" t="str">
        <f>"36460"</f>
        <v>36460</v>
      </c>
      <c r="B2319" s="5" t="s">
        <v>2475</v>
      </c>
      <c r="C2319" s="17">
        <v>19900101</v>
      </c>
      <c r="D2319" s="17">
        <v>22991231</v>
      </c>
      <c r="E2319" s="24" t="s">
        <v>7128</v>
      </c>
    </row>
    <row r="2320" spans="1:5" ht="39" x14ac:dyDescent="0.3">
      <c r="A2320" s="17" t="str">
        <f>"36465"</f>
        <v>36465</v>
      </c>
      <c r="B2320" s="5" t="s">
        <v>2476</v>
      </c>
      <c r="C2320" s="17">
        <v>20180101</v>
      </c>
      <c r="D2320" s="17">
        <v>22991231</v>
      </c>
      <c r="E2320" s="25">
        <v>903.54</v>
      </c>
    </row>
    <row r="2321" spans="1:5" ht="39" x14ac:dyDescent="0.3">
      <c r="A2321" s="17" t="str">
        <f>"36466"</f>
        <v>36466</v>
      </c>
      <c r="B2321" s="5" t="s">
        <v>2477</v>
      </c>
      <c r="C2321" s="17">
        <v>20180101</v>
      </c>
      <c r="D2321" s="17">
        <v>22991231</v>
      </c>
      <c r="E2321" s="25">
        <v>903.54</v>
      </c>
    </row>
    <row r="2322" spans="1:5" ht="26" x14ac:dyDescent="0.3">
      <c r="A2322" s="17" t="str">
        <f>"36468"</f>
        <v>36468</v>
      </c>
      <c r="B2322" s="5" t="s">
        <v>2478</v>
      </c>
      <c r="C2322" s="17">
        <v>20230101</v>
      </c>
      <c r="D2322" s="17">
        <v>22991231</v>
      </c>
      <c r="E2322" s="25">
        <v>0</v>
      </c>
    </row>
    <row r="2323" spans="1:5" ht="26" x14ac:dyDescent="0.3">
      <c r="A2323" s="17" t="str">
        <f>"36470"</f>
        <v>36470</v>
      </c>
      <c r="B2323" s="5" t="s">
        <v>2479</v>
      </c>
      <c r="C2323" s="17">
        <v>19900101</v>
      </c>
      <c r="D2323" s="17">
        <v>22991231</v>
      </c>
      <c r="E2323" s="25">
        <v>80.069999999999993</v>
      </c>
    </row>
    <row r="2324" spans="1:5" ht="26" x14ac:dyDescent="0.3">
      <c r="A2324" s="17" t="str">
        <f>"36471"</f>
        <v>36471</v>
      </c>
      <c r="B2324" s="5" t="s">
        <v>2480</v>
      </c>
      <c r="C2324" s="17">
        <v>19900101</v>
      </c>
      <c r="D2324" s="17">
        <v>22991231</v>
      </c>
      <c r="E2324" s="25">
        <v>131.05000000000001</v>
      </c>
    </row>
    <row r="2325" spans="1:5" ht="39" x14ac:dyDescent="0.3">
      <c r="A2325" s="17" t="str">
        <f>"36473"</f>
        <v>36473</v>
      </c>
      <c r="B2325" s="5" t="s">
        <v>2481</v>
      </c>
      <c r="C2325" s="17">
        <v>20170101</v>
      </c>
      <c r="D2325" s="17">
        <v>22991231</v>
      </c>
      <c r="E2325" s="25">
        <v>982.06</v>
      </c>
    </row>
    <row r="2326" spans="1:5" ht="39" x14ac:dyDescent="0.3">
      <c r="A2326" s="17" t="str">
        <f>"36474"</f>
        <v>36474</v>
      </c>
      <c r="B2326" s="5" t="s">
        <v>2482</v>
      </c>
      <c r="C2326" s="17">
        <v>20170101</v>
      </c>
      <c r="D2326" s="17">
        <v>22991231</v>
      </c>
      <c r="E2326" s="25">
        <v>0</v>
      </c>
    </row>
    <row r="2327" spans="1:5" ht="26" x14ac:dyDescent="0.3">
      <c r="A2327" s="17" t="str">
        <f>"36475"</f>
        <v>36475</v>
      </c>
      <c r="B2327" s="5" t="s">
        <v>2483</v>
      </c>
      <c r="C2327" s="17">
        <v>20050101</v>
      </c>
      <c r="D2327" s="17">
        <v>22991231</v>
      </c>
      <c r="E2327" s="25">
        <v>1478.57</v>
      </c>
    </row>
    <row r="2328" spans="1:5" ht="39" x14ac:dyDescent="0.3">
      <c r="A2328" s="17" t="str">
        <f>"36476"</f>
        <v>36476</v>
      </c>
      <c r="B2328" s="5" t="s">
        <v>2484</v>
      </c>
      <c r="C2328" s="17">
        <v>20230101</v>
      </c>
      <c r="D2328" s="17">
        <v>22991231</v>
      </c>
      <c r="E2328" s="25">
        <v>0</v>
      </c>
    </row>
    <row r="2329" spans="1:5" ht="26" x14ac:dyDescent="0.3">
      <c r="A2329" s="17" t="str">
        <f>"36478"</f>
        <v>36478</v>
      </c>
      <c r="B2329" s="5" t="s">
        <v>2485</v>
      </c>
      <c r="C2329" s="17">
        <v>20200101</v>
      </c>
      <c r="D2329" s="17">
        <v>22991231</v>
      </c>
      <c r="E2329" s="25">
        <v>1478.57</v>
      </c>
    </row>
    <row r="2330" spans="1:5" ht="26" x14ac:dyDescent="0.3">
      <c r="A2330" s="17" t="str">
        <f>"36479"</f>
        <v>36479</v>
      </c>
      <c r="B2330" s="5" t="s">
        <v>2486</v>
      </c>
      <c r="C2330" s="17">
        <v>20230101</v>
      </c>
      <c r="D2330" s="17">
        <v>22991231</v>
      </c>
      <c r="E2330" s="25">
        <v>0</v>
      </c>
    </row>
    <row r="2331" spans="1:5" x14ac:dyDescent="0.3">
      <c r="A2331" s="17" t="str">
        <f>"36481"</f>
        <v>36481</v>
      </c>
      <c r="B2331" s="5" t="s">
        <v>2487</v>
      </c>
      <c r="C2331" s="17">
        <v>19920115</v>
      </c>
      <c r="D2331" s="17">
        <v>22991231</v>
      </c>
      <c r="E2331" s="25">
        <v>0</v>
      </c>
    </row>
    <row r="2332" spans="1:5" ht="26" x14ac:dyDescent="0.3">
      <c r="A2332" s="17" t="str">
        <f>"36482"</f>
        <v>36482</v>
      </c>
      <c r="B2332" s="5" t="s">
        <v>2488</v>
      </c>
      <c r="C2332" s="17">
        <v>20180101</v>
      </c>
      <c r="D2332" s="17">
        <v>22991231</v>
      </c>
      <c r="E2332" s="25">
        <v>1408.97</v>
      </c>
    </row>
    <row r="2333" spans="1:5" ht="26" x14ac:dyDescent="0.3">
      <c r="A2333" s="17" t="str">
        <f>"36483"</f>
        <v>36483</v>
      </c>
      <c r="B2333" s="5" t="s">
        <v>2489</v>
      </c>
      <c r="C2333" s="17">
        <v>20180101</v>
      </c>
      <c r="D2333" s="17">
        <v>22991231</v>
      </c>
      <c r="E2333" s="25">
        <v>0</v>
      </c>
    </row>
    <row r="2334" spans="1:5" ht="26" x14ac:dyDescent="0.3">
      <c r="A2334" s="17" t="str">
        <f>"36500"</f>
        <v>36500</v>
      </c>
      <c r="B2334" s="5" t="s">
        <v>2490</v>
      </c>
      <c r="C2334" s="17">
        <v>19900101</v>
      </c>
      <c r="D2334" s="17">
        <v>22991231</v>
      </c>
      <c r="E2334" s="25">
        <v>0</v>
      </c>
    </row>
    <row r="2335" spans="1:5" x14ac:dyDescent="0.3">
      <c r="A2335" s="17" t="str">
        <f>"36510"</f>
        <v>36510</v>
      </c>
      <c r="B2335" s="5" t="s">
        <v>2491</v>
      </c>
      <c r="C2335" s="17">
        <v>19900101</v>
      </c>
      <c r="D2335" s="17">
        <v>22991231</v>
      </c>
      <c r="E2335" s="25">
        <v>0</v>
      </c>
    </row>
    <row r="2336" spans="1:5" ht="26" x14ac:dyDescent="0.3">
      <c r="A2336" s="17" t="str">
        <f>"36511"</f>
        <v>36511</v>
      </c>
      <c r="B2336" s="5" t="s">
        <v>2492</v>
      </c>
      <c r="C2336" s="17">
        <v>20230101</v>
      </c>
      <c r="D2336" s="17">
        <v>22991231</v>
      </c>
      <c r="E2336" s="25">
        <v>760.21</v>
      </c>
    </row>
    <row r="2337" spans="1:5" ht="26" x14ac:dyDescent="0.3">
      <c r="A2337" s="17" t="str">
        <f>"36512"</f>
        <v>36512</v>
      </c>
      <c r="B2337" s="5" t="s">
        <v>2493</v>
      </c>
      <c r="C2337" s="17">
        <v>20230101</v>
      </c>
      <c r="D2337" s="17">
        <v>22991231</v>
      </c>
      <c r="E2337" s="25">
        <v>760.21</v>
      </c>
    </row>
    <row r="2338" spans="1:5" ht="26" x14ac:dyDescent="0.3">
      <c r="A2338" s="17" t="str">
        <f>"36513"</f>
        <v>36513</v>
      </c>
      <c r="B2338" s="5" t="s">
        <v>2494</v>
      </c>
      <c r="C2338" s="17">
        <v>20230101</v>
      </c>
      <c r="D2338" s="17">
        <v>22991231</v>
      </c>
      <c r="E2338" s="25">
        <v>215.09</v>
      </c>
    </row>
    <row r="2339" spans="1:5" x14ac:dyDescent="0.3">
      <c r="A2339" s="17" t="str">
        <f>"36514"</f>
        <v>36514</v>
      </c>
      <c r="B2339" s="5" t="s">
        <v>2495</v>
      </c>
      <c r="C2339" s="17">
        <v>20230101</v>
      </c>
      <c r="D2339" s="17">
        <v>22991231</v>
      </c>
      <c r="E2339" s="25">
        <v>760.21</v>
      </c>
    </row>
    <row r="2340" spans="1:5" ht="26" x14ac:dyDescent="0.3">
      <c r="A2340" s="17" t="str">
        <f>"36516"</f>
        <v>36516</v>
      </c>
      <c r="B2340" s="5" t="s">
        <v>2496</v>
      </c>
      <c r="C2340" s="17">
        <v>20230101</v>
      </c>
      <c r="D2340" s="17">
        <v>22991231</v>
      </c>
      <c r="E2340" s="25">
        <v>1607.25</v>
      </c>
    </row>
    <row r="2341" spans="1:5" ht="26" x14ac:dyDescent="0.3">
      <c r="A2341" s="17" t="str">
        <f>"36522"</f>
        <v>36522</v>
      </c>
      <c r="B2341" s="5" t="s">
        <v>2497</v>
      </c>
      <c r="C2341" s="17">
        <v>20230101</v>
      </c>
      <c r="D2341" s="17">
        <v>22991231</v>
      </c>
      <c r="E2341" s="25">
        <v>2292.94</v>
      </c>
    </row>
    <row r="2342" spans="1:5" ht="26" x14ac:dyDescent="0.3">
      <c r="A2342" s="17" t="str">
        <f>"36555"</f>
        <v>36555</v>
      </c>
      <c r="B2342" s="5" t="s">
        <v>2498</v>
      </c>
      <c r="C2342" s="17">
        <v>20051001</v>
      </c>
      <c r="D2342" s="17">
        <v>22991231</v>
      </c>
      <c r="E2342" s="25">
        <v>1478.57</v>
      </c>
    </row>
    <row r="2343" spans="1:5" ht="26" x14ac:dyDescent="0.3">
      <c r="A2343" s="17" t="str">
        <f>"36556"</f>
        <v>36556</v>
      </c>
      <c r="B2343" s="5" t="s">
        <v>2499</v>
      </c>
      <c r="C2343" s="17">
        <v>20051001</v>
      </c>
      <c r="D2343" s="17">
        <v>22991231</v>
      </c>
      <c r="E2343" s="25">
        <v>1478.57</v>
      </c>
    </row>
    <row r="2344" spans="1:5" ht="26" x14ac:dyDescent="0.3">
      <c r="A2344" s="17" t="str">
        <f>"36557"</f>
        <v>36557</v>
      </c>
      <c r="B2344" s="5" t="s">
        <v>2500</v>
      </c>
      <c r="C2344" s="17">
        <v>20051001</v>
      </c>
      <c r="D2344" s="17">
        <v>22991231</v>
      </c>
      <c r="E2344" s="25">
        <v>2772.9</v>
      </c>
    </row>
    <row r="2345" spans="1:5" ht="26" x14ac:dyDescent="0.3">
      <c r="A2345" s="17" t="str">
        <f>"36558"</f>
        <v>36558</v>
      </c>
      <c r="B2345" s="5" t="s">
        <v>2501</v>
      </c>
      <c r="C2345" s="17">
        <v>20031001</v>
      </c>
      <c r="D2345" s="17">
        <v>22991231</v>
      </c>
      <c r="E2345" s="25">
        <v>1478.57</v>
      </c>
    </row>
    <row r="2346" spans="1:5" ht="26" x14ac:dyDescent="0.3">
      <c r="A2346" s="17" t="str">
        <f>"36560"</f>
        <v>36560</v>
      </c>
      <c r="B2346" s="5" t="s">
        <v>2502</v>
      </c>
      <c r="C2346" s="17">
        <v>20051001</v>
      </c>
      <c r="D2346" s="17">
        <v>22991231</v>
      </c>
      <c r="E2346" s="25">
        <v>1478.57</v>
      </c>
    </row>
    <row r="2347" spans="1:5" ht="26" x14ac:dyDescent="0.3">
      <c r="A2347" s="17" t="str">
        <f>"36561"</f>
        <v>36561</v>
      </c>
      <c r="B2347" s="5" t="s">
        <v>2503</v>
      </c>
      <c r="C2347" s="17">
        <v>20030101</v>
      </c>
      <c r="D2347" s="17">
        <v>22991231</v>
      </c>
      <c r="E2347" s="25">
        <v>1478.57</v>
      </c>
    </row>
    <row r="2348" spans="1:5" x14ac:dyDescent="0.3">
      <c r="A2348" s="17" t="str">
        <f>"36563"</f>
        <v>36563</v>
      </c>
      <c r="B2348" s="5" t="s">
        <v>2504</v>
      </c>
      <c r="C2348" s="17">
        <v>20051001</v>
      </c>
      <c r="D2348" s="17">
        <v>22991231</v>
      </c>
      <c r="E2348" s="25">
        <v>4625.84</v>
      </c>
    </row>
    <row r="2349" spans="1:5" ht="26" x14ac:dyDescent="0.3">
      <c r="A2349" s="17" t="str">
        <f>"36565"</f>
        <v>36565</v>
      </c>
      <c r="B2349" s="5" t="s">
        <v>2505</v>
      </c>
      <c r="C2349" s="17">
        <v>20051001</v>
      </c>
      <c r="D2349" s="17">
        <v>22991231</v>
      </c>
      <c r="E2349" s="25">
        <v>1478.57</v>
      </c>
    </row>
    <row r="2350" spans="1:5" ht="26" x14ac:dyDescent="0.3">
      <c r="A2350" s="17" t="str">
        <f>"36566"</f>
        <v>36566</v>
      </c>
      <c r="B2350" s="5" t="s">
        <v>2506</v>
      </c>
      <c r="C2350" s="17">
        <v>20051001</v>
      </c>
      <c r="D2350" s="17">
        <v>22991231</v>
      </c>
      <c r="E2350" s="25">
        <v>2772.9</v>
      </c>
    </row>
    <row r="2351" spans="1:5" ht="26" x14ac:dyDescent="0.3">
      <c r="A2351" s="17" t="str">
        <f>"36568"</f>
        <v>36568</v>
      </c>
      <c r="B2351" s="5" t="s">
        <v>2507</v>
      </c>
      <c r="C2351" s="17">
        <v>20051001</v>
      </c>
      <c r="D2351" s="17">
        <v>22991231</v>
      </c>
      <c r="E2351" s="25">
        <v>742.2</v>
      </c>
    </row>
    <row r="2352" spans="1:5" x14ac:dyDescent="0.3">
      <c r="A2352" s="17" t="str">
        <f>"36569"</f>
        <v>36569</v>
      </c>
      <c r="B2352" s="5" t="s">
        <v>2508</v>
      </c>
      <c r="C2352" s="17">
        <v>20051001</v>
      </c>
      <c r="D2352" s="17">
        <v>22991231</v>
      </c>
      <c r="E2352" s="25">
        <v>591.41</v>
      </c>
    </row>
    <row r="2353" spans="1:5" ht="26" x14ac:dyDescent="0.3">
      <c r="A2353" s="17" t="str">
        <f>"36570"</f>
        <v>36570</v>
      </c>
      <c r="B2353" s="5" t="s">
        <v>2509</v>
      </c>
      <c r="C2353" s="17">
        <v>20051001</v>
      </c>
      <c r="D2353" s="17">
        <v>22991231</v>
      </c>
      <c r="E2353" s="25">
        <v>1862.11</v>
      </c>
    </row>
    <row r="2354" spans="1:5" ht="26" x14ac:dyDescent="0.3">
      <c r="A2354" s="17" t="str">
        <f>"36571"</f>
        <v>36571</v>
      </c>
      <c r="B2354" s="5" t="s">
        <v>2510</v>
      </c>
      <c r="C2354" s="17">
        <v>20051001</v>
      </c>
      <c r="D2354" s="17">
        <v>22991231</v>
      </c>
      <c r="E2354" s="25">
        <v>1478.57</v>
      </c>
    </row>
    <row r="2355" spans="1:5" ht="39" x14ac:dyDescent="0.3">
      <c r="A2355" s="17" t="str">
        <f>"36572"</f>
        <v>36572</v>
      </c>
      <c r="B2355" s="5" t="s">
        <v>2511</v>
      </c>
      <c r="C2355" s="17">
        <v>20230101</v>
      </c>
      <c r="D2355" s="17">
        <v>22991231</v>
      </c>
      <c r="E2355" s="25">
        <v>311.25</v>
      </c>
    </row>
    <row r="2356" spans="1:5" ht="39" x14ac:dyDescent="0.3">
      <c r="A2356" s="17" t="str">
        <f>"36573"</f>
        <v>36573</v>
      </c>
      <c r="B2356" s="5" t="s">
        <v>2512</v>
      </c>
      <c r="C2356" s="17">
        <v>20230101</v>
      </c>
      <c r="D2356" s="17">
        <v>22991231</v>
      </c>
      <c r="E2356" s="25">
        <v>591.41</v>
      </c>
    </row>
    <row r="2357" spans="1:5" x14ac:dyDescent="0.3">
      <c r="A2357" s="17" t="str">
        <f>"36575"</f>
        <v>36575</v>
      </c>
      <c r="B2357" s="5" t="s">
        <v>2513</v>
      </c>
      <c r="C2357" s="17">
        <v>20051001</v>
      </c>
      <c r="D2357" s="17">
        <v>22991231</v>
      </c>
      <c r="E2357" s="25">
        <v>311.25</v>
      </c>
    </row>
    <row r="2358" spans="1:5" ht="26" x14ac:dyDescent="0.3">
      <c r="A2358" s="17" t="str">
        <f>"36576"</f>
        <v>36576</v>
      </c>
      <c r="B2358" s="5" t="s">
        <v>2514</v>
      </c>
      <c r="C2358" s="17">
        <v>20051001</v>
      </c>
      <c r="D2358" s="17">
        <v>22991231</v>
      </c>
      <c r="E2358" s="25">
        <v>591.41</v>
      </c>
    </row>
    <row r="2359" spans="1:5" x14ac:dyDescent="0.3">
      <c r="A2359" s="17" t="str">
        <f>"36578"</f>
        <v>36578</v>
      </c>
      <c r="B2359" s="5" t="s">
        <v>2515</v>
      </c>
      <c r="C2359" s="17">
        <v>20051001</v>
      </c>
      <c r="D2359" s="17">
        <v>22991231</v>
      </c>
      <c r="E2359" s="25">
        <v>1895.14</v>
      </c>
    </row>
    <row r="2360" spans="1:5" x14ac:dyDescent="0.3">
      <c r="A2360" s="17" t="str">
        <f>"36580"</f>
        <v>36580</v>
      </c>
      <c r="B2360" s="5" t="s">
        <v>2516</v>
      </c>
      <c r="C2360" s="17">
        <v>20051001</v>
      </c>
      <c r="D2360" s="17">
        <v>22991231</v>
      </c>
      <c r="E2360" s="25">
        <v>591.41</v>
      </c>
    </row>
    <row r="2361" spans="1:5" x14ac:dyDescent="0.3">
      <c r="A2361" s="17" t="str">
        <f>"36581"</f>
        <v>36581</v>
      </c>
      <c r="B2361" s="5" t="s">
        <v>2517</v>
      </c>
      <c r="C2361" s="17">
        <v>20051001</v>
      </c>
      <c r="D2361" s="17">
        <v>22991231</v>
      </c>
      <c r="E2361" s="25">
        <v>1855.67</v>
      </c>
    </row>
    <row r="2362" spans="1:5" ht="26" x14ac:dyDescent="0.3">
      <c r="A2362" s="17" t="str">
        <f>"36582"</f>
        <v>36582</v>
      </c>
      <c r="B2362" s="5" t="s">
        <v>2518</v>
      </c>
      <c r="C2362" s="17">
        <v>20051001</v>
      </c>
      <c r="D2362" s="17">
        <v>22991231</v>
      </c>
      <c r="E2362" s="25">
        <v>1478.57</v>
      </c>
    </row>
    <row r="2363" spans="1:5" ht="26" x14ac:dyDescent="0.3">
      <c r="A2363" s="17" t="str">
        <f>"36583"</f>
        <v>36583</v>
      </c>
      <c r="B2363" s="5" t="s">
        <v>2519</v>
      </c>
      <c r="C2363" s="17">
        <v>20051001</v>
      </c>
      <c r="D2363" s="17">
        <v>22991231</v>
      </c>
      <c r="E2363" s="25">
        <v>4771.09</v>
      </c>
    </row>
    <row r="2364" spans="1:5" ht="26" x14ac:dyDescent="0.3">
      <c r="A2364" s="17" t="str">
        <f>"36584"</f>
        <v>36584</v>
      </c>
      <c r="B2364" s="5" t="s">
        <v>2520</v>
      </c>
      <c r="C2364" s="17">
        <v>20051001</v>
      </c>
      <c r="D2364" s="17">
        <v>22991231</v>
      </c>
      <c r="E2364" s="25">
        <v>591.41</v>
      </c>
    </row>
    <row r="2365" spans="1:5" ht="26" x14ac:dyDescent="0.3">
      <c r="A2365" s="17" t="str">
        <f>"36585"</f>
        <v>36585</v>
      </c>
      <c r="B2365" s="5" t="s">
        <v>2521</v>
      </c>
      <c r="C2365" s="17">
        <v>20051001</v>
      </c>
      <c r="D2365" s="17">
        <v>22991231</v>
      </c>
      <c r="E2365" s="25">
        <v>1478.57</v>
      </c>
    </row>
    <row r="2366" spans="1:5" x14ac:dyDescent="0.3">
      <c r="A2366" s="17" t="str">
        <f>"36589"</f>
        <v>36589</v>
      </c>
      <c r="B2366" s="5" t="s">
        <v>2522</v>
      </c>
      <c r="C2366" s="17">
        <v>20051001</v>
      </c>
      <c r="D2366" s="17">
        <v>22991231</v>
      </c>
      <c r="E2366" s="25">
        <v>311.25</v>
      </c>
    </row>
    <row r="2367" spans="1:5" ht="26" x14ac:dyDescent="0.3">
      <c r="A2367" s="17" t="str">
        <f>"36590"</f>
        <v>36590</v>
      </c>
      <c r="B2367" s="5" t="s">
        <v>2523</v>
      </c>
      <c r="C2367" s="17">
        <v>20040101</v>
      </c>
      <c r="D2367" s="17">
        <v>22991231</v>
      </c>
      <c r="E2367" s="25">
        <v>591.41</v>
      </c>
    </row>
    <row r="2368" spans="1:5" ht="26" x14ac:dyDescent="0.3">
      <c r="A2368" s="17" t="str">
        <f>"36591"</f>
        <v>36591</v>
      </c>
      <c r="B2368" s="5" t="s">
        <v>2524</v>
      </c>
      <c r="C2368" s="17">
        <v>20080101</v>
      </c>
      <c r="D2368" s="17">
        <v>22991231</v>
      </c>
      <c r="E2368" s="25">
        <v>0</v>
      </c>
    </row>
    <row r="2369" spans="1:5" ht="26" x14ac:dyDescent="0.3">
      <c r="A2369" s="17" t="str">
        <f>"36592"</f>
        <v>36592</v>
      </c>
      <c r="B2369" s="5" t="s">
        <v>2525</v>
      </c>
      <c r="C2369" s="17">
        <v>20080101</v>
      </c>
      <c r="D2369" s="17">
        <v>22991231</v>
      </c>
      <c r="E2369" s="25">
        <v>0</v>
      </c>
    </row>
    <row r="2370" spans="1:5" x14ac:dyDescent="0.3">
      <c r="A2370" s="17" t="str">
        <f>"36593"</f>
        <v>36593</v>
      </c>
      <c r="B2370" s="5" t="s">
        <v>2526</v>
      </c>
      <c r="C2370" s="17">
        <v>20080101</v>
      </c>
      <c r="D2370" s="17">
        <v>22991231</v>
      </c>
      <c r="E2370" s="25">
        <v>31.9</v>
      </c>
    </row>
    <row r="2371" spans="1:5" ht="26" x14ac:dyDescent="0.3">
      <c r="A2371" s="17" t="str">
        <f>"36595"</f>
        <v>36595</v>
      </c>
      <c r="B2371" s="5" t="s">
        <v>2527</v>
      </c>
      <c r="C2371" s="17">
        <v>20230101</v>
      </c>
      <c r="D2371" s="17">
        <v>22991231</v>
      </c>
      <c r="E2371" s="25">
        <v>1861.86</v>
      </c>
    </row>
    <row r="2372" spans="1:5" ht="26" x14ac:dyDescent="0.3">
      <c r="A2372" s="17" t="str">
        <f>"36596"</f>
        <v>36596</v>
      </c>
      <c r="B2372" s="5" t="s">
        <v>2528</v>
      </c>
      <c r="C2372" s="17">
        <v>20230101</v>
      </c>
      <c r="D2372" s="17">
        <v>22991231</v>
      </c>
      <c r="E2372" s="25">
        <v>591.41</v>
      </c>
    </row>
    <row r="2373" spans="1:5" ht="26" x14ac:dyDescent="0.3">
      <c r="A2373" s="17" t="str">
        <f>"36597"</f>
        <v>36597</v>
      </c>
      <c r="B2373" s="5" t="s">
        <v>2529</v>
      </c>
      <c r="C2373" s="17">
        <v>20110101</v>
      </c>
      <c r="D2373" s="17">
        <v>22991231</v>
      </c>
      <c r="E2373" s="25">
        <v>591.41</v>
      </c>
    </row>
    <row r="2374" spans="1:5" ht="26" x14ac:dyDescent="0.3">
      <c r="A2374" s="17" t="str">
        <f>"36598"</f>
        <v>36598</v>
      </c>
      <c r="B2374" s="5" t="s">
        <v>2530</v>
      </c>
      <c r="C2374" s="17">
        <v>20230101</v>
      </c>
      <c r="D2374" s="17">
        <v>22991231</v>
      </c>
      <c r="E2374" s="25">
        <v>85.7</v>
      </c>
    </row>
    <row r="2375" spans="1:5" x14ac:dyDescent="0.3">
      <c r="A2375" s="17" t="str">
        <f>"36600"</f>
        <v>36600</v>
      </c>
      <c r="B2375" s="5" t="s">
        <v>2531</v>
      </c>
      <c r="C2375" s="17">
        <v>19900101</v>
      </c>
      <c r="D2375" s="17">
        <v>22991231</v>
      </c>
      <c r="E2375" s="25">
        <v>0</v>
      </c>
    </row>
    <row r="2376" spans="1:5" ht="26" x14ac:dyDescent="0.3">
      <c r="A2376" s="17" t="str">
        <f>"36620"</f>
        <v>36620</v>
      </c>
      <c r="B2376" s="5" t="s">
        <v>2532</v>
      </c>
      <c r="C2376" s="17">
        <v>19900101</v>
      </c>
      <c r="D2376" s="17">
        <v>22991231</v>
      </c>
      <c r="E2376" s="25">
        <v>0</v>
      </c>
    </row>
    <row r="2377" spans="1:5" ht="26" x14ac:dyDescent="0.3">
      <c r="A2377" s="17" t="str">
        <f>"36625"</f>
        <v>36625</v>
      </c>
      <c r="B2377" s="5" t="s">
        <v>2533</v>
      </c>
      <c r="C2377" s="17">
        <v>19900101</v>
      </c>
      <c r="D2377" s="17">
        <v>22991231</v>
      </c>
      <c r="E2377" s="25">
        <v>0</v>
      </c>
    </row>
    <row r="2378" spans="1:5" x14ac:dyDescent="0.3">
      <c r="A2378" s="17" t="str">
        <f>"36640"</f>
        <v>36640</v>
      </c>
      <c r="B2378" s="5" t="s">
        <v>2534</v>
      </c>
      <c r="C2378" s="17">
        <v>19900101</v>
      </c>
      <c r="D2378" s="17">
        <v>22991231</v>
      </c>
      <c r="E2378" s="25">
        <v>1478.57</v>
      </c>
    </row>
    <row r="2379" spans="1:5" x14ac:dyDescent="0.3">
      <c r="A2379" s="17" t="str">
        <f>"36680"</f>
        <v>36680</v>
      </c>
      <c r="B2379" s="5" t="s">
        <v>2535</v>
      </c>
      <c r="C2379" s="17">
        <v>20230101</v>
      </c>
      <c r="D2379" s="17">
        <v>22991231</v>
      </c>
      <c r="E2379" s="25">
        <v>0</v>
      </c>
    </row>
    <row r="2380" spans="1:5" ht="26" x14ac:dyDescent="0.3">
      <c r="A2380" s="17" t="str">
        <f>"36800"</f>
        <v>36800</v>
      </c>
      <c r="B2380" s="5" t="s">
        <v>2536</v>
      </c>
      <c r="C2380" s="17">
        <v>19900101</v>
      </c>
      <c r="D2380" s="17">
        <v>22991231</v>
      </c>
      <c r="E2380" s="25">
        <v>2772.9</v>
      </c>
    </row>
    <row r="2381" spans="1:5" ht="26" x14ac:dyDescent="0.3">
      <c r="A2381" s="17" t="str">
        <f>"36810"</f>
        <v>36810</v>
      </c>
      <c r="B2381" s="5" t="s">
        <v>2537</v>
      </c>
      <c r="C2381" s="17">
        <v>19900101</v>
      </c>
      <c r="D2381" s="17">
        <v>22991231</v>
      </c>
      <c r="E2381" s="25">
        <v>1870.28</v>
      </c>
    </row>
    <row r="2382" spans="1:5" ht="26" x14ac:dyDescent="0.3">
      <c r="A2382" s="17" t="str">
        <f>"36815"</f>
        <v>36815</v>
      </c>
      <c r="B2382" s="5" t="s">
        <v>2538</v>
      </c>
      <c r="C2382" s="17">
        <v>19900101</v>
      </c>
      <c r="D2382" s="17">
        <v>22991231</v>
      </c>
      <c r="E2382" s="25">
        <v>2772.9</v>
      </c>
    </row>
    <row r="2383" spans="1:5" ht="26" x14ac:dyDescent="0.3">
      <c r="A2383" s="17" t="str">
        <f>"36818"</f>
        <v>36818</v>
      </c>
      <c r="B2383" s="5" t="s">
        <v>2539</v>
      </c>
      <c r="C2383" s="17">
        <v>20070101</v>
      </c>
      <c r="D2383" s="17">
        <v>22991231</v>
      </c>
      <c r="E2383" s="25">
        <v>2772.9</v>
      </c>
    </row>
    <row r="2384" spans="1:5" ht="26" x14ac:dyDescent="0.3">
      <c r="A2384" s="17" t="str">
        <f>"36819"</f>
        <v>36819</v>
      </c>
      <c r="B2384" s="5" t="s">
        <v>2540</v>
      </c>
      <c r="C2384" s="17">
        <v>20000101</v>
      </c>
      <c r="D2384" s="17">
        <v>22991231</v>
      </c>
      <c r="E2384" s="25">
        <v>2772.9</v>
      </c>
    </row>
    <row r="2385" spans="1:5" ht="26" x14ac:dyDescent="0.3">
      <c r="A2385" s="17" t="str">
        <f>"36820"</f>
        <v>36820</v>
      </c>
      <c r="B2385" s="5" t="s">
        <v>2541</v>
      </c>
      <c r="C2385" s="17">
        <v>20030401</v>
      </c>
      <c r="D2385" s="17">
        <v>22991231</v>
      </c>
      <c r="E2385" s="25">
        <v>2772.9</v>
      </c>
    </row>
    <row r="2386" spans="1:5" ht="26" x14ac:dyDescent="0.3">
      <c r="A2386" s="17" t="str">
        <f>"36821"</f>
        <v>36821</v>
      </c>
      <c r="B2386" s="5" t="s">
        <v>2542</v>
      </c>
      <c r="C2386" s="17">
        <v>19900101</v>
      </c>
      <c r="D2386" s="17">
        <v>22991231</v>
      </c>
      <c r="E2386" s="25">
        <v>1478.57</v>
      </c>
    </row>
    <row r="2387" spans="1:5" ht="26" x14ac:dyDescent="0.3">
      <c r="A2387" s="17" t="str">
        <f>"36825"</f>
        <v>36825</v>
      </c>
      <c r="B2387" s="5" t="s">
        <v>2543</v>
      </c>
      <c r="C2387" s="17">
        <v>19900101</v>
      </c>
      <c r="D2387" s="17">
        <v>22991231</v>
      </c>
      <c r="E2387" s="25">
        <v>2772.9</v>
      </c>
    </row>
    <row r="2388" spans="1:5" ht="26" x14ac:dyDescent="0.3">
      <c r="A2388" s="17" t="str">
        <f>"36830"</f>
        <v>36830</v>
      </c>
      <c r="B2388" s="5" t="s">
        <v>2544</v>
      </c>
      <c r="C2388" s="17">
        <v>19900101</v>
      </c>
      <c r="D2388" s="17">
        <v>22991231</v>
      </c>
      <c r="E2388" s="25">
        <v>2772.9</v>
      </c>
    </row>
    <row r="2389" spans="1:5" x14ac:dyDescent="0.3">
      <c r="A2389" s="17" t="str">
        <f>"36831"</f>
        <v>36831</v>
      </c>
      <c r="B2389" s="5" t="s">
        <v>2545</v>
      </c>
      <c r="C2389" s="17">
        <v>19990101</v>
      </c>
      <c r="D2389" s="17">
        <v>22991231</v>
      </c>
      <c r="E2389" s="25">
        <v>2772.9</v>
      </c>
    </row>
    <row r="2390" spans="1:5" x14ac:dyDescent="0.3">
      <c r="A2390" s="17" t="str">
        <f>"36832"</f>
        <v>36832</v>
      </c>
      <c r="B2390" s="5" t="s">
        <v>2546</v>
      </c>
      <c r="C2390" s="17">
        <v>19970801</v>
      </c>
      <c r="D2390" s="17">
        <v>22991231</v>
      </c>
      <c r="E2390" s="25">
        <v>2772.9</v>
      </c>
    </row>
    <row r="2391" spans="1:5" ht="26" x14ac:dyDescent="0.3">
      <c r="A2391" s="17" t="str">
        <f>"36833"</f>
        <v>36833</v>
      </c>
      <c r="B2391" s="5" t="s">
        <v>2547</v>
      </c>
      <c r="C2391" s="17">
        <v>19990101</v>
      </c>
      <c r="D2391" s="17">
        <v>22991231</v>
      </c>
      <c r="E2391" s="25">
        <v>2772.9</v>
      </c>
    </row>
    <row r="2392" spans="1:5" x14ac:dyDescent="0.3">
      <c r="A2392" s="17" t="str">
        <f>"36835"</f>
        <v>36835</v>
      </c>
      <c r="B2392" s="5" t="s">
        <v>2548</v>
      </c>
      <c r="C2392" s="17">
        <v>19900101</v>
      </c>
      <c r="D2392" s="17">
        <v>22991231</v>
      </c>
      <c r="E2392" s="25">
        <v>2098.91</v>
      </c>
    </row>
    <row r="2393" spans="1:5" ht="26" x14ac:dyDescent="0.3">
      <c r="A2393" s="17" t="str">
        <f>"36836"</f>
        <v>36836</v>
      </c>
      <c r="B2393" s="5" t="s">
        <v>2549</v>
      </c>
      <c r="C2393" s="17">
        <v>20230101</v>
      </c>
      <c r="D2393" s="17">
        <v>22991231</v>
      </c>
      <c r="E2393" s="25">
        <v>9973.0499999999993</v>
      </c>
    </row>
    <row r="2394" spans="1:5" ht="26" x14ac:dyDescent="0.3">
      <c r="A2394" s="17" t="str">
        <f>"36837"</f>
        <v>36837</v>
      </c>
      <c r="B2394" s="5" t="s">
        <v>2550</v>
      </c>
      <c r="C2394" s="17">
        <v>20230101</v>
      </c>
      <c r="D2394" s="17">
        <v>22991231</v>
      </c>
      <c r="E2394" s="25">
        <v>10960.61</v>
      </c>
    </row>
    <row r="2395" spans="1:5" ht="26" x14ac:dyDescent="0.3">
      <c r="A2395" s="17" t="str">
        <f>"36860"</f>
        <v>36860</v>
      </c>
      <c r="B2395" s="5" t="s">
        <v>2551</v>
      </c>
      <c r="C2395" s="17">
        <v>19900101</v>
      </c>
      <c r="D2395" s="17">
        <v>22991231</v>
      </c>
      <c r="E2395" s="25">
        <v>591.41</v>
      </c>
    </row>
    <row r="2396" spans="1:5" ht="26" x14ac:dyDescent="0.3">
      <c r="A2396" s="17" t="str">
        <f>"36861"</f>
        <v>36861</v>
      </c>
      <c r="B2396" s="5" t="s">
        <v>2552</v>
      </c>
      <c r="C2396" s="17">
        <v>19900101</v>
      </c>
      <c r="D2396" s="17">
        <v>22991231</v>
      </c>
      <c r="E2396" s="25">
        <v>3896.12</v>
      </c>
    </row>
    <row r="2397" spans="1:5" ht="26" x14ac:dyDescent="0.3">
      <c r="A2397" s="17" t="str">
        <f>"36901"</f>
        <v>36901</v>
      </c>
      <c r="B2397" s="5" t="s">
        <v>2553</v>
      </c>
      <c r="C2397" s="17">
        <v>20170101</v>
      </c>
      <c r="D2397" s="17">
        <v>22991231</v>
      </c>
      <c r="E2397" s="25">
        <v>529.17999999999995</v>
      </c>
    </row>
    <row r="2398" spans="1:5" ht="39" x14ac:dyDescent="0.3">
      <c r="A2398" s="17" t="str">
        <f>"36902"</f>
        <v>36902</v>
      </c>
      <c r="B2398" s="5" t="s">
        <v>2554</v>
      </c>
      <c r="C2398" s="17">
        <v>20170101</v>
      </c>
      <c r="D2398" s="17">
        <v>22991231</v>
      </c>
      <c r="E2398" s="25">
        <v>2412.7800000000002</v>
      </c>
    </row>
    <row r="2399" spans="1:5" ht="39" x14ac:dyDescent="0.3">
      <c r="A2399" s="17" t="str">
        <f>"36903"</f>
        <v>36903</v>
      </c>
      <c r="B2399" s="5" t="s">
        <v>2555</v>
      </c>
      <c r="C2399" s="17">
        <v>20170101</v>
      </c>
      <c r="D2399" s="17">
        <v>22991231</v>
      </c>
      <c r="E2399" s="25">
        <v>6615.24</v>
      </c>
    </row>
    <row r="2400" spans="1:5" ht="39" x14ac:dyDescent="0.3">
      <c r="A2400" s="17" t="str">
        <f>"36904"</f>
        <v>36904</v>
      </c>
      <c r="B2400" s="5" t="s">
        <v>2556</v>
      </c>
      <c r="C2400" s="17">
        <v>20170101</v>
      </c>
      <c r="D2400" s="17">
        <v>22991231</v>
      </c>
      <c r="E2400" s="25">
        <v>3076.61</v>
      </c>
    </row>
    <row r="2401" spans="1:5" ht="52" x14ac:dyDescent="0.3">
      <c r="A2401" s="17" t="str">
        <f>"36905"</f>
        <v>36905</v>
      </c>
      <c r="B2401" s="5" t="s">
        <v>2557</v>
      </c>
      <c r="C2401" s="17">
        <v>20170101</v>
      </c>
      <c r="D2401" s="17">
        <v>22991231</v>
      </c>
      <c r="E2401" s="25">
        <v>5829.15</v>
      </c>
    </row>
    <row r="2402" spans="1:5" ht="52" x14ac:dyDescent="0.3">
      <c r="A2402" s="17" t="str">
        <f>"36906"</f>
        <v>36906</v>
      </c>
      <c r="B2402" s="5" t="s">
        <v>2558</v>
      </c>
      <c r="C2402" s="17">
        <v>20170101</v>
      </c>
      <c r="D2402" s="17">
        <v>22991231</v>
      </c>
      <c r="E2402" s="25">
        <v>10774.54</v>
      </c>
    </row>
    <row r="2403" spans="1:5" ht="26" x14ac:dyDescent="0.3">
      <c r="A2403" s="17" t="str">
        <f>"36907"</f>
        <v>36907</v>
      </c>
      <c r="B2403" s="5" t="s">
        <v>2559</v>
      </c>
      <c r="C2403" s="17">
        <v>20170101</v>
      </c>
      <c r="D2403" s="17">
        <v>22991231</v>
      </c>
      <c r="E2403" s="25">
        <v>0</v>
      </c>
    </row>
    <row r="2404" spans="1:5" ht="26" x14ac:dyDescent="0.3">
      <c r="A2404" s="17" t="str">
        <f>"36908"</f>
        <v>36908</v>
      </c>
      <c r="B2404" s="5" t="s">
        <v>2560</v>
      </c>
      <c r="C2404" s="17">
        <v>20170101</v>
      </c>
      <c r="D2404" s="17">
        <v>22991231</v>
      </c>
      <c r="E2404" s="25">
        <v>0</v>
      </c>
    </row>
    <row r="2405" spans="1:5" ht="26" x14ac:dyDescent="0.3">
      <c r="A2405" s="17" t="str">
        <f>"36909"</f>
        <v>36909</v>
      </c>
      <c r="B2405" s="5" t="s">
        <v>2561</v>
      </c>
      <c r="C2405" s="17">
        <v>20170101</v>
      </c>
      <c r="D2405" s="17">
        <v>22991231</v>
      </c>
      <c r="E2405" s="25">
        <v>0</v>
      </c>
    </row>
    <row r="2406" spans="1:5" ht="39" x14ac:dyDescent="0.3">
      <c r="A2406" s="17" t="str">
        <f>"37184"</f>
        <v>37184</v>
      </c>
      <c r="B2406" s="5" t="s">
        <v>2562</v>
      </c>
      <c r="C2406" s="17">
        <v>20230101</v>
      </c>
      <c r="D2406" s="17">
        <v>22991231</v>
      </c>
      <c r="E2406" s="25">
        <v>9656.84</v>
      </c>
    </row>
    <row r="2407" spans="1:5" ht="39" x14ac:dyDescent="0.3">
      <c r="A2407" s="17" t="str">
        <f>"37185"</f>
        <v>37185</v>
      </c>
      <c r="B2407" s="5" t="s">
        <v>2563</v>
      </c>
      <c r="C2407" s="17">
        <v>20230101</v>
      </c>
      <c r="D2407" s="17">
        <v>22991231</v>
      </c>
      <c r="E2407" s="25">
        <v>0</v>
      </c>
    </row>
    <row r="2408" spans="1:5" ht="39" x14ac:dyDescent="0.3">
      <c r="A2408" s="17" t="str">
        <f>"37186"</f>
        <v>37186</v>
      </c>
      <c r="B2408" s="5" t="s">
        <v>2564</v>
      </c>
      <c r="C2408" s="17">
        <v>20230101</v>
      </c>
      <c r="D2408" s="17">
        <v>22991231</v>
      </c>
      <c r="E2408" s="25">
        <v>0</v>
      </c>
    </row>
    <row r="2409" spans="1:5" ht="26" x14ac:dyDescent="0.3">
      <c r="A2409" s="17" t="str">
        <f>"37187"</f>
        <v>37187</v>
      </c>
      <c r="B2409" s="5" t="s">
        <v>2565</v>
      </c>
      <c r="C2409" s="17">
        <v>20230101</v>
      </c>
      <c r="D2409" s="17">
        <v>22991231</v>
      </c>
      <c r="E2409" s="25">
        <v>6937.95</v>
      </c>
    </row>
    <row r="2410" spans="1:5" ht="39" x14ac:dyDescent="0.3">
      <c r="A2410" s="17" t="str">
        <f>"37188"</f>
        <v>37188</v>
      </c>
      <c r="B2410" s="5" t="s">
        <v>2566</v>
      </c>
      <c r="C2410" s="17">
        <v>20230101</v>
      </c>
      <c r="D2410" s="17">
        <v>22991231</v>
      </c>
      <c r="E2410" s="25">
        <v>2450.66</v>
      </c>
    </row>
    <row r="2411" spans="1:5" ht="26" x14ac:dyDescent="0.3">
      <c r="A2411" s="17" t="str">
        <f>"37192"</f>
        <v>37192</v>
      </c>
      <c r="B2411" s="5" t="s">
        <v>2567</v>
      </c>
      <c r="C2411" s="17">
        <v>20240101</v>
      </c>
      <c r="D2411" s="17">
        <v>22991231</v>
      </c>
      <c r="E2411" s="25">
        <v>1851.72</v>
      </c>
    </row>
    <row r="2412" spans="1:5" ht="26" x14ac:dyDescent="0.3">
      <c r="A2412" s="17" t="str">
        <f>"37193"</f>
        <v>37193</v>
      </c>
      <c r="B2412" s="5" t="s">
        <v>2568</v>
      </c>
      <c r="C2412" s="17">
        <v>20230101</v>
      </c>
      <c r="D2412" s="17">
        <v>22991231</v>
      </c>
      <c r="E2412" s="25">
        <v>1478.57</v>
      </c>
    </row>
    <row r="2413" spans="1:5" x14ac:dyDescent="0.3">
      <c r="A2413" s="17" t="str">
        <f>"37195"</f>
        <v>37195</v>
      </c>
      <c r="B2413" s="5" t="s">
        <v>2569</v>
      </c>
      <c r="C2413" s="17">
        <v>19980101</v>
      </c>
      <c r="D2413" s="17">
        <v>22991231</v>
      </c>
      <c r="E2413" s="24" t="s">
        <v>7128</v>
      </c>
    </row>
    <row r="2414" spans="1:5" ht="26" x14ac:dyDescent="0.3">
      <c r="A2414" s="17" t="str">
        <f>"37197"</f>
        <v>37197</v>
      </c>
      <c r="B2414" s="5" t="s">
        <v>2570</v>
      </c>
      <c r="C2414" s="17">
        <v>20130101</v>
      </c>
      <c r="D2414" s="17">
        <v>22991231</v>
      </c>
      <c r="E2414" s="25">
        <v>1895.28</v>
      </c>
    </row>
    <row r="2415" spans="1:5" x14ac:dyDescent="0.3">
      <c r="A2415" s="17" t="str">
        <f>"37200"</f>
        <v>37200</v>
      </c>
      <c r="B2415" s="5" t="s">
        <v>2571</v>
      </c>
      <c r="C2415" s="17">
        <v>19920115</v>
      </c>
      <c r="D2415" s="17">
        <v>22991231</v>
      </c>
      <c r="E2415" s="25">
        <v>2772.9</v>
      </c>
    </row>
    <row r="2416" spans="1:5" ht="39" x14ac:dyDescent="0.3">
      <c r="A2416" s="17" t="str">
        <f>"37211"</f>
        <v>37211</v>
      </c>
      <c r="B2416" s="5" t="s">
        <v>2572</v>
      </c>
      <c r="C2416" s="17">
        <v>20130101</v>
      </c>
      <c r="D2416" s="17">
        <v>22991231</v>
      </c>
      <c r="E2416" s="25">
        <v>3492.16</v>
      </c>
    </row>
    <row r="2417" spans="1:5" ht="39" x14ac:dyDescent="0.3">
      <c r="A2417" s="17" t="str">
        <f>"37212"</f>
        <v>37212</v>
      </c>
      <c r="B2417" s="5" t="s">
        <v>2573</v>
      </c>
      <c r="C2417" s="17">
        <v>20130101</v>
      </c>
      <c r="D2417" s="17">
        <v>22991231</v>
      </c>
      <c r="E2417" s="25">
        <v>1875.1</v>
      </c>
    </row>
    <row r="2418" spans="1:5" x14ac:dyDescent="0.3">
      <c r="A2418" s="17" t="str">
        <f>"37220"</f>
        <v>37220</v>
      </c>
      <c r="B2418" s="5" t="s">
        <v>2574</v>
      </c>
      <c r="C2418" s="17">
        <v>20110101</v>
      </c>
      <c r="D2418" s="17">
        <v>22991231</v>
      </c>
      <c r="E2418" s="25">
        <v>3126.06</v>
      </c>
    </row>
    <row r="2419" spans="1:5" x14ac:dyDescent="0.3">
      <c r="A2419" s="17" t="str">
        <f>"37221"</f>
        <v>37221</v>
      </c>
      <c r="B2419" s="5" t="s">
        <v>2575</v>
      </c>
      <c r="C2419" s="17">
        <v>20110101</v>
      </c>
      <c r="D2419" s="17">
        <v>22991231</v>
      </c>
      <c r="E2419" s="25">
        <v>6463.75</v>
      </c>
    </row>
    <row r="2420" spans="1:5" ht="26" x14ac:dyDescent="0.3">
      <c r="A2420" s="17" t="str">
        <f>"37222"</f>
        <v>37222</v>
      </c>
      <c r="B2420" s="5" t="s">
        <v>2576</v>
      </c>
      <c r="C2420" s="17">
        <v>20110101</v>
      </c>
      <c r="D2420" s="17">
        <v>22991231</v>
      </c>
      <c r="E2420" s="25">
        <v>0</v>
      </c>
    </row>
    <row r="2421" spans="1:5" ht="26" x14ac:dyDescent="0.3">
      <c r="A2421" s="17" t="str">
        <f>"37223"</f>
        <v>37223</v>
      </c>
      <c r="B2421" s="5" t="s">
        <v>2577</v>
      </c>
      <c r="C2421" s="17">
        <v>20110101</v>
      </c>
      <c r="D2421" s="17">
        <v>22991231</v>
      </c>
      <c r="E2421" s="25">
        <v>0</v>
      </c>
    </row>
    <row r="2422" spans="1:5" x14ac:dyDescent="0.3">
      <c r="A2422" s="17" t="str">
        <f>"37224"</f>
        <v>37224</v>
      </c>
      <c r="B2422" s="5" t="s">
        <v>2578</v>
      </c>
      <c r="C2422" s="17">
        <v>20230101</v>
      </c>
      <c r="D2422" s="17">
        <v>22991231</v>
      </c>
      <c r="E2422" s="25">
        <v>3295.46</v>
      </c>
    </row>
    <row r="2423" spans="1:5" x14ac:dyDescent="0.3">
      <c r="A2423" s="17" t="str">
        <f>"37225"</f>
        <v>37225</v>
      </c>
      <c r="B2423" s="5" t="s">
        <v>2579</v>
      </c>
      <c r="C2423" s="17">
        <v>20230101</v>
      </c>
      <c r="D2423" s="17">
        <v>22991231</v>
      </c>
      <c r="E2423" s="25">
        <v>11162.41</v>
      </c>
    </row>
    <row r="2424" spans="1:5" x14ac:dyDescent="0.3">
      <c r="A2424" s="17" t="str">
        <f>"37226"</f>
        <v>37226</v>
      </c>
      <c r="B2424" s="5" t="s">
        <v>2580</v>
      </c>
      <c r="C2424" s="17">
        <v>20230101</v>
      </c>
      <c r="D2424" s="17">
        <v>22991231</v>
      </c>
      <c r="E2424" s="25">
        <v>6708.99</v>
      </c>
    </row>
    <row r="2425" spans="1:5" ht="26" x14ac:dyDescent="0.3">
      <c r="A2425" s="17" t="str">
        <f>"37227"</f>
        <v>37227</v>
      </c>
      <c r="B2425" s="5" t="s">
        <v>2581</v>
      </c>
      <c r="C2425" s="17">
        <v>20230101</v>
      </c>
      <c r="D2425" s="17">
        <v>22991231</v>
      </c>
      <c r="E2425" s="25">
        <v>11331.51</v>
      </c>
    </row>
    <row r="2426" spans="1:5" x14ac:dyDescent="0.3">
      <c r="A2426" s="17" t="str">
        <f>"37228"</f>
        <v>37228</v>
      </c>
      <c r="B2426" s="5" t="s">
        <v>2582</v>
      </c>
      <c r="C2426" s="17">
        <v>20230101</v>
      </c>
      <c r="D2426" s="17">
        <v>22991231</v>
      </c>
      <c r="E2426" s="25">
        <v>6045.72</v>
      </c>
    </row>
    <row r="2427" spans="1:5" x14ac:dyDescent="0.3">
      <c r="A2427" s="17" t="str">
        <f>"37229"</f>
        <v>37229</v>
      </c>
      <c r="B2427" s="5" t="s">
        <v>2583</v>
      </c>
      <c r="C2427" s="17">
        <v>20230101</v>
      </c>
      <c r="D2427" s="17">
        <v>22991231</v>
      </c>
      <c r="E2427" s="25">
        <v>10590.98</v>
      </c>
    </row>
    <row r="2428" spans="1:5" x14ac:dyDescent="0.3">
      <c r="A2428" s="17" t="str">
        <f>"37230"</f>
        <v>37230</v>
      </c>
      <c r="B2428" s="5" t="s">
        <v>2584</v>
      </c>
      <c r="C2428" s="17">
        <v>20230101</v>
      </c>
      <c r="D2428" s="17">
        <v>22991231</v>
      </c>
      <c r="E2428" s="25">
        <v>10247.129999999999</v>
      </c>
    </row>
    <row r="2429" spans="1:5" ht="26" x14ac:dyDescent="0.3">
      <c r="A2429" s="17" t="str">
        <f>"37231"</f>
        <v>37231</v>
      </c>
      <c r="B2429" s="5" t="s">
        <v>2585</v>
      </c>
      <c r="C2429" s="17">
        <v>20230101</v>
      </c>
      <c r="D2429" s="17">
        <v>22991231</v>
      </c>
      <c r="E2429" s="25">
        <v>11434.6</v>
      </c>
    </row>
    <row r="2430" spans="1:5" ht="26" x14ac:dyDescent="0.3">
      <c r="A2430" s="17" t="str">
        <f>"37232"</f>
        <v>37232</v>
      </c>
      <c r="B2430" s="5" t="s">
        <v>2586</v>
      </c>
      <c r="C2430" s="17">
        <v>20230101</v>
      </c>
      <c r="D2430" s="17">
        <v>22991231</v>
      </c>
      <c r="E2430" s="25">
        <v>0</v>
      </c>
    </row>
    <row r="2431" spans="1:5" ht="26" x14ac:dyDescent="0.3">
      <c r="A2431" s="17" t="str">
        <f>"37233"</f>
        <v>37233</v>
      </c>
      <c r="B2431" s="5" t="s">
        <v>2587</v>
      </c>
      <c r="C2431" s="17">
        <v>20230101</v>
      </c>
      <c r="D2431" s="17">
        <v>22991231</v>
      </c>
      <c r="E2431" s="25">
        <v>0</v>
      </c>
    </row>
    <row r="2432" spans="1:5" ht="26" x14ac:dyDescent="0.3">
      <c r="A2432" s="17" t="str">
        <f>"37234"</f>
        <v>37234</v>
      </c>
      <c r="B2432" s="5" t="s">
        <v>2588</v>
      </c>
      <c r="C2432" s="17">
        <v>20230101</v>
      </c>
      <c r="D2432" s="17">
        <v>22991231</v>
      </c>
      <c r="E2432" s="25">
        <v>0</v>
      </c>
    </row>
    <row r="2433" spans="1:5" ht="26" x14ac:dyDescent="0.3">
      <c r="A2433" s="17" t="str">
        <f>"37235"</f>
        <v>37235</v>
      </c>
      <c r="B2433" s="5" t="s">
        <v>2589</v>
      </c>
      <c r="C2433" s="17">
        <v>20230101</v>
      </c>
      <c r="D2433" s="17">
        <v>22991231</v>
      </c>
      <c r="E2433" s="25">
        <v>0</v>
      </c>
    </row>
    <row r="2434" spans="1:5" ht="39" x14ac:dyDescent="0.3">
      <c r="A2434" s="17" t="str">
        <f>"37236"</f>
        <v>37236</v>
      </c>
      <c r="B2434" s="5" t="s">
        <v>2590</v>
      </c>
      <c r="C2434" s="17">
        <v>20230101</v>
      </c>
      <c r="D2434" s="17">
        <v>22991231</v>
      </c>
      <c r="E2434" s="25">
        <v>6314.59</v>
      </c>
    </row>
    <row r="2435" spans="1:5" ht="39" x14ac:dyDescent="0.3">
      <c r="A2435" s="17" t="str">
        <f>"37237"</f>
        <v>37237</v>
      </c>
      <c r="B2435" s="5" t="s">
        <v>2591</v>
      </c>
      <c r="C2435" s="17">
        <v>20230101</v>
      </c>
      <c r="D2435" s="17">
        <v>22991231</v>
      </c>
      <c r="E2435" s="25">
        <v>0</v>
      </c>
    </row>
    <row r="2436" spans="1:5" ht="26" x14ac:dyDescent="0.3">
      <c r="A2436" s="17" t="str">
        <f>"37238"</f>
        <v>37238</v>
      </c>
      <c r="B2436" s="5" t="s">
        <v>2592</v>
      </c>
      <c r="C2436" s="17">
        <v>20230101</v>
      </c>
      <c r="D2436" s="17">
        <v>22991231</v>
      </c>
      <c r="E2436" s="25">
        <v>6394.79</v>
      </c>
    </row>
    <row r="2437" spans="1:5" ht="26" x14ac:dyDescent="0.3">
      <c r="A2437" s="17" t="str">
        <f>"37239"</f>
        <v>37239</v>
      </c>
      <c r="B2437" s="5" t="s">
        <v>2593</v>
      </c>
      <c r="C2437" s="17">
        <v>20230101</v>
      </c>
      <c r="D2437" s="17">
        <v>22991231</v>
      </c>
      <c r="E2437" s="25">
        <v>0</v>
      </c>
    </row>
    <row r="2438" spans="1:5" x14ac:dyDescent="0.3">
      <c r="A2438" s="17" t="str">
        <f>"37241"</f>
        <v>37241</v>
      </c>
      <c r="B2438" s="5" t="s">
        <v>2594</v>
      </c>
      <c r="C2438" s="17">
        <v>20230101</v>
      </c>
      <c r="D2438" s="17">
        <v>22991231</v>
      </c>
      <c r="E2438" s="25">
        <v>5831.08</v>
      </c>
    </row>
    <row r="2439" spans="1:5" x14ac:dyDescent="0.3">
      <c r="A2439" s="17" t="str">
        <f>"37242"</f>
        <v>37242</v>
      </c>
      <c r="B2439" s="5" t="s">
        <v>2595</v>
      </c>
      <c r="C2439" s="17">
        <v>20230101</v>
      </c>
      <c r="D2439" s="17">
        <v>22991231</v>
      </c>
      <c r="E2439" s="25">
        <v>10772.03</v>
      </c>
    </row>
    <row r="2440" spans="1:5" ht="26" x14ac:dyDescent="0.3">
      <c r="A2440" s="17" t="str">
        <f>"37243"</f>
        <v>37243</v>
      </c>
      <c r="B2440" s="5" t="s">
        <v>2596</v>
      </c>
      <c r="C2440" s="17">
        <v>20230101</v>
      </c>
      <c r="D2440" s="17">
        <v>22991231</v>
      </c>
      <c r="E2440" s="25">
        <v>4630.0600000000004</v>
      </c>
    </row>
    <row r="2441" spans="1:5" ht="26" x14ac:dyDescent="0.3">
      <c r="A2441" s="17" t="str">
        <f>"37246"</f>
        <v>37246</v>
      </c>
      <c r="B2441" s="5" t="s">
        <v>2597</v>
      </c>
      <c r="C2441" s="17">
        <v>20170101</v>
      </c>
      <c r="D2441" s="17">
        <v>22991231</v>
      </c>
      <c r="E2441" s="25">
        <v>3131.12</v>
      </c>
    </row>
    <row r="2442" spans="1:5" ht="26" x14ac:dyDescent="0.3">
      <c r="A2442" s="17" t="str">
        <f>"37247"</f>
        <v>37247</v>
      </c>
      <c r="B2442" s="5" t="s">
        <v>2598</v>
      </c>
      <c r="C2442" s="17">
        <v>20170101</v>
      </c>
      <c r="D2442" s="17">
        <v>22991231</v>
      </c>
      <c r="E2442" s="25">
        <v>0</v>
      </c>
    </row>
    <row r="2443" spans="1:5" ht="26" x14ac:dyDescent="0.3">
      <c r="A2443" s="17" t="str">
        <f>"37248"</f>
        <v>37248</v>
      </c>
      <c r="B2443" s="5" t="s">
        <v>2599</v>
      </c>
      <c r="C2443" s="17">
        <v>20170101</v>
      </c>
      <c r="D2443" s="17">
        <v>22991231</v>
      </c>
      <c r="E2443" s="25">
        <v>2412.7800000000002</v>
      </c>
    </row>
    <row r="2444" spans="1:5" ht="26" x14ac:dyDescent="0.3">
      <c r="A2444" s="17" t="str">
        <f>"37249"</f>
        <v>37249</v>
      </c>
      <c r="B2444" s="5" t="s">
        <v>2600</v>
      </c>
      <c r="C2444" s="17">
        <v>20170101</v>
      </c>
      <c r="D2444" s="17">
        <v>22991231</v>
      </c>
      <c r="E2444" s="25">
        <v>0</v>
      </c>
    </row>
    <row r="2445" spans="1:5" ht="26" x14ac:dyDescent="0.3">
      <c r="A2445" s="17" t="str">
        <f>"37252"</f>
        <v>37252</v>
      </c>
      <c r="B2445" s="5" t="s">
        <v>2601</v>
      </c>
      <c r="C2445" s="17">
        <v>20230101</v>
      </c>
      <c r="D2445" s="17">
        <v>22991231</v>
      </c>
      <c r="E2445" s="25">
        <v>0</v>
      </c>
    </row>
    <row r="2446" spans="1:5" ht="26" x14ac:dyDescent="0.3">
      <c r="A2446" s="17" t="str">
        <f>"37253"</f>
        <v>37253</v>
      </c>
      <c r="B2446" s="5" t="s">
        <v>2602</v>
      </c>
      <c r="C2446" s="17">
        <v>20230101</v>
      </c>
      <c r="D2446" s="17">
        <v>22991231</v>
      </c>
      <c r="E2446" s="25">
        <v>0</v>
      </c>
    </row>
    <row r="2447" spans="1:5" ht="26" x14ac:dyDescent="0.3">
      <c r="A2447" s="17" t="str">
        <f>"37500"</f>
        <v>37500</v>
      </c>
      <c r="B2447" s="5" t="s">
        <v>2603</v>
      </c>
      <c r="C2447" s="17">
        <v>20230101</v>
      </c>
      <c r="D2447" s="17">
        <v>22991231</v>
      </c>
      <c r="E2447" s="25">
        <v>2772.9</v>
      </c>
    </row>
    <row r="2448" spans="1:5" x14ac:dyDescent="0.3">
      <c r="A2448" s="17" t="str">
        <f>"37565"</f>
        <v>37565</v>
      </c>
      <c r="B2448" s="5" t="s">
        <v>2604</v>
      </c>
      <c r="C2448" s="17">
        <v>19900101</v>
      </c>
      <c r="D2448" s="17">
        <v>22991231</v>
      </c>
      <c r="E2448" s="24" t="s">
        <v>7128</v>
      </c>
    </row>
    <row r="2449" spans="1:5" x14ac:dyDescent="0.3">
      <c r="A2449" s="17" t="str">
        <f>"37600"</f>
        <v>37600</v>
      </c>
      <c r="B2449" s="5" t="s">
        <v>2605</v>
      </c>
      <c r="C2449" s="17">
        <v>19900101</v>
      </c>
      <c r="D2449" s="17">
        <v>22991231</v>
      </c>
      <c r="E2449" s="24" t="s">
        <v>7128</v>
      </c>
    </row>
    <row r="2450" spans="1:5" x14ac:dyDescent="0.3">
      <c r="A2450" s="17" t="str">
        <f>"37605"</f>
        <v>37605</v>
      </c>
      <c r="B2450" s="5" t="s">
        <v>2606</v>
      </c>
      <c r="C2450" s="17">
        <v>19900101</v>
      </c>
      <c r="D2450" s="17">
        <v>22991231</v>
      </c>
      <c r="E2450" s="24" t="s">
        <v>7128</v>
      </c>
    </row>
    <row r="2451" spans="1:5" x14ac:dyDescent="0.3">
      <c r="A2451" s="17" t="str">
        <f>"37606"</f>
        <v>37606</v>
      </c>
      <c r="B2451" s="5" t="s">
        <v>2607</v>
      </c>
      <c r="C2451" s="17">
        <v>19900101</v>
      </c>
      <c r="D2451" s="17">
        <v>22991231</v>
      </c>
      <c r="E2451" s="24" t="s">
        <v>7128</v>
      </c>
    </row>
    <row r="2452" spans="1:5" ht="26" x14ac:dyDescent="0.3">
      <c r="A2452" s="17" t="str">
        <f>"37607"</f>
        <v>37607</v>
      </c>
      <c r="B2452" s="5" t="s">
        <v>2608</v>
      </c>
      <c r="C2452" s="17">
        <v>19940101</v>
      </c>
      <c r="D2452" s="17">
        <v>22991231</v>
      </c>
      <c r="E2452" s="25">
        <v>1478.57</v>
      </c>
    </row>
    <row r="2453" spans="1:5" x14ac:dyDescent="0.3">
      <c r="A2453" s="17" t="str">
        <f>"37609"</f>
        <v>37609</v>
      </c>
      <c r="B2453" s="5" t="s">
        <v>2609</v>
      </c>
      <c r="C2453" s="17">
        <v>19900101</v>
      </c>
      <c r="D2453" s="17">
        <v>22991231</v>
      </c>
      <c r="E2453" s="25">
        <v>652.27</v>
      </c>
    </row>
    <row r="2454" spans="1:5" x14ac:dyDescent="0.3">
      <c r="A2454" s="17" t="str">
        <f>"37615"</f>
        <v>37615</v>
      </c>
      <c r="B2454" s="5" t="s">
        <v>2610</v>
      </c>
      <c r="C2454" s="17">
        <v>19900101</v>
      </c>
      <c r="D2454" s="17">
        <v>22991231</v>
      </c>
      <c r="E2454" s="24" t="s">
        <v>7128</v>
      </c>
    </row>
    <row r="2455" spans="1:5" x14ac:dyDescent="0.3">
      <c r="A2455" s="17" t="str">
        <f>"37650"</f>
        <v>37650</v>
      </c>
      <c r="B2455" s="5" t="s">
        <v>2611</v>
      </c>
      <c r="C2455" s="17">
        <v>19900101</v>
      </c>
      <c r="D2455" s="17">
        <v>22991231</v>
      </c>
      <c r="E2455" s="25">
        <v>1478.57</v>
      </c>
    </row>
    <row r="2456" spans="1:5" x14ac:dyDescent="0.3">
      <c r="A2456" s="17" t="str">
        <f>"37700"</f>
        <v>37700</v>
      </c>
      <c r="B2456" s="5" t="s">
        <v>2612</v>
      </c>
      <c r="C2456" s="17">
        <v>19900101</v>
      </c>
      <c r="D2456" s="17">
        <v>22991231</v>
      </c>
      <c r="E2456" s="25">
        <v>1478.57</v>
      </c>
    </row>
    <row r="2457" spans="1:5" x14ac:dyDescent="0.3">
      <c r="A2457" s="17" t="str">
        <f>"37718"</f>
        <v>37718</v>
      </c>
      <c r="B2457" s="5" t="s">
        <v>2613</v>
      </c>
      <c r="C2457" s="17">
        <v>20051001</v>
      </c>
      <c r="D2457" s="17">
        <v>22991231</v>
      </c>
      <c r="E2457" s="25">
        <v>1478.57</v>
      </c>
    </row>
    <row r="2458" spans="1:5" x14ac:dyDescent="0.3">
      <c r="A2458" s="17" t="str">
        <f>"37722"</f>
        <v>37722</v>
      </c>
      <c r="B2458" s="5" t="s">
        <v>2614</v>
      </c>
      <c r="C2458" s="17">
        <v>20051001</v>
      </c>
      <c r="D2458" s="17">
        <v>22991231</v>
      </c>
      <c r="E2458" s="25">
        <v>1478.57</v>
      </c>
    </row>
    <row r="2459" spans="1:5" ht="39" x14ac:dyDescent="0.3">
      <c r="A2459" s="17" t="str">
        <f>"37735"</f>
        <v>37735</v>
      </c>
      <c r="B2459" s="5" t="s">
        <v>2615</v>
      </c>
      <c r="C2459" s="17">
        <v>19900101</v>
      </c>
      <c r="D2459" s="17">
        <v>22991231</v>
      </c>
      <c r="E2459" s="25">
        <v>1478.57</v>
      </c>
    </row>
    <row r="2460" spans="1:5" ht="26" x14ac:dyDescent="0.3">
      <c r="A2460" s="17" t="str">
        <f>"37760"</f>
        <v>37760</v>
      </c>
      <c r="B2460" s="5" t="s">
        <v>2616</v>
      </c>
      <c r="C2460" s="17">
        <v>19900101</v>
      </c>
      <c r="D2460" s="17">
        <v>22991231</v>
      </c>
      <c r="E2460" s="25">
        <v>1478.57</v>
      </c>
    </row>
    <row r="2461" spans="1:5" ht="26" x14ac:dyDescent="0.3">
      <c r="A2461" s="17" t="str">
        <f>"37761"</f>
        <v>37761</v>
      </c>
      <c r="B2461" s="5" t="s">
        <v>2617</v>
      </c>
      <c r="C2461" s="17">
        <v>20100101</v>
      </c>
      <c r="D2461" s="17">
        <v>22991231</v>
      </c>
      <c r="E2461" s="25">
        <v>1478.57</v>
      </c>
    </row>
    <row r="2462" spans="1:5" ht="26" x14ac:dyDescent="0.3">
      <c r="A2462" s="17" t="str">
        <f>"37765"</f>
        <v>37765</v>
      </c>
      <c r="B2462" s="5" t="s">
        <v>2618</v>
      </c>
      <c r="C2462" s="17">
        <v>20200101</v>
      </c>
      <c r="D2462" s="17">
        <v>22991231</v>
      </c>
      <c r="E2462" s="25">
        <v>208.3</v>
      </c>
    </row>
    <row r="2463" spans="1:5" ht="26" x14ac:dyDescent="0.3">
      <c r="A2463" s="17" t="str">
        <f>"37766"</f>
        <v>37766</v>
      </c>
      <c r="B2463" s="5" t="s">
        <v>2619</v>
      </c>
      <c r="C2463" s="17">
        <v>20200101</v>
      </c>
      <c r="D2463" s="17">
        <v>22991231</v>
      </c>
      <c r="E2463" s="25">
        <v>231.75</v>
      </c>
    </row>
    <row r="2464" spans="1:5" x14ac:dyDescent="0.3">
      <c r="A2464" s="17" t="str">
        <f>"37780"</f>
        <v>37780</v>
      </c>
      <c r="B2464" s="5" t="s">
        <v>2620</v>
      </c>
      <c r="C2464" s="17">
        <v>19900101</v>
      </c>
      <c r="D2464" s="17">
        <v>22991231</v>
      </c>
      <c r="E2464" s="25">
        <v>1478.57</v>
      </c>
    </row>
    <row r="2465" spans="1:5" ht="26" x14ac:dyDescent="0.3">
      <c r="A2465" s="17" t="str">
        <f>"37785"</f>
        <v>37785</v>
      </c>
      <c r="B2465" s="5" t="s">
        <v>2621</v>
      </c>
      <c r="C2465" s="17">
        <v>19900101</v>
      </c>
      <c r="D2465" s="17">
        <v>22991231</v>
      </c>
      <c r="E2465" s="25">
        <v>1478.57</v>
      </c>
    </row>
    <row r="2466" spans="1:5" x14ac:dyDescent="0.3">
      <c r="A2466" s="17" t="str">
        <f>"37790"</f>
        <v>37790</v>
      </c>
      <c r="B2466" s="5" t="s">
        <v>2622</v>
      </c>
      <c r="C2466" s="17">
        <v>19940101</v>
      </c>
      <c r="D2466" s="17">
        <v>22991231</v>
      </c>
      <c r="E2466" s="25">
        <v>1553.18</v>
      </c>
    </row>
    <row r="2467" spans="1:5" x14ac:dyDescent="0.3">
      <c r="A2467" s="17" t="str">
        <f>"37799"</f>
        <v>37799</v>
      </c>
      <c r="B2467" s="5" t="s">
        <v>2623</v>
      </c>
      <c r="C2467" s="17">
        <v>19900101</v>
      </c>
      <c r="D2467" s="17">
        <v>22991231</v>
      </c>
      <c r="E2467" s="24" t="s">
        <v>7128</v>
      </c>
    </row>
    <row r="2468" spans="1:5" x14ac:dyDescent="0.3">
      <c r="A2468" s="17" t="str">
        <f>"38120"</f>
        <v>38120</v>
      </c>
      <c r="B2468" s="5" t="s">
        <v>2624</v>
      </c>
      <c r="C2468" s="17">
        <v>20000101</v>
      </c>
      <c r="D2468" s="17">
        <v>22991231</v>
      </c>
      <c r="E2468" s="24" t="s">
        <v>7128</v>
      </c>
    </row>
    <row r="2469" spans="1:5" x14ac:dyDescent="0.3">
      <c r="A2469" s="17" t="str">
        <f>"38200"</f>
        <v>38200</v>
      </c>
      <c r="B2469" s="5" t="s">
        <v>2625</v>
      </c>
      <c r="C2469" s="17">
        <v>19900101</v>
      </c>
      <c r="D2469" s="17">
        <v>22991231</v>
      </c>
      <c r="E2469" s="25">
        <v>0</v>
      </c>
    </row>
    <row r="2470" spans="1:5" x14ac:dyDescent="0.3">
      <c r="A2470" s="17" t="str">
        <f>"38204"</f>
        <v>38204</v>
      </c>
      <c r="B2470" s="5" t="s">
        <v>2626</v>
      </c>
      <c r="C2470" s="17">
        <v>20230101</v>
      </c>
      <c r="D2470" s="17">
        <v>22991231</v>
      </c>
      <c r="E2470" s="25">
        <v>0</v>
      </c>
    </row>
    <row r="2471" spans="1:5" x14ac:dyDescent="0.3">
      <c r="A2471" s="17" t="str">
        <f>"38206"</f>
        <v>38206</v>
      </c>
      <c r="B2471" s="5" t="s">
        <v>2627</v>
      </c>
      <c r="C2471" s="17">
        <v>20230101</v>
      </c>
      <c r="D2471" s="17">
        <v>22991231</v>
      </c>
      <c r="E2471" s="25">
        <v>760.21</v>
      </c>
    </row>
    <row r="2472" spans="1:5" x14ac:dyDescent="0.3">
      <c r="A2472" s="17" t="str">
        <f>"38220"</f>
        <v>38220</v>
      </c>
      <c r="B2472" s="5" t="s">
        <v>2628</v>
      </c>
      <c r="C2472" s="17">
        <v>20230101</v>
      </c>
      <c r="D2472" s="17">
        <v>22991231</v>
      </c>
      <c r="E2472" s="25">
        <v>106.97</v>
      </c>
    </row>
    <row r="2473" spans="1:5" x14ac:dyDescent="0.3">
      <c r="A2473" s="17" t="str">
        <f>"38221"</f>
        <v>38221</v>
      </c>
      <c r="B2473" s="5" t="s">
        <v>2629</v>
      </c>
      <c r="C2473" s="17">
        <v>20230101</v>
      </c>
      <c r="D2473" s="17">
        <v>22991231</v>
      </c>
      <c r="E2473" s="25">
        <v>109.46</v>
      </c>
    </row>
    <row r="2474" spans="1:5" ht="26" x14ac:dyDescent="0.3">
      <c r="A2474" s="17" t="str">
        <f>"38222"</f>
        <v>38222</v>
      </c>
      <c r="B2474" s="5" t="s">
        <v>2630</v>
      </c>
      <c r="C2474" s="17">
        <v>20180101</v>
      </c>
      <c r="D2474" s="17">
        <v>22991231</v>
      </c>
      <c r="E2474" s="25">
        <v>1105.24</v>
      </c>
    </row>
    <row r="2475" spans="1:5" ht="26" x14ac:dyDescent="0.3">
      <c r="A2475" s="17" t="str">
        <f>"38230"</f>
        <v>38230</v>
      </c>
      <c r="B2475" s="5" t="s">
        <v>2631</v>
      </c>
      <c r="C2475" s="17">
        <v>19900101</v>
      </c>
      <c r="D2475" s="17">
        <v>22991231</v>
      </c>
      <c r="E2475" s="25">
        <v>760.21</v>
      </c>
    </row>
    <row r="2476" spans="1:5" ht="26" x14ac:dyDescent="0.3">
      <c r="A2476" s="17" t="str">
        <f>"38232"</f>
        <v>38232</v>
      </c>
      <c r="B2476" s="5" t="s">
        <v>2632</v>
      </c>
      <c r="C2476" s="17">
        <v>20120101</v>
      </c>
      <c r="D2476" s="17">
        <v>22991231</v>
      </c>
      <c r="E2476" s="25">
        <v>2292.94</v>
      </c>
    </row>
    <row r="2477" spans="1:5" x14ac:dyDescent="0.3">
      <c r="A2477" s="17" t="str">
        <f>"38240"</f>
        <v>38240</v>
      </c>
      <c r="B2477" s="5" t="s">
        <v>2633</v>
      </c>
      <c r="C2477" s="17">
        <v>19900101</v>
      </c>
      <c r="D2477" s="17">
        <v>22991231</v>
      </c>
      <c r="E2477" s="24" t="s">
        <v>7128</v>
      </c>
    </row>
    <row r="2478" spans="1:5" x14ac:dyDescent="0.3">
      <c r="A2478" s="17" t="str">
        <f>"38241"</f>
        <v>38241</v>
      </c>
      <c r="B2478" s="5" t="s">
        <v>2634</v>
      </c>
      <c r="C2478" s="17">
        <v>19920115</v>
      </c>
      <c r="D2478" s="17">
        <v>22991231</v>
      </c>
      <c r="E2478" s="25">
        <v>760.21</v>
      </c>
    </row>
    <row r="2479" spans="1:5" x14ac:dyDescent="0.3">
      <c r="A2479" s="17" t="str">
        <f>"38242"</f>
        <v>38242</v>
      </c>
      <c r="B2479" s="5" t="s">
        <v>2635</v>
      </c>
      <c r="C2479" s="17">
        <v>20230101</v>
      </c>
      <c r="D2479" s="17">
        <v>22991231</v>
      </c>
      <c r="E2479" s="25">
        <v>760.21</v>
      </c>
    </row>
    <row r="2480" spans="1:5" x14ac:dyDescent="0.3">
      <c r="A2480" s="17" t="str">
        <f>"38243"</f>
        <v>38243</v>
      </c>
      <c r="B2480" s="5" t="s">
        <v>2636</v>
      </c>
      <c r="C2480" s="17">
        <v>20130101</v>
      </c>
      <c r="D2480" s="17">
        <v>22991231</v>
      </c>
      <c r="E2480" s="25">
        <v>760.21</v>
      </c>
    </row>
    <row r="2481" spans="1:5" ht="26" x14ac:dyDescent="0.3">
      <c r="A2481" s="17" t="str">
        <f>"38300"</f>
        <v>38300</v>
      </c>
      <c r="B2481" s="5" t="s">
        <v>2637</v>
      </c>
      <c r="C2481" s="17">
        <v>19900101</v>
      </c>
      <c r="D2481" s="17">
        <v>22991231</v>
      </c>
      <c r="E2481" s="25">
        <v>1105.24</v>
      </c>
    </row>
    <row r="2482" spans="1:5" ht="26" x14ac:dyDescent="0.3">
      <c r="A2482" s="17" t="str">
        <f>"38305"</f>
        <v>38305</v>
      </c>
      <c r="B2482" s="5" t="s">
        <v>2638</v>
      </c>
      <c r="C2482" s="17">
        <v>19900101</v>
      </c>
      <c r="D2482" s="17">
        <v>22991231</v>
      </c>
      <c r="E2482" s="25">
        <v>1105.24</v>
      </c>
    </row>
    <row r="2483" spans="1:5" ht="26" x14ac:dyDescent="0.3">
      <c r="A2483" s="17" t="str">
        <f>"38308"</f>
        <v>38308</v>
      </c>
      <c r="B2483" s="5" t="s">
        <v>2639</v>
      </c>
      <c r="C2483" s="17">
        <v>19900101</v>
      </c>
      <c r="D2483" s="17">
        <v>22991231</v>
      </c>
      <c r="E2483" s="25">
        <v>1403.55</v>
      </c>
    </row>
    <row r="2484" spans="1:5" x14ac:dyDescent="0.3">
      <c r="A2484" s="17" t="str">
        <f>"38500"</f>
        <v>38500</v>
      </c>
      <c r="B2484" s="5" t="s">
        <v>2640</v>
      </c>
      <c r="C2484" s="17">
        <v>19900101</v>
      </c>
      <c r="D2484" s="17">
        <v>22991231</v>
      </c>
      <c r="E2484" s="25">
        <v>1403.55</v>
      </c>
    </row>
    <row r="2485" spans="1:5" ht="26" x14ac:dyDescent="0.3">
      <c r="A2485" s="17" t="str">
        <f>"38505"</f>
        <v>38505</v>
      </c>
      <c r="B2485" s="5" t="s">
        <v>2641</v>
      </c>
      <c r="C2485" s="17">
        <v>19900101</v>
      </c>
      <c r="D2485" s="17">
        <v>22991231</v>
      </c>
      <c r="E2485" s="25">
        <v>652.27</v>
      </c>
    </row>
    <row r="2486" spans="1:5" x14ac:dyDescent="0.3">
      <c r="A2486" s="17" t="str">
        <f>"38510"</f>
        <v>38510</v>
      </c>
      <c r="B2486" s="5" t="s">
        <v>2642</v>
      </c>
      <c r="C2486" s="17">
        <v>19900101</v>
      </c>
      <c r="D2486" s="17">
        <v>22991231</v>
      </c>
      <c r="E2486" s="25">
        <v>1403.55</v>
      </c>
    </row>
    <row r="2487" spans="1:5" ht="26" x14ac:dyDescent="0.3">
      <c r="A2487" s="17" t="str">
        <f>"38520"</f>
        <v>38520</v>
      </c>
      <c r="B2487" s="5" t="s">
        <v>2643</v>
      </c>
      <c r="C2487" s="17">
        <v>19900101</v>
      </c>
      <c r="D2487" s="17">
        <v>22991231</v>
      </c>
      <c r="E2487" s="25">
        <v>1403.55</v>
      </c>
    </row>
    <row r="2488" spans="1:5" ht="26" x14ac:dyDescent="0.3">
      <c r="A2488" s="17" t="str">
        <f>"38525"</f>
        <v>38525</v>
      </c>
      <c r="B2488" s="5" t="s">
        <v>2644</v>
      </c>
      <c r="C2488" s="17">
        <v>19900101</v>
      </c>
      <c r="D2488" s="17">
        <v>22991231</v>
      </c>
      <c r="E2488" s="25">
        <v>1403.55</v>
      </c>
    </row>
    <row r="2489" spans="1:5" x14ac:dyDescent="0.3">
      <c r="A2489" s="17" t="str">
        <f>"38530"</f>
        <v>38530</v>
      </c>
      <c r="B2489" s="5" t="s">
        <v>2645</v>
      </c>
      <c r="C2489" s="17">
        <v>19900101</v>
      </c>
      <c r="D2489" s="17">
        <v>22991231</v>
      </c>
      <c r="E2489" s="25">
        <v>1403.55</v>
      </c>
    </row>
    <row r="2490" spans="1:5" x14ac:dyDescent="0.3">
      <c r="A2490" s="17" t="str">
        <f>"38531"</f>
        <v>38531</v>
      </c>
      <c r="B2490" s="5" t="s">
        <v>2646</v>
      </c>
      <c r="C2490" s="17">
        <v>20230101</v>
      </c>
      <c r="D2490" s="17">
        <v>22991231</v>
      </c>
      <c r="E2490" s="25">
        <v>1403.55</v>
      </c>
    </row>
    <row r="2491" spans="1:5" x14ac:dyDescent="0.3">
      <c r="A2491" s="17" t="str">
        <f>"38542"</f>
        <v>38542</v>
      </c>
      <c r="B2491" s="5" t="s">
        <v>2647</v>
      </c>
      <c r="C2491" s="17">
        <v>19900101</v>
      </c>
      <c r="D2491" s="17">
        <v>22991231</v>
      </c>
      <c r="E2491" s="25">
        <v>2584.12</v>
      </c>
    </row>
    <row r="2492" spans="1:5" ht="26" x14ac:dyDescent="0.3">
      <c r="A2492" s="17" t="str">
        <f>"38550"</f>
        <v>38550</v>
      </c>
      <c r="B2492" s="5" t="s">
        <v>2648</v>
      </c>
      <c r="C2492" s="17">
        <v>19900101</v>
      </c>
      <c r="D2492" s="17">
        <v>22991231</v>
      </c>
      <c r="E2492" s="25">
        <v>1403.55</v>
      </c>
    </row>
    <row r="2493" spans="1:5" ht="39" x14ac:dyDescent="0.3">
      <c r="A2493" s="17" t="str">
        <f>"38555"</f>
        <v>38555</v>
      </c>
      <c r="B2493" s="5" t="s">
        <v>2649</v>
      </c>
      <c r="C2493" s="17">
        <v>19900101</v>
      </c>
      <c r="D2493" s="17">
        <v>22991231</v>
      </c>
      <c r="E2493" s="25">
        <v>2422.23</v>
      </c>
    </row>
    <row r="2494" spans="1:5" ht="26" x14ac:dyDescent="0.3">
      <c r="A2494" s="17" t="str">
        <f>"38570"</f>
        <v>38570</v>
      </c>
      <c r="B2494" s="5" t="s">
        <v>2650</v>
      </c>
      <c r="C2494" s="17">
        <v>20000101</v>
      </c>
      <c r="D2494" s="17">
        <v>22991231</v>
      </c>
      <c r="E2494" s="25">
        <v>2584.12</v>
      </c>
    </row>
    <row r="2495" spans="1:5" ht="26" x14ac:dyDescent="0.3">
      <c r="A2495" s="17" t="str">
        <f>"38571"</f>
        <v>38571</v>
      </c>
      <c r="B2495" s="5" t="s">
        <v>2651</v>
      </c>
      <c r="C2495" s="17">
        <v>20000101</v>
      </c>
      <c r="D2495" s="17">
        <v>22991231</v>
      </c>
      <c r="E2495" s="25">
        <v>4336.99</v>
      </c>
    </row>
    <row r="2496" spans="1:5" ht="39" x14ac:dyDescent="0.3">
      <c r="A2496" s="17" t="str">
        <f>"38572"</f>
        <v>38572</v>
      </c>
      <c r="B2496" s="5" t="s">
        <v>2652</v>
      </c>
      <c r="C2496" s="17">
        <v>20000101</v>
      </c>
      <c r="D2496" s="17">
        <v>22991231</v>
      </c>
      <c r="E2496" s="25">
        <v>4336.99</v>
      </c>
    </row>
    <row r="2497" spans="1:5" ht="39" x14ac:dyDescent="0.3">
      <c r="A2497" s="17" t="str">
        <f>"38573"</f>
        <v>38573</v>
      </c>
      <c r="B2497" s="5" t="s">
        <v>2653</v>
      </c>
      <c r="C2497" s="17">
        <v>20180101</v>
      </c>
      <c r="D2497" s="17">
        <v>22991231</v>
      </c>
      <c r="E2497" s="25">
        <v>4336.99</v>
      </c>
    </row>
    <row r="2498" spans="1:5" ht="26" x14ac:dyDescent="0.3">
      <c r="A2498" s="17" t="str">
        <f>"38700"</f>
        <v>38700</v>
      </c>
      <c r="B2498" s="5" t="s">
        <v>2654</v>
      </c>
      <c r="C2498" s="17">
        <v>19900101</v>
      </c>
      <c r="D2498" s="17">
        <v>22991231</v>
      </c>
      <c r="E2498" s="25">
        <v>2422.23</v>
      </c>
    </row>
    <row r="2499" spans="1:5" x14ac:dyDescent="0.3">
      <c r="A2499" s="17" t="str">
        <f>"38720"</f>
        <v>38720</v>
      </c>
      <c r="B2499" s="5" t="s">
        <v>2655</v>
      </c>
      <c r="C2499" s="17">
        <v>19900101</v>
      </c>
      <c r="D2499" s="17">
        <v>22991231</v>
      </c>
      <c r="E2499" s="24" t="s">
        <v>7128</v>
      </c>
    </row>
    <row r="2500" spans="1:5" ht="26" x14ac:dyDescent="0.3">
      <c r="A2500" s="17" t="str">
        <f>"38724"</f>
        <v>38724</v>
      </c>
      <c r="B2500" s="5" t="s">
        <v>2656</v>
      </c>
      <c r="C2500" s="17">
        <v>19900101</v>
      </c>
      <c r="D2500" s="17">
        <v>22991231</v>
      </c>
      <c r="E2500" s="24" t="s">
        <v>7128</v>
      </c>
    </row>
    <row r="2501" spans="1:5" x14ac:dyDescent="0.3">
      <c r="A2501" s="17" t="str">
        <f>"38740"</f>
        <v>38740</v>
      </c>
      <c r="B2501" s="5" t="s">
        <v>2657</v>
      </c>
      <c r="C2501" s="17">
        <v>19900101</v>
      </c>
      <c r="D2501" s="17">
        <v>22991231</v>
      </c>
      <c r="E2501" s="25">
        <v>2584.12</v>
      </c>
    </row>
    <row r="2502" spans="1:5" x14ac:dyDescent="0.3">
      <c r="A2502" s="17" t="str">
        <f>"38745"</f>
        <v>38745</v>
      </c>
      <c r="B2502" s="5" t="s">
        <v>2658</v>
      </c>
      <c r="C2502" s="17">
        <v>19900101</v>
      </c>
      <c r="D2502" s="17">
        <v>22991231</v>
      </c>
      <c r="E2502" s="25">
        <v>2584.12</v>
      </c>
    </row>
    <row r="2503" spans="1:5" x14ac:dyDescent="0.3">
      <c r="A2503" s="17" t="str">
        <f>"38760"</f>
        <v>38760</v>
      </c>
      <c r="B2503" s="5" t="s">
        <v>2659</v>
      </c>
      <c r="C2503" s="17">
        <v>19900101</v>
      </c>
      <c r="D2503" s="17">
        <v>22991231</v>
      </c>
      <c r="E2503" s="25">
        <v>2422.23</v>
      </c>
    </row>
    <row r="2504" spans="1:5" ht="26" x14ac:dyDescent="0.3">
      <c r="A2504" s="17" t="str">
        <f>"38790"</f>
        <v>38790</v>
      </c>
      <c r="B2504" s="5" t="s">
        <v>2660</v>
      </c>
      <c r="C2504" s="17">
        <v>19900101</v>
      </c>
      <c r="D2504" s="17">
        <v>22991231</v>
      </c>
      <c r="E2504" s="25">
        <v>0</v>
      </c>
    </row>
    <row r="2505" spans="1:5" ht="26" x14ac:dyDescent="0.3">
      <c r="A2505" s="17" t="str">
        <f>"38792"</f>
        <v>38792</v>
      </c>
      <c r="B2505" s="5" t="s">
        <v>2661</v>
      </c>
      <c r="C2505" s="17">
        <v>19990101</v>
      </c>
      <c r="D2505" s="17">
        <v>22991231</v>
      </c>
      <c r="E2505" s="25">
        <v>0</v>
      </c>
    </row>
    <row r="2506" spans="1:5" x14ac:dyDescent="0.3">
      <c r="A2506" s="17" t="str">
        <f>"38794"</f>
        <v>38794</v>
      </c>
      <c r="B2506" s="5" t="s">
        <v>2662</v>
      </c>
      <c r="C2506" s="17">
        <v>19900101</v>
      </c>
      <c r="D2506" s="17">
        <v>22991231</v>
      </c>
      <c r="E2506" s="25">
        <v>0</v>
      </c>
    </row>
    <row r="2507" spans="1:5" x14ac:dyDescent="0.3">
      <c r="A2507" s="17" t="str">
        <f>"38900"</f>
        <v>38900</v>
      </c>
      <c r="B2507" s="5" t="s">
        <v>2663</v>
      </c>
      <c r="C2507" s="17">
        <v>20110101</v>
      </c>
      <c r="D2507" s="17">
        <v>22991231</v>
      </c>
      <c r="E2507" s="25">
        <v>0</v>
      </c>
    </row>
    <row r="2508" spans="1:5" x14ac:dyDescent="0.3">
      <c r="A2508" s="17" t="str">
        <f>"40490"</f>
        <v>40490</v>
      </c>
      <c r="B2508" s="5" t="s">
        <v>2664</v>
      </c>
      <c r="C2508" s="17">
        <v>19900101</v>
      </c>
      <c r="D2508" s="17">
        <v>22991231</v>
      </c>
      <c r="E2508" s="25">
        <v>72.87</v>
      </c>
    </row>
    <row r="2509" spans="1:5" x14ac:dyDescent="0.3">
      <c r="A2509" s="17" t="str">
        <f>"40500"</f>
        <v>40500</v>
      </c>
      <c r="B2509" s="5" t="s">
        <v>2665</v>
      </c>
      <c r="C2509" s="17">
        <v>19900101</v>
      </c>
      <c r="D2509" s="17">
        <v>22991231</v>
      </c>
      <c r="E2509" s="25">
        <v>1259.74</v>
      </c>
    </row>
    <row r="2510" spans="1:5" x14ac:dyDescent="0.3">
      <c r="A2510" s="17" t="str">
        <f>"40510"</f>
        <v>40510</v>
      </c>
      <c r="B2510" s="5" t="s">
        <v>2666</v>
      </c>
      <c r="C2510" s="17">
        <v>19900101</v>
      </c>
      <c r="D2510" s="17">
        <v>22991231</v>
      </c>
      <c r="E2510" s="25">
        <v>1259.74</v>
      </c>
    </row>
    <row r="2511" spans="1:5" x14ac:dyDescent="0.3">
      <c r="A2511" s="17" t="str">
        <f>"40520"</f>
        <v>40520</v>
      </c>
      <c r="B2511" s="5" t="s">
        <v>2667</v>
      </c>
      <c r="C2511" s="17">
        <v>19900101</v>
      </c>
      <c r="D2511" s="17">
        <v>22991231</v>
      </c>
      <c r="E2511" s="25">
        <v>1259.74</v>
      </c>
    </row>
    <row r="2512" spans="1:5" ht="26" x14ac:dyDescent="0.3">
      <c r="A2512" s="17" t="str">
        <f>"40525"</f>
        <v>40525</v>
      </c>
      <c r="B2512" s="5" t="s">
        <v>2668</v>
      </c>
      <c r="C2512" s="17">
        <v>19900101</v>
      </c>
      <c r="D2512" s="17">
        <v>22991231</v>
      </c>
      <c r="E2512" s="25">
        <v>1259.74</v>
      </c>
    </row>
    <row r="2513" spans="1:5" x14ac:dyDescent="0.3">
      <c r="A2513" s="17" t="str">
        <f>"40527"</f>
        <v>40527</v>
      </c>
      <c r="B2513" s="5" t="s">
        <v>2669</v>
      </c>
      <c r="C2513" s="17">
        <v>19900101</v>
      </c>
      <c r="D2513" s="17">
        <v>22991231</v>
      </c>
      <c r="E2513" s="25">
        <v>2637</v>
      </c>
    </row>
    <row r="2514" spans="1:5" x14ac:dyDescent="0.3">
      <c r="A2514" s="17" t="str">
        <f>"40530"</f>
        <v>40530</v>
      </c>
      <c r="B2514" s="5" t="s">
        <v>2670</v>
      </c>
      <c r="C2514" s="17">
        <v>19900101</v>
      </c>
      <c r="D2514" s="17">
        <v>22991231</v>
      </c>
      <c r="E2514" s="25">
        <v>1259.74</v>
      </c>
    </row>
    <row r="2515" spans="1:5" x14ac:dyDescent="0.3">
      <c r="A2515" s="17" t="str">
        <f>"40650"</f>
        <v>40650</v>
      </c>
      <c r="B2515" s="5" t="s">
        <v>2671</v>
      </c>
      <c r="C2515" s="17">
        <v>19900101</v>
      </c>
      <c r="D2515" s="17">
        <v>22991231</v>
      </c>
      <c r="E2515" s="25">
        <v>272.61</v>
      </c>
    </row>
    <row r="2516" spans="1:5" ht="26" x14ac:dyDescent="0.3">
      <c r="A2516" s="17" t="str">
        <f>"40652"</f>
        <v>40652</v>
      </c>
      <c r="B2516" s="5" t="s">
        <v>2672</v>
      </c>
      <c r="C2516" s="17">
        <v>19900101</v>
      </c>
      <c r="D2516" s="17">
        <v>22991231</v>
      </c>
      <c r="E2516" s="25">
        <v>272.61</v>
      </c>
    </row>
    <row r="2517" spans="1:5" ht="26" x14ac:dyDescent="0.3">
      <c r="A2517" s="17" t="str">
        <f>"40654"</f>
        <v>40654</v>
      </c>
      <c r="B2517" s="5" t="s">
        <v>2673</v>
      </c>
      <c r="C2517" s="17">
        <v>19900101</v>
      </c>
      <c r="D2517" s="17">
        <v>22991231</v>
      </c>
      <c r="E2517" s="25">
        <v>636.91999999999996</v>
      </c>
    </row>
    <row r="2518" spans="1:5" ht="26" x14ac:dyDescent="0.3">
      <c r="A2518" s="17" t="str">
        <f>"40700"</f>
        <v>40700</v>
      </c>
      <c r="B2518" s="5" t="s">
        <v>2674</v>
      </c>
      <c r="C2518" s="17">
        <v>19900101</v>
      </c>
      <c r="D2518" s="17">
        <v>22991231</v>
      </c>
      <c r="E2518" s="25">
        <v>2637</v>
      </c>
    </row>
    <row r="2519" spans="1:5" ht="26" x14ac:dyDescent="0.3">
      <c r="A2519" s="17" t="str">
        <f>"40701"</f>
        <v>40701</v>
      </c>
      <c r="B2519" s="5" t="s">
        <v>2675</v>
      </c>
      <c r="C2519" s="17">
        <v>19900101</v>
      </c>
      <c r="D2519" s="17">
        <v>22991231</v>
      </c>
      <c r="E2519" s="25">
        <v>2637</v>
      </c>
    </row>
    <row r="2520" spans="1:5" ht="26" x14ac:dyDescent="0.3">
      <c r="A2520" s="17" t="str">
        <f>"40702"</f>
        <v>40702</v>
      </c>
      <c r="B2520" s="5" t="s">
        <v>2676</v>
      </c>
      <c r="C2520" s="17">
        <v>19900101</v>
      </c>
      <c r="D2520" s="17">
        <v>22991231</v>
      </c>
      <c r="E2520" s="25">
        <v>2637</v>
      </c>
    </row>
    <row r="2521" spans="1:5" ht="26" x14ac:dyDescent="0.3">
      <c r="A2521" s="17" t="str">
        <f>"40720"</f>
        <v>40720</v>
      </c>
      <c r="B2521" s="5" t="s">
        <v>2677</v>
      </c>
      <c r="C2521" s="17">
        <v>19900101</v>
      </c>
      <c r="D2521" s="17">
        <v>22991231</v>
      </c>
      <c r="E2521" s="25">
        <v>1259.74</v>
      </c>
    </row>
    <row r="2522" spans="1:5" ht="26" x14ac:dyDescent="0.3">
      <c r="A2522" s="17" t="str">
        <f>"40761"</f>
        <v>40761</v>
      </c>
      <c r="B2522" s="5" t="s">
        <v>2678</v>
      </c>
      <c r="C2522" s="17">
        <v>19900101</v>
      </c>
      <c r="D2522" s="17">
        <v>22991231</v>
      </c>
      <c r="E2522" s="25">
        <v>2637</v>
      </c>
    </row>
    <row r="2523" spans="1:5" ht="26" x14ac:dyDescent="0.3">
      <c r="A2523" s="17" t="str">
        <f>"40800"</f>
        <v>40800</v>
      </c>
      <c r="B2523" s="5" t="s">
        <v>2679</v>
      </c>
      <c r="C2523" s="17">
        <v>19900101</v>
      </c>
      <c r="D2523" s="17">
        <v>22991231</v>
      </c>
      <c r="E2523" s="25">
        <v>147.62</v>
      </c>
    </row>
    <row r="2524" spans="1:5" ht="26" x14ac:dyDescent="0.3">
      <c r="A2524" s="17" t="str">
        <f>"40801"</f>
        <v>40801</v>
      </c>
      <c r="B2524" s="5" t="s">
        <v>2680</v>
      </c>
      <c r="C2524" s="17">
        <v>19900101</v>
      </c>
      <c r="D2524" s="17">
        <v>22991231</v>
      </c>
      <c r="E2524" s="25">
        <v>272.61</v>
      </c>
    </row>
    <row r="2525" spans="1:5" ht="26" x14ac:dyDescent="0.3">
      <c r="A2525" s="17" t="str">
        <f>"40804"</f>
        <v>40804</v>
      </c>
      <c r="B2525" s="5" t="s">
        <v>2681</v>
      </c>
      <c r="C2525" s="17">
        <v>19900101</v>
      </c>
      <c r="D2525" s="17">
        <v>22991231</v>
      </c>
      <c r="E2525" s="25">
        <v>0</v>
      </c>
    </row>
    <row r="2526" spans="1:5" ht="26" x14ac:dyDescent="0.3">
      <c r="A2526" s="17" t="str">
        <f>"40805"</f>
        <v>40805</v>
      </c>
      <c r="B2526" s="5" t="s">
        <v>2682</v>
      </c>
      <c r="C2526" s="17">
        <v>19900101</v>
      </c>
      <c r="D2526" s="17">
        <v>22991231</v>
      </c>
      <c r="E2526" s="25">
        <v>172.01</v>
      </c>
    </row>
    <row r="2527" spans="1:5" x14ac:dyDescent="0.3">
      <c r="A2527" s="17" t="str">
        <f>"40806"</f>
        <v>40806</v>
      </c>
      <c r="B2527" s="5" t="s">
        <v>2683</v>
      </c>
      <c r="C2527" s="17">
        <v>19900101</v>
      </c>
      <c r="D2527" s="17">
        <v>22991231</v>
      </c>
      <c r="E2527" s="25">
        <v>82.56</v>
      </c>
    </row>
    <row r="2528" spans="1:5" x14ac:dyDescent="0.3">
      <c r="A2528" s="17" t="str">
        <f>"40808"</f>
        <v>40808</v>
      </c>
      <c r="B2528" s="5" t="s">
        <v>2684</v>
      </c>
      <c r="C2528" s="17">
        <v>19900101</v>
      </c>
      <c r="D2528" s="17">
        <v>22991231</v>
      </c>
      <c r="E2528" s="25">
        <v>122.6</v>
      </c>
    </row>
    <row r="2529" spans="1:5" x14ac:dyDescent="0.3">
      <c r="A2529" s="17" t="str">
        <f>"40810"</f>
        <v>40810</v>
      </c>
      <c r="B2529" s="5" t="s">
        <v>2685</v>
      </c>
      <c r="C2529" s="17">
        <v>19900101</v>
      </c>
      <c r="D2529" s="17">
        <v>22991231</v>
      </c>
      <c r="E2529" s="25">
        <v>156.38</v>
      </c>
    </row>
    <row r="2530" spans="1:5" x14ac:dyDescent="0.3">
      <c r="A2530" s="17" t="str">
        <f>"40812"</f>
        <v>40812</v>
      </c>
      <c r="B2530" s="5" t="s">
        <v>2686</v>
      </c>
      <c r="C2530" s="17">
        <v>19900101</v>
      </c>
      <c r="D2530" s="17">
        <v>22991231</v>
      </c>
      <c r="E2530" s="25">
        <v>178.27</v>
      </c>
    </row>
    <row r="2531" spans="1:5" ht="26" x14ac:dyDescent="0.3">
      <c r="A2531" s="17" t="str">
        <f>"40814"</f>
        <v>40814</v>
      </c>
      <c r="B2531" s="5" t="s">
        <v>2687</v>
      </c>
      <c r="C2531" s="17">
        <v>19900101</v>
      </c>
      <c r="D2531" s="17">
        <v>22991231</v>
      </c>
      <c r="E2531" s="25">
        <v>1259.74</v>
      </c>
    </row>
    <row r="2532" spans="1:5" ht="26" x14ac:dyDescent="0.3">
      <c r="A2532" s="17" t="str">
        <f>"40816"</f>
        <v>40816</v>
      </c>
      <c r="B2532" s="5" t="s">
        <v>2688</v>
      </c>
      <c r="C2532" s="17">
        <v>19900101</v>
      </c>
      <c r="D2532" s="17">
        <v>22991231</v>
      </c>
      <c r="E2532" s="25">
        <v>1259.74</v>
      </c>
    </row>
    <row r="2533" spans="1:5" x14ac:dyDescent="0.3">
      <c r="A2533" s="17" t="str">
        <f>"40818"</f>
        <v>40818</v>
      </c>
      <c r="B2533" s="5" t="s">
        <v>2689</v>
      </c>
      <c r="C2533" s="17">
        <v>19900101</v>
      </c>
      <c r="D2533" s="17">
        <v>22991231</v>
      </c>
      <c r="E2533" s="25">
        <v>272.61</v>
      </c>
    </row>
    <row r="2534" spans="1:5" x14ac:dyDescent="0.3">
      <c r="A2534" s="17" t="str">
        <f>"40819"</f>
        <v>40819</v>
      </c>
      <c r="B2534" s="5" t="s">
        <v>2690</v>
      </c>
      <c r="C2534" s="17">
        <v>19900101</v>
      </c>
      <c r="D2534" s="17">
        <v>22991231</v>
      </c>
      <c r="E2534" s="25">
        <v>636.91999999999996</v>
      </c>
    </row>
    <row r="2535" spans="1:5" x14ac:dyDescent="0.3">
      <c r="A2535" s="17" t="str">
        <f>"40820"</f>
        <v>40820</v>
      </c>
      <c r="B2535" s="5" t="s">
        <v>2691</v>
      </c>
      <c r="C2535" s="17">
        <v>19900101</v>
      </c>
      <c r="D2535" s="17">
        <v>22991231</v>
      </c>
      <c r="E2535" s="25">
        <v>197.35</v>
      </c>
    </row>
    <row r="2536" spans="1:5" x14ac:dyDescent="0.3">
      <c r="A2536" s="17" t="str">
        <f>"40830"</f>
        <v>40830</v>
      </c>
      <c r="B2536" s="5" t="s">
        <v>2692</v>
      </c>
      <c r="C2536" s="17">
        <v>19900101</v>
      </c>
      <c r="D2536" s="17">
        <v>22991231</v>
      </c>
      <c r="E2536" s="25">
        <v>121.03</v>
      </c>
    </row>
    <row r="2537" spans="1:5" x14ac:dyDescent="0.3">
      <c r="A2537" s="17" t="str">
        <f>"40831"</f>
        <v>40831</v>
      </c>
      <c r="B2537" s="5" t="s">
        <v>2693</v>
      </c>
      <c r="C2537" s="17">
        <v>19900101</v>
      </c>
      <c r="D2537" s="17">
        <v>22991231</v>
      </c>
      <c r="E2537" s="25">
        <v>272.61</v>
      </c>
    </row>
    <row r="2538" spans="1:5" ht="26" x14ac:dyDescent="0.3">
      <c r="A2538" s="17" t="str">
        <f>"40840"</f>
        <v>40840</v>
      </c>
      <c r="B2538" s="5" t="s">
        <v>2694</v>
      </c>
      <c r="C2538" s="17">
        <v>19900101</v>
      </c>
      <c r="D2538" s="17">
        <v>22991231</v>
      </c>
      <c r="E2538" s="25">
        <v>2637</v>
      </c>
    </row>
    <row r="2539" spans="1:5" x14ac:dyDescent="0.3">
      <c r="A2539" s="17" t="str">
        <f>"40842"</f>
        <v>40842</v>
      </c>
      <c r="B2539" s="5" t="s">
        <v>2695</v>
      </c>
      <c r="C2539" s="17">
        <v>19900101</v>
      </c>
      <c r="D2539" s="17">
        <v>22991231</v>
      </c>
      <c r="E2539" s="25">
        <v>2637</v>
      </c>
    </row>
    <row r="2540" spans="1:5" x14ac:dyDescent="0.3">
      <c r="A2540" s="17" t="str">
        <f>"40843"</f>
        <v>40843</v>
      </c>
      <c r="B2540" s="5" t="s">
        <v>2696</v>
      </c>
      <c r="C2540" s="17">
        <v>19900101</v>
      </c>
      <c r="D2540" s="17">
        <v>22991231</v>
      </c>
      <c r="E2540" s="25">
        <v>2637</v>
      </c>
    </row>
    <row r="2541" spans="1:5" x14ac:dyDescent="0.3">
      <c r="A2541" s="17" t="str">
        <f>"40844"</f>
        <v>40844</v>
      </c>
      <c r="B2541" s="5" t="s">
        <v>2697</v>
      </c>
      <c r="C2541" s="17">
        <v>19900101</v>
      </c>
      <c r="D2541" s="17">
        <v>22991231</v>
      </c>
      <c r="E2541" s="25">
        <v>2637</v>
      </c>
    </row>
    <row r="2542" spans="1:5" x14ac:dyDescent="0.3">
      <c r="A2542" s="17" t="str">
        <f>"40845"</f>
        <v>40845</v>
      </c>
      <c r="B2542" s="5" t="s">
        <v>2698</v>
      </c>
      <c r="C2542" s="17">
        <v>19900101</v>
      </c>
      <c r="D2542" s="17">
        <v>22991231</v>
      </c>
      <c r="E2542" s="25">
        <v>2637</v>
      </c>
    </row>
    <row r="2543" spans="1:5" ht="26" x14ac:dyDescent="0.3">
      <c r="A2543" s="17" t="str">
        <f>"41000"</f>
        <v>41000</v>
      </c>
      <c r="B2543" s="5" t="s">
        <v>2699</v>
      </c>
      <c r="C2543" s="17">
        <v>19900101</v>
      </c>
      <c r="D2543" s="17">
        <v>22991231</v>
      </c>
      <c r="E2543" s="25">
        <v>89.76</v>
      </c>
    </row>
    <row r="2544" spans="1:5" ht="26" x14ac:dyDescent="0.3">
      <c r="A2544" s="17" t="str">
        <f>"41005"</f>
        <v>41005</v>
      </c>
      <c r="B2544" s="5" t="s">
        <v>2700</v>
      </c>
      <c r="C2544" s="17">
        <v>19900101</v>
      </c>
      <c r="D2544" s="17">
        <v>22991231</v>
      </c>
      <c r="E2544" s="25">
        <v>121.03</v>
      </c>
    </row>
    <row r="2545" spans="1:5" ht="39" x14ac:dyDescent="0.3">
      <c r="A2545" s="17" t="str">
        <f>"41006"</f>
        <v>41006</v>
      </c>
      <c r="B2545" s="5" t="s">
        <v>2701</v>
      </c>
      <c r="C2545" s="17">
        <v>19900101</v>
      </c>
      <c r="D2545" s="17">
        <v>22991231</v>
      </c>
      <c r="E2545" s="25">
        <v>636.91999999999996</v>
      </c>
    </row>
    <row r="2546" spans="1:5" ht="26" x14ac:dyDescent="0.3">
      <c r="A2546" s="17" t="str">
        <f>"41007"</f>
        <v>41007</v>
      </c>
      <c r="B2546" s="5" t="s">
        <v>2702</v>
      </c>
      <c r="C2546" s="17">
        <v>19900101</v>
      </c>
      <c r="D2546" s="17">
        <v>22991231</v>
      </c>
      <c r="E2546" s="25">
        <v>636.91999999999996</v>
      </c>
    </row>
    <row r="2547" spans="1:5" ht="26" x14ac:dyDescent="0.3">
      <c r="A2547" s="17" t="str">
        <f>"41008"</f>
        <v>41008</v>
      </c>
      <c r="B2547" s="5" t="s">
        <v>2703</v>
      </c>
      <c r="C2547" s="17">
        <v>19900101</v>
      </c>
      <c r="D2547" s="17">
        <v>22991231</v>
      </c>
      <c r="E2547" s="25">
        <v>1259.74</v>
      </c>
    </row>
    <row r="2548" spans="1:5" ht="39" x14ac:dyDescent="0.3">
      <c r="A2548" s="17" t="str">
        <f>"41009"</f>
        <v>41009</v>
      </c>
      <c r="B2548" s="5" t="s">
        <v>2704</v>
      </c>
      <c r="C2548" s="17">
        <v>19900101</v>
      </c>
      <c r="D2548" s="17">
        <v>22991231</v>
      </c>
      <c r="E2548" s="25">
        <v>272.61</v>
      </c>
    </row>
    <row r="2549" spans="1:5" ht="26" x14ac:dyDescent="0.3">
      <c r="A2549" s="17" t="str">
        <f>"41010"</f>
        <v>41010</v>
      </c>
      <c r="B2549" s="5" t="s">
        <v>2705</v>
      </c>
      <c r="C2549" s="17">
        <v>19900101</v>
      </c>
      <c r="D2549" s="17">
        <v>22991231</v>
      </c>
      <c r="E2549" s="25">
        <v>636.91999999999996</v>
      </c>
    </row>
    <row r="2550" spans="1:5" ht="26" x14ac:dyDescent="0.3">
      <c r="A2550" s="17" t="str">
        <f>"41015"</f>
        <v>41015</v>
      </c>
      <c r="B2550" s="5" t="s">
        <v>2706</v>
      </c>
      <c r="C2550" s="17">
        <v>19900101</v>
      </c>
      <c r="D2550" s="17">
        <v>22991231</v>
      </c>
      <c r="E2550" s="25">
        <v>272.61</v>
      </c>
    </row>
    <row r="2551" spans="1:5" ht="26" x14ac:dyDescent="0.3">
      <c r="A2551" s="17" t="str">
        <f>"41016"</f>
        <v>41016</v>
      </c>
      <c r="B2551" s="5" t="s">
        <v>2707</v>
      </c>
      <c r="C2551" s="17">
        <v>19900101</v>
      </c>
      <c r="D2551" s="17">
        <v>22991231</v>
      </c>
      <c r="E2551" s="25">
        <v>2637</v>
      </c>
    </row>
    <row r="2552" spans="1:5" ht="26" x14ac:dyDescent="0.3">
      <c r="A2552" s="17" t="str">
        <f>"41017"</f>
        <v>41017</v>
      </c>
      <c r="B2552" s="5" t="s">
        <v>2708</v>
      </c>
      <c r="C2552" s="17">
        <v>19900101</v>
      </c>
      <c r="D2552" s="17">
        <v>22991231</v>
      </c>
      <c r="E2552" s="25">
        <v>1259.74</v>
      </c>
    </row>
    <row r="2553" spans="1:5" ht="39" x14ac:dyDescent="0.3">
      <c r="A2553" s="17" t="str">
        <f>"41018"</f>
        <v>41018</v>
      </c>
      <c r="B2553" s="5" t="s">
        <v>2709</v>
      </c>
      <c r="C2553" s="17">
        <v>19900101</v>
      </c>
      <c r="D2553" s="17">
        <v>22991231</v>
      </c>
      <c r="E2553" s="25">
        <v>636.91999999999996</v>
      </c>
    </row>
    <row r="2554" spans="1:5" ht="26" x14ac:dyDescent="0.3">
      <c r="A2554" s="17" t="str">
        <f>"41019"</f>
        <v>41019</v>
      </c>
      <c r="B2554" s="5" t="s">
        <v>2710</v>
      </c>
      <c r="C2554" s="17">
        <v>20080101</v>
      </c>
      <c r="D2554" s="17">
        <v>22991231</v>
      </c>
      <c r="E2554" s="25">
        <v>2637</v>
      </c>
    </row>
    <row r="2555" spans="1:5" x14ac:dyDescent="0.3">
      <c r="A2555" s="17" t="str">
        <f>"41100"</f>
        <v>41100</v>
      </c>
      <c r="B2555" s="5" t="s">
        <v>2711</v>
      </c>
      <c r="C2555" s="17">
        <v>19900101</v>
      </c>
      <c r="D2555" s="17">
        <v>22991231</v>
      </c>
      <c r="E2555" s="25">
        <v>126.36</v>
      </c>
    </row>
    <row r="2556" spans="1:5" x14ac:dyDescent="0.3">
      <c r="A2556" s="17" t="str">
        <f>"41105"</f>
        <v>41105</v>
      </c>
      <c r="B2556" s="5" t="s">
        <v>2712</v>
      </c>
      <c r="C2556" s="17">
        <v>19900101</v>
      </c>
      <c r="D2556" s="17">
        <v>22991231</v>
      </c>
      <c r="E2556" s="25">
        <v>125.41</v>
      </c>
    </row>
    <row r="2557" spans="1:5" x14ac:dyDescent="0.3">
      <c r="A2557" s="17" t="str">
        <f>"41108"</f>
        <v>41108</v>
      </c>
      <c r="B2557" s="5" t="s">
        <v>2713</v>
      </c>
      <c r="C2557" s="17">
        <v>19900101</v>
      </c>
      <c r="D2557" s="17">
        <v>22991231</v>
      </c>
      <c r="E2557" s="25">
        <v>119.47</v>
      </c>
    </row>
    <row r="2558" spans="1:5" x14ac:dyDescent="0.3">
      <c r="A2558" s="17" t="str">
        <f>"41110"</f>
        <v>41110</v>
      </c>
      <c r="B2558" s="5" t="s">
        <v>2714</v>
      </c>
      <c r="C2558" s="17">
        <v>19900101</v>
      </c>
      <c r="D2558" s="17">
        <v>22991231</v>
      </c>
      <c r="E2558" s="25">
        <v>161.07</v>
      </c>
    </row>
    <row r="2559" spans="1:5" ht="26" x14ac:dyDescent="0.3">
      <c r="A2559" s="17" t="str">
        <f>"41112"</f>
        <v>41112</v>
      </c>
      <c r="B2559" s="5" t="s">
        <v>2715</v>
      </c>
      <c r="C2559" s="17">
        <v>19900101</v>
      </c>
      <c r="D2559" s="17">
        <v>22991231</v>
      </c>
      <c r="E2559" s="25">
        <v>1259.74</v>
      </c>
    </row>
    <row r="2560" spans="1:5" ht="26" x14ac:dyDescent="0.3">
      <c r="A2560" s="17" t="str">
        <f>"41113"</f>
        <v>41113</v>
      </c>
      <c r="B2560" s="5" t="s">
        <v>2716</v>
      </c>
      <c r="C2560" s="17">
        <v>19900101</v>
      </c>
      <c r="D2560" s="17">
        <v>22991231</v>
      </c>
      <c r="E2560" s="25">
        <v>1259.74</v>
      </c>
    </row>
    <row r="2561" spans="1:5" ht="26" x14ac:dyDescent="0.3">
      <c r="A2561" s="17" t="str">
        <f>"41114"</f>
        <v>41114</v>
      </c>
      <c r="B2561" s="5" t="s">
        <v>2717</v>
      </c>
      <c r="C2561" s="17">
        <v>19900101</v>
      </c>
      <c r="D2561" s="17">
        <v>22991231</v>
      </c>
      <c r="E2561" s="25">
        <v>1259.74</v>
      </c>
    </row>
    <row r="2562" spans="1:5" ht="26" x14ac:dyDescent="0.3">
      <c r="A2562" s="17" t="str">
        <f>"41115"</f>
        <v>41115</v>
      </c>
      <c r="B2562" s="5" t="s">
        <v>2718</v>
      </c>
      <c r="C2562" s="17">
        <v>19900101</v>
      </c>
      <c r="D2562" s="17">
        <v>22991231</v>
      </c>
      <c r="E2562" s="25">
        <v>182.34</v>
      </c>
    </row>
    <row r="2563" spans="1:5" x14ac:dyDescent="0.3">
      <c r="A2563" s="17" t="str">
        <f>"41116"</f>
        <v>41116</v>
      </c>
      <c r="B2563" s="5" t="s">
        <v>2719</v>
      </c>
      <c r="C2563" s="17">
        <v>19900101</v>
      </c>
      <c r="D2563" s="17">
        <v>22991231</v>
      </c>
      <c r="E2563" s="25">
        <v>1259.74</v>
      </c>
    </row>
    <row r="2564" spans="1:5" x14ac:dyDescent="0.3">
      <c r="A2564" s="17" t="str">
        <f>"41120"</f>
        <v>41120</v>
      </c>
      <c r="B2564" s="5" t="s">
        <v>2720</v>
      </c>
      <c r="C2564" s="17">
        <v>19900101</v>
      </c>
      <c r="D2564" s="17">
        <v>22991231</v>
      </c>
      <c r="E2564" s="25">
        <v>2637</v>
      </c>
    </row>
    <row r="2565" spans="1:5" ht="26" x14ac:dyDescent="0.3">
      <c r="A2565" s="17" t="str">
        <f>"41250"</f>
        <v>41250</v>
      </c>
      <c r="B2565" s="5" t="s">
        <v>2721</v>
      </c>
      <c r="C2565" s="17">
        <v>19900101</v>
      </c>
      <c r="D2565" s="17">
        <v>22991231</v>
      </c>
      <c r="E2565" s="25">
        <v>0</v>
      </c>
    </row>
    <row r="2566" spans="1:5" ht="26" x14ac:dyDescent="0.3">
      <c r="A2566" s="17" t="str">
        <f>"41251"</f>
        <v>41251</v>
      </c>
      <c r="B2566" s="5" t="s">
        <v>2722</v>
      </c>
      <c r="C2566" s="17">
        <v>19900101</v>
      </c>
      <c r="D2566" s="17">
        <v>22991231</v>
      </c>
      <c r="E2566" s="25">
        <v>121.03</v>
      </c>
    </row>
    <row r="2567" spans="1:5" ht="26" x14ac:dyDescent="0.3">
      <c r="A2567" s="17" t="str">
        <f>"41252"</f>
        <v>41252</v>
      </c>
      <c r="B2567" s="5" t="s">
        <v>2723</v>
      </c>
      <c r="C2567" s="17">
        <v>19900101</v>
      </c>
      <c r="D2567" s="17">
        <v>22991231</v>
      </c>
      <c r="E2567" s="25">
        <v>121.03</v>
      </c>
    </row>
    <row r="2568" spans="1:5" x14ac:dyDescent="0.3">
      <c r="A2568" s="17" t="str">
        <f>"41510"</f>
        <v>41510</v>
      </c>
      <c r="B2568" s="5" t="s">
        <v>2724</v>
      </c>
      <c r="C2568" s="17">
        <v>19900101</v>
      </c>
      <c r="D2568" s="17">
        <v>22991231</v>
      </c>
      <c r="E2568" s="25">
        <v>1259.74</v>
      </c>
    </row>
    <row r="2569" spans="1:5" ht="26" x14ac:dyDescent="0.3">
      <c r="A2569" s="17" t="str">
        <f>"41512"</f>
        <v>41512</v>
      </c>
      <c r="B2569" s="5" t="s">
        <v>2725</v>
      </c>
      <c r="C2569" s="17">
        <v>20090101</v>
      </c>
      <c r="D2569" s="17">
        <v>22991231</v>
      </c>
      <c r="E2569" s="25">
        <v>3321.03</v>
      </c>
    </row>
    <row r="2570" spans="1:5" ht="26" x14ac:dyDescent="0.3">
      <c r="A2570" s="17" t="str">
        <f>"41520"</f>
        <v>41520</v>
      </c>
      <c r="B2570" s="5" t="s">
        <v>2726</v>
      </c>
      <c r="C2570" s="17">
        <v>19900101</v>
      </c>
      <c r="D2570" s="17">
        <v>22991231</v>
      </c>
      <c r="E2570" s="25">
        <v>1259.74</v>
      </c>
    </row>
    <row r="2571" spans="1:5" x14ac:dyDescent="0.3">
      <c r="A2571" s="17" t="str">
        <f>"41530"</f>
        <v>41530</v>
      </c>
      <c r="B2571" s="5" t="s">
        <v>2727</v>
      </c>
      <c r="C2571" s="17">
        <v>20230101</v>
      </c>
      <c r="D2571" s="17">
        <v>22991231</v>
      </c>
      <c r="E2571" s="25">
        <v>729.97</v>
      </c>
    </row>
    <row r="2572" spans="1:5" ht="26" x14ac:dyDescent="0.3">
      <c r="A2572" s="17" t="str">
        <f>"41800"</f>
        <v>41800</v>
      </c>
      <c r="B2572" s="5" t="s">
        <v>2728</v>
      </c>
      <c r="C2572" s="17">
        <v>19900101</v>
      </c>
      <c r="D2572" s="17">
        <v>22991231</v>
      </c>
      <c r="E2572" s="25">
        <v>0</v>
      </c>
    </row>
    <row r="2573" spans="1:5" ht="26" x14ac:dyDescent="0.3">
      <c r="A2573" s="17" t="str">
        <f>"41805"</f>
        <v>41805</v>
      </c>
      <c r="B2573" s="5" t="s">
        <v>2729</v>
      </c>
      <c r="C2573" s="17">
        <v>19900101</v>
      </c>
      <c r="D2573" s="17">
        <v>22991231</v>
      </c>
      <c r="E2573" s="25">
        <v>242.07</v>
      </c>
    </row>
    <row r="2574" spans="1:5" x14ac:dyDescent="0.3">
      <c r="A2574" s="17" t="str">
        <f>"41806"</f>
        <v>41806</v>
      </c>
      <c r="B2574" s="5" t="s">
        <v>2730</v>
      </c>
      <c r="C2574" s="17">
        <v>19900101</v>
      </c>
      <c r="D2574" s="17">
        <v>22991231</v>
      </c>
      <c r="E2574" s="25">
        <v>286.49</v>
      </c>
    </row>
    <row r="2575" spans="1:5" x14ac:dyDescent="0.3">
      <c r="A2575" s="17" t="str">
        <f>"41820"</f>
        <v>41820</v>
      </c>
      <c r="B2575" s="5" t="s">
        <v>2731</v>
      </c>
      <c r="C2575" s="17">
        <v>19900101</v>
      </c>
      <c r="D2575" s="17">
        <v>22991231</v>
      </c>
      <c r="E2575" s="25">
        <v>1259.74</v>
      </c>
    </row>
    <row r="2576" spans="1:5" x14ac:dyDescent="0.3">
      <c r="A2576" s="17" t="str">
        <f>"41821"</f>
        <v>41821</v>
      </c>
      <c r="B2576" s="5" t="s">
        <v>2732</v>
      </c>
      <c r="C2576" s="17">
        <v>19900101</v>
      </c>
      <c r="D2576" s="17">
        <v>22991231</v>
      </c>
      <c r="E2576" s="25">
        <v>636.91999999999996</v>
      </c>
    </row>
    <row r="2577" spans="1:5" x14ac:dyDescent="0.3">
      <c r="A2577" s="17" t="str">
        <f>"41822"</f>
        <v>41822</v>
      </c>
      <c r="B2577" s="5" t="s">
        <v>2733</v>
      </c>
      <c r="C2577" s="17">
        <v>19900101</v>
      </c>
      <c r="D2577" s="17">
        <v>22991231</v>
      </c>
      <c r="E2577" s="25">
        <v>244.89</v>
      </c>
    </row>
    <row r="2578" spans="1:5" x14ac:dyDescent="0.3">
      <c r="A2578" s="17" t="str">
        <f>"41823"</f>
        <v>41823</v>
      </c>
      <c r="B2578" s="5" t="s">
        <v>2734</v>
      </c>
      <c r="C2578" s="17">
        <v>19900101</v>
      </c>
      <c r="D2578" s="17">
        <v>22991231</v>
      </c>
      <c r="E2578" s="25">
        <v>359.67</v>
      </c>
    </row>
    <row r="2579" spans="1:5" x14ac:dyDescent="0.3">
      <c r="A2579" s="17" t="str">
        <f>"41825"</f>
        <v>41825</v>
      </c>
      <c r="B2579" s="5" t="s">
        <v>2735</v>
      </c>
      <c r="C2579" s="17">
        <v>19900101</v>
      </c>
      <c r="D2579" s="17">
        <v>22991231</v>
      </c>
      <c r="E2579" s="25">
        <v>158.56</v>
      </c>
    </row>
    <row r="2580" spans="1:5" ht="26" x14ac:dyDescent="0.3">
      <c r="A2580" s="17" t="str">
        <f>"41826"</f>
        <v>41826</v>
      </c>
      <c r="B2580" s="5" t="s">
        <v>2736</v>
      </c>
      <c r="C2580" s="17">
        <v>19900101</v>
      </c>
      <c r="D2580" s="17">
        <v>22991231</v>
      </c>
      <c r="E2580" s="25">
        <v>197.35</v>
      </c>
    </row>
    <row r="2581" spans="1:5" ht="26" x14ac:dyDescent="0.3">
      <c r="A2581" s="17" t="str">
        <f>"41827"</f>
        <v>41827</v>
      </c>
      <c r="B2581" s="5" t="s">
        <v>2737</v>
      </c>
      <c r="C2581" s="17">
        <v>19900101</v>
      </c>
      <c r="D2581" s="17">
        <v>22991231</v>
      </c>
      <c r="E2581" s="25">
        <v>2637</v>
      </c>
    </row>
    <row r="2582" spans="1:5" ht="26" x14ac:dyDescent="0.3">
      <c r="A2582" s="17" t="str">
        <f>"41828"</f>
        <v>41828</v>
      </c>
      <c r="B2582" s="5" t="s">
        <v>2738</v>
      </c>
      <c r="C2582" s="17">
        <v>19900101</v>
      </c>
      <c r="D2582" s="17">
        <v>22991231</v>
      </c>
      <c r="E2582" s="25">
        <v>216.11</v>
      </c>
    </row>
    <row r="2583" spans="1:5" ht="26" x14ac:dyDescent="0.3">
      <c r="A2583" s="17" t="str">
        <f>"41830"</f>
        <v>41830</v>
      </c>
      <c r="B2583" s="5" t="s">
        <v>2739</v>
      </c>
      <c r="C2583" s="17">
        <v>19900101</v>
      </c>
      <c r="D2583" s="17">
        <v>22991231</v>
      </c>
      <c r="E2583" s="25">
        <v>313.69</v>
      </c>
    </row>
    <row r="2584" spans="1:5" ht="26" x14ac:dyDescent="0.3">
      <c r="A2584" s="17" t="str">
        <f>"41850"</f>
        <v>41850</v>
      </c>
      <c r="B2584" s="5" t="s">
        <v>2740</v>
      </c>
      <c r="C2584" s="17">
        <v>19900101</v>
      </c>
      <c r="D2584" s="17">
        <v>22991231</v>
      </c>
      <c r="E2584" s="25">
        <v>636.91999999999996</v>
      </c>
    </row>
    <row r="2585" spans="1:5" x14ac:dyDescent="0.3">
      <c r="A2585" s="17" t="str">
        <f>"41870"</f>
        <v>41870</v>
      </c>
      <c r="B2585" s="5" t="s">
        <v>2741</v>
      </c>
      <c r="C2585" s="17">
        <v>19900101</v>
      </c>
      <c r="D2585" s="17">
        <v>22991231</v>
      </c>
      <c r="E2585" s="25">
        <v>636.91999999999996</v>
      </c>
    </row>
    <row r="2586" spans="1:5" x14ac:dyDescent="0.3">
      <c r="A2586" s="17" t="str">
        <f>"41872"</f>
        <v>41872</v>
      </c>
      <c r="B2586" s="5" t="s">
        <v>2742</v>
      </c>
      <c r="C2586" s="17">
        <v>19900101</v>
      </c>
      <c r="D2586" s="17">
        <v>22991231</v>
      </c>
      <c r="E2586" s="25">
        <v>333.09</v>
      </c>
    </row>
    <row r="2587" spans="1:5" x14ac:dyDescent="0.3">
      <c r="A2587" s="17" t="str">
        <f>"41874"</f>
        <v>41874</v>
      </c>
      <c r="B2587" s="5" t="s">
        <v>2743</v>
      </c>
      <c r="C2587" s="17">
        <v>19900101</v>
      </c>
      <c r="D2587" s="17">
        <v>22991231</v>
      </c>
      <c r="E2587" s="25">
        <v>249.9</v>
      </c>
    </row>
    <row r="2588" spans="1:5" x14ac:dyDescent="0.3">
      <c r="A2588" s="17" t="str">
        <f>"41899"</f>
        <v>41899</v>
      </c>
      <c r="B2588" s="5" t="s">
        <v>2744</v>
      </c>
      <c r="C2588" s="17">
        <v>20170701</v>
      </c>
      <c r="D2588" s="17">
        <v>22991231</v>
      </c>
      <c r="E2588" s="24" t="s">
        <v>7128</v>
      </c>
    </row>
    <row r="2589" spans="1:5" x14ac:dyDescent="0.3">
      <c r="A2589" s="17" t="str">
        <f>"42000"</f>
        <v>42000</v>
      </c>
      <c r="B2589" s="5" t="s">
        <v>2745</v>
      </c>
      <c r="C2589" s="17">
        <v>19900101</v>
      </c>
      <c r="D2589" s="17">
        <v>22991231</v>
      </c>
      <c r="E2589" s="25">
        <v>121.03</v>
      </c>
    </row>
    <row r="2590" spans="1:5" x14ac:dyDescent="0.3">
      <c r="A2590" s="17" t="str">
        <f>"42100"</f>
        <v>42100</v>
      </c>
      <c r="B2590" s="5" t="s">
        <v>2746</v>
      </c>
      <c r="C2590" s="17">
        <v>19900101</v>
      </c>
      <c r="D2590" s="17">
        <v>22991231</v>
      </c>
      <c r="E2590" s="25">
        <v>89.76</v>
      </c>
    </row>
    <row r="2591" spans="1:5" x14ac:dyDescent="0.3">
      <c r="A2591" s="17" t="str">
        <f>"42104"</f>
        <v>42104</v>
      </c>
      <c r="B2591" s="5" t="s">
        <v>2747</v>
      </c>
      <c r="C2591" s="17">
        <v>19900101</v>
      </c>
      <c r="D2591" s="17">
        <v>22991231</v>
      </c>
      <c r="E2591" s="25">
        <v>145.12</v>
      </c>
    </row>
    <row r="2592" spans="1:5" ht="26" x14ac:dyDescent="0.3">
      <c r="A2592" s="17" t="str">
        <f>"42106"</f>
        <v>42106</v>
      </c>
      <c r="B2592" s="5" t="s">
        <v>2748</v>
      </c>
      <c r="C2592" s="17">
        <v>19900101</v>
      </c>
      <c r="D2592" s="17">
        <v>22991231</v>
      </c>
      <c r="E2592" s="25">
        <v>161.07</v>
      </c>
    </row>
    <row r="2593" spans="1:5" ht="26" x14ac:dyDescent="0.3">
      <c r="A2593" s="17" t="str">
        <f>"42107"</f>
        <v>42107</v>
      </c>
      <c r="B2593" s="5" t="s">
        <v>2749</v>
      </c>
      <c r="C2593" s="17">
        <v>19900101</v>
      </c>
      <c r="D2593" s="17">
        <v>22991231</v>
      </c>
      <c r="E2593" s="25">
        <v>2637</v>
      </c>
    </row>
    <row r="2594" spans="1:5" x14ac:dyDescent="0.3">
      <c r="A2594" s="17" t="str">
        <f>"42120"</f>
        <v>42120</v>
      </c>
      <c r="B2594" s="5" t="s">
        <v>2750</v>
      </c>
      <c r="C2594" s="17">
        <v>19900101</v>
      </c>
      <c r="D2594" s="17">
        <v>22991231</v>
      </c>
      <c r="E2594" s="25">
        <v>2637</v>
      </c>
    </row>
    <row r="2595" spans="1:5" x14ac:dyDescent="0.3">
      <c r="A2595" s="17" t="str">
        <f>"42140"</f>
        <v>42140</v>
      </c>
      <c r="B2595" s="5" t="s">
        <v>2751</v>
      </c>
      <c r="C2595" s="17">
        <v>19900101</v>
      </c>
      <c r="D2595" s="17">
        <v>22991231</v>
      </c>
      <c r="E2595" s="25">
        <v>1259.74</v>
      </c>
    </row>
    <row r="2596" spans="1:5" x14ac:dyDescent="0.3">
      <c r="A2596" s="17" t="str">
        <f>"42145"</f>
        <v>42145</v>
      </c>
      <c r="B2596" s="5" t="s">
        <v>2752</v>
      </c>
      <c r="C2596" s="17">
        <v>19900101</v>
      </c>
      <c r="D2596" s="17">
        <v>22991231</v>
      </c>
      <c r="E2596" s="25">
        <v>2637</v>
      </c>
    </row>
    <row r="2597" spans="1:5" ht="26" x14ac:dyDescent="0.3">
      <c r="A2597" s="17" t="str">
        <f>"42160"</f>
        <v>42160</v>
      </c>
      <c r="B2597" s="5" t="s">
        <v>2753</v>
      </c>
      <c r="C2597" s="17">
        <v>19900101</v>
      </c>
      <c r="D2597" s="17">
        <v>22991231</v>
      </c>
      <c r="E2597" s="25">
        <v>147.93</v>
      </c>
    </row>
    <row r="2598" spans="1:5" x14ac:dyDescent="0.3">
      <c r="A2598" s="17" t="str">
        <f>"42180"</f>
        <v>42180</v>
      </c>
      <c r="B2598" s="5" t="s">
        <v>2754</v>
      </c>
      <c r="C2598" s="17">
        <v>19900101</v>
      </c>
      <c r="D2598" s="17">
        <v>22991231</v>
      </c>
      <c r="E2598" s="25">
        <v>272.61</v>
      </c>
    </row>
    <row r="2599" spans="1:5" ht="26" x14ac:dyDescent="0.3">
      <c r="A2599" s="17" t="str">
        <f>"42182"</f>
        <v>42182</v>
      </c>
      <c r="B2599" s="5" t="s">
        <v>2755</v>
      </c>
      <c r="C2599" s="17">
        <v>19900101</v>
      </c>
      <c r="D2599" s="17">
        <v>22991231</v>
      </c>
      <c r="E2599" s="25">
        <v>2637</v>
      </c>
    </row>
    <row r="2600" spans="1:5" ht="26" x14ac:dyDescent="0.3">
      <c r="A2600" s="17" t="str">
        <f>"42200"</f>
        <v>42200</v>
      </c>
      <c r="B2600" s="5" t="s">
        <v>2756</v>
      </c>
      <c r="C2600" s="17">
        <v>19900101</v>
      </c>
      <c r="D2600" s="17">
        <v>22991231</v>
      </c>
      <c r="E2600" s="25">
        <v>2637</v>
      </c>
    </row>
    <row r="2601" spans="1:5" ht="26" x14ac:dyDescent="0.3">
      <c r="A2601" s="17" t="str">
        <f>"42205"</f>
        <v>42205</v>
      </c>
      <c r="B2601" s="5" t="s">
        <v>2757</v>
      </c>
      <c r="C2601" s="17">
        <v>19900101</v>
      </c>
      <c r="D2601" s="17">
        <v>22991231</v>
      </c>
      <c r="E2601" s="25">
        <v>1259.74</v>
      </c>
    </row>
    <row r="2602" spans="1:5" x14ac:dyDescent="0.3">
      <c r="A2602" s="17" t="str">
        <f>"42210"</f>
        <v>42210</v>
      </c>
      <c r="B2602" s="5" t="s">
        <v>2758</v>
      </c>
      <c r="C2602" s="17">
        <v>19900101</v>
      </c>
      <c r="D2602" s="17">
        <v>22991231</v>
      </c>
      <c r="E2602" s="25">
        <v>2637</v>
      </c>
    </row>
    <row r="2603" spans="1:5" x14ac:dyDescent="0.3">
      <c r="A2603" s="17" t="str">
        <f>"42215"</f>
        <v>42215</v>
      </c>
      <c r="B2603" s="5" t="s">
        <v>2759</v>
      </c>
      <c r="C2603" s="17">
        <v>19900101</v>
      </c>
      <c r="D2603" s="17">
        <v>22991231</v>
      </c>
      <c r="E2603" s="25">
        <v>3578.31</v>
      </c>
    </row>
    <row r="2604" spans="1:5" x14ac:dyDescent="0.3">
      <c r="A2604" s="17" t="str">
        <f>"42220"</f>
        <v>42220</v>
      </c>
      <c r="B2604" s="5" t="s">
        <v>2760</v>
      </c>
      <c r="C2604" s="17">
        <v>19900101</v>
      </c>
      <c r="D2604" s="17">
        <v>22991231</v>
      </c>
      <c r="E2604" s="25">
        <v>2637</v>
      </c>
    </row>
    <row r="2605" spans="1:5" ht="26" x14ac:dyDescent="0.3">
      <c r="A2605" s="17" t="str">
        <f>"42225"</f>
        <v>42225</v>
      </c>
      <c r="B2605" s="5" t="s">
        <v>2761</v>
      </c>
      <c r="C2605" s="17">
        <v>19900101</v>
      </c>
      <c r="D2605" s="17">
        <v>22991231</v>
      </c>
      <c r="E2605" s="25">
        <v>2637</v>
      </c>
    </row>
    <row r="2606" spans="1:5" ht="26" x14ac:dyDescent="0.3">
      <c r="A2606" s="17" t="str">
        <f>"42226"</f>
        <v>42226</v>
      </c>
      <c r="B2606" s="5" t="s">
        <v>2762</v>
      </c>
      <c r="C2606" s="17">
        <v>19900101</v>
      </c>
      <c r="D2606" s="17">
        <v>22991231</v>
      </c>
      <c r="E2606" s="25">
        <v>2637</v>
      </c>
    </row>
    <row r="2607" spans="1:5" ht="26" x14ac:dyDescent="0.3">
      <c r="A2607" s="17" t="str">
        <f>"42227"</f>
        <v>42227</v>
      </c>
      <c r="B2607" s="5" t="s">
        <v>2763</v>
      </c>
      <c r="C2607" s="17">
        <v>19900101</v>
      </c>
      <c r="D2607" s="17">
        <v>22991231</v>
      </c>
      <c r="E2607" s="25">
        <v>2637</v>
      </c>
    </row>
    <row r="2608" spans="1:5" ht="26" x14ac:dyDescent="0.3">
      <c r="A2608" s="17" t="str">
        <f>"42235"</f>
        <v>42235</v>
      </c>
      <c r="B2608" s="5" t="s">
        <v>2764</v>
      </c>
      <c r="C2608" s="17">
        <v>19900101</v>
      </c>
      <c r="D2608" s="17">
        <v>22991231</v>
      </c>
      <c r="E2608" s="25">
        <v>2637</v>
      </c>
    </row>
    <row r="2609" spans="1:5" ht="26" x14ac:dyDescent="0.3">
      <c r="A2609" s="17" t="str">
        <f>"42260"</f>
        <v>42260</v>
      </c>
      <c r="B2609" s="5" t="s">
        <v>2765</v>
      </c>
      <c r="C2609" s="17">
        <v>19900101</v>
      </c>
      <c r="D2609" s="17">
        <v>22991231</v>
      </c>
      <c r="E2609" s="25">
        <v>2637</v>
      </c>
    </row>
    <row r="2610" spans="1:5" ht="26" x14ac:dyDescent="0.3">
      <c r="A2610" s="17" t="str">
        <f>"42280"</f>
        <v>42280</v>
      </c>
      <c r="B2610" s="5" t="s">
        <v>2766</v>
      </c>
      <c r="C2610" s="17">
        <v>19900101</v>
      </c>
      <c r="D2610" s="17">
        <v>22991231</v>
      </c>
      <c r="E2610" s="25">
        <v>111.03</v>
      </c>
    </row>
    <row r="2611" spans="1:5" x14ac:dyDescent="0.3">
      <c r="A2611" s="17" t="str">
        <f>"42281"</f>
        <v>42281</v>
      </c>
      <c r="B2611" s="5" t="s">
        <v>2767</v>
      </c>
      <c r="C2611" s="17">
        <v>19900101</v>
      </c>
      <c r="D2611" s="17">
        <v>22991231</v>
      </c>
      <c r="E2611" s="25">
        <v>2637</v>
      </c>
    </row>
    <row r="2612" spans="1:5" x14ac:dyDescent="0.3">
      <c r="A2612" s="17" t="str">
        <f>"42300"</f>
        <v>42300</v>
      </c>
      <c r="B2612" s="5" t="s">
        <v>2768</v>
      </c>
      <c r="C2612" s="17">
        <v>19900101</v>
      </c>
      <c r="D2612" s="17">
        <v>22991231</v>
      </c>
      <c r="E2612" s="25">
        <v>636.91999999999996</v>
      </c>
    </row>
    <row r="2613" spans="1:5" x14ac:dyDescent="0.3">
      <c r="A2613" s="17" t="str">
        <f>"42305"</f>
        <v>42305</v>
      </c>
      <c r="B2613" s="5" t="s">
        <v>2769</v>
      </c>
      <c r="C2613" s="17">
        <v>19900101</v>
      </c>
      <c r="D2613" s="17">
        <v>22991231</v>
      </c>
      <c r="E2613" s="25">
        <v>1259.74</v>
      </c>
    </row>
    <row r="2614" spans="1:5" ht="26" x14ac:dyDescent="0.3">
      <c r="A2614" s="17" t="str">
        <f>"42310"</f>
        <v>42310</v>
      </c>
      <c r="B2614" s="5" t="s">
        <v>2770</v>
      </c>
      <c r="C2614" s="17">
        <v>19900101</v>
      </c>
      <c r="D2614" s="17">
        <v>22991231</v>
      </c>
      <c r="E2614" s="25">
        <v>272.61</v>
      </c>
    </row>
    <row r="2615" spans="1:5" ht="26" x14ac:dyDescent="0.3">
      <c r="A2615" s="17" t="str">
        <f>"42320"</f>
        <v>42320</v>
      </c>
      <c r="B2615" s="5" t="s">
        <v>2771</v>
      </c>
      <c r="C2615" s="17">
        <v>19900101</v>
      </c>
      <c r="D2615" s="17">
        <v>22991231</v>
      </c>
      <c r="E2615" s="25">
        <v>272.61</v>
      </c>
    </row>
    <row r="2616" spans="1:5" ht="26" x14ac:dyDescent="0.3">
      <c r="A2616" s="17" t="str">
        <f>"42330"</f>
        <v>42330</v>
      </c>
      <c r="B2616" s="5" t="s">
        <v>2772</v>
      </c>
      <c r="C2616" s="17">
        <v>19900101</v>
      </c>
      <c r="D2616" s="17">
        <v>22991231</v>
      </c>
      <c r="E2616" s="25">
        <v>140.74</v>
      </c>
    </row>
    <row r="2617" spans="1:5" ht="26" x14ac:dyDescent="0.3">
      <c r="A2617" s="17" t="str">
        <f>"42335"</f>
        <v>42335</v>
      </c>
      <c r="B2617" s="5" t="s">
        <v>2773</v>
      </c>
      <c r="C2617" s="17">
        <v>19900101</v>
      </c>
      <c r="D2617" s="17">
        <v>22991231</v>
      </c>
      <c r="E2617" s="25">
        <v>287.74</v>
      </c>
    </row>
    <row r="2618" spans="1:5" x14ac:dyDescent="0.3">
      <c r="A2618" s="17" t="str">
        <f>"42340"</f>
        <v>42340</v>
      </c>
      <c r="B2618" s="5" t="s">
        <v>2774</v>
      </c>
      <c r="C2618" s="17">
        <v>19900101</v>
      </c>
      <c r="D2618" s="17">
        <v>22991231</v>
      </c>
      <c r="E2618" s="25">
        <v>1259.74</v>
      </c>
    </row>
    <row r="2619" spans="1:5" x14ac:dyDescent="0.3">
      <c r="A2619" s="17" t="str">
        <f>"42400"</f>
        <v>42400</v>
      </c>
      <c r="B2619" s="5" t="s">
        <v>2775</v>
      </c>
      <c r="C2619" s="17">
        <v>19900101</v>
      </c>
      <c r="D2619" s="17">
        <v>22991231</v>
      </c>
      <c r="E2619" s="25">
        <v>62.87</v>
      </c>
    </row>
    <row r="2620" spans="1:5" x14ac:dyDescent="0.3">
      <c r="A2620" s="17" t="str">
        <f>"42405"</f>
        <v>42405</v>
      </c>
      <c r="B2620" s="5" t="s">
        <v>2776</v>
      </c>
      <c r="C2620" s="17">
        <v>19900101</v>
      </c>
      <c r="D2620" s="17">
        <v>22991231</v>
      </c>
      <c r="E2620" s="25">
        <v>636.91999999999996</v>
      </c>
    </row>
    <row r="2621" spans="1:5" x14ac:dyDescent="0.3">
      <c r="A2621" s="17" t="str">
        <f>"42408"</f>
        <v>42408</v>
      </c>
      <c r="B2621" s="5" t="s">
        <v>2777</v>
      </c>
      <c r="C2621" s="17">
        <v>19900101</v>
      </c>
      <c r="D2621" s="17">
        <v>22991231</v>
      </c>
      <c r="E2621" s="25">
        <v>1259.74</v>
      </c>
    </row>
    <row r="2622" spans="1:5" x14ac:dyDescent="0.3">
      <c r="A2622" s="17" t="str">
        <f>"42409"</f>
        <v>42409</v>
      </c>
      <c r="B2622" s="5" t="s">
        <v>2778</v>
      </c>
      <c r="C2622" s="17">
        <v>19900101</v>
      </c>
      <c r="D2622" s="17">
        <v>22991231</v>
      </c>
      <c r="E2622" s="25">
        <v>1259.74</v>
      </c>
    </row>
    <row r="2623" spans="1:5" ht="26" x14ac:dyDescent="0.3">
      <c r="A2623" s="17" t="str">
        <f>"42410"</f>
        <v>42410</v>
      </c>
      <c r="B2623" s="5" t="s">
        <v>2779</v>
      </c>
      <c r="C2623" s="17">
        <v>19900101</v>
      </c>
      <c r="D2623" s="17">
        <v>22991231</v>
      </c>
      <c r="E2623" s="25">
        <v>2637</v>
      </c>
    </row>
    <row r="2624" spans="1:5" ht="26" x14ac:dyDescent="0.3">
      <c r="A2624" s="17" t="str">
        <f>"42415"</f>
        <v>42415</v>
      </c>
      <c r="B2624" s="5" t="s">
        <v>2780</v>
      </c>
      <c r="C2624" s="17">
        <v>19900101</v>
      </c>
      <c r="D2624" s="17">
        <v>22991231</v>
      </c>
      <c r="E2624" s="25">
        <v>2637</v>
      </c>
    </row>
    <row r="2625" spans="1:5" ht="26" x14ac:dyDescent="0.3">
      <c r="A2625" s="17" t="str">
        <f>"42420"</f>
        <v>42420</v>
      </c>
      <c r="B2625" s="5" t="s">
        <v>2781</v>
      </c>
      <c r="C2625" s="17">
        <v>19900101</v>
      </c>
      <c r="D2625" s="17">
        <v>22991231</v>
      </c>
      <c r="E2625" s="25">
        <v>2637</v>
      </c>
    </row>
    <row r="2626" spans="1:5" ht="26" x14ac:dyDescent="0.3">
      <c r="A2626" s="17" t="str">
        <f>"42425"</f>
        <v>42425</v>
      </c>
      <c r="B2626" s="5" t="s">
        <v>2782</v>
      </c>
      <c r="C2626" s="17">
        <v>19900101</v>
      </c>
      <c r="D2626" s="17">
        <v>22991231</v>
      </c>
      <c r="E2626" s="25">
        <v>2637</v>
      </c>
    </row>
    <row r="2627" spans="1:5" x14ac:dyDescent="0.3">
      <c r="A2627" s="17" t="str">
        <f>"42440"</f>
        <v>42440</v>
      </c>
      <c r="B2627" s="5" t="s">
        <v>2783</v>
      </c>
      <c r="C2627" s="17">
        <v>19900101</v>
      </c>
      <c r="D2627" s="17">
        <v>22991231</v>
      </c>
      <c r="E2627" s="25">
        <v>2637</v>
      </c>
    </row>
    <row r="2628" spans="1:5" x14ac:dyDescent="0.3">
      <c r="A2628" s="17" t="str">
        <f>"42450"</f>
        <v>42450</v>
      </c>
      <c r="B2628" s="5" t="s">
        <v>2784</v>
      </c>
      <c r="C2628" s="17">
        <v>19900101</v>
      </c>
      <c r="D2628" s="17">
        <v>22991231</v>
      </c>
      <c r="E2628" s="25">
        <v>2637</v>
      </c>
    </row>
    <row r="2629" spans="1:5" x14ac:dyDescent="0.3">
      <c r="A2629" s="17" t="str">
        <f>"42500"</f>
        <v>42500</v>
      </c>
      <c r="B2629" s="5" t="s">
        <v>2785</v>
      </c>
      <c r="C2629" s="17">
        <v>19900101</v>
      </c>
      <c r="D2629" s="17">
        <v>22991231</v>
      </c>
      <c r="E2629" s="25">
        <v>2637</v>
      </c>
    </row>
    <row r="2630" spans="1:5" x14ac:dyDescent="0.3">
      <c r="A2630" s="17" t="str">
        <f>"42505"</f>
        <v>42505</v>
      </c>
      <c r="B2630" s="5" t="s">
        <v>2786</v>
      </c>
      <c r="C2630" s="17">
        <v>19900101</v>
      </c>
      <c r="D2630" s="17">
        <v>22991231</v>
      </c>
      <c r="E2630" s="25">
        <v>2637</v>
      </c>
    </row>
    <row r="2631" spans="1:5" ht="26" x14ac:dyDescent="0.3">
      <c r="A2631" s="17" t="str">
        <f>"42507"</f>
        <v>42507</v>
      </c>
      <c r="B2631" s="5" t="s">
        <v>2787</v>
      </c>
      <c r="C2631" s="17">
        <v>19900101</v>
      </c>
      <c r="D2631" s="17">
        <v>22991231</v>
      </c>
      <c r="E2631" s="25">
        <v>2637</v>
      </c>
    </row>
    <row r="2632" spans="1:5" ht="39" x14ac:dyDescent="0.3">
      <c r="A2632" s="17" t="str">
        <f>"42509"</f>
        <v>42509</v>
      </c>
      <c r="B2632" s="5" t="s">
        <v>2788</v>
      </c>
      <c r="C2632" s="17">
        <v>19900101</v>
      </c>
      <c r="D2632" s="17">
        <v>22991231</v>
      </c>
      <c r="E2632" s="25">
        <v>2637</v>
      </c>
    </row>
    <row r="2633" spans="1:5" ht="39" x14ac:dyDescent="0.3">
      <c r="A2633" s="17" t="str">
        <f>"42510"</f>
        <v>42510</v>
      </c>
      <c r="B2633" s="5" t="s">
        <v>2789</v>
      </c>
      <c r="C2633" s="17">
        <v>19900101</v>
      </c>
      <c r="D2633" s="17">
        <v>22991231</v>
      </c>
      <c r="E2633" s="25">
        <v>1259.74</v>
      </c>
    </row>
    <row r="2634" spans="1:5" x14ac:dyDescent="0.3">
      <c r="A2634" s="17" t="str">
        <f>"42550"</f>
        <v>42550</v>
      </c>
      <c r="B2634" s="5" t="s">
        <v>2790</v>
      </c>
      <c r="C2634" s="17">
        <v>19900101</v>
      </c>
      <c r="D2634" s="17">
        <v>22991231</v>
      </c>
      <c r="E2634" s="25">
        <v>0</v>
      </c>
    </row>
    <row r="2635" spans="1:5" ht="26" x14ac:dyDescent="0.3">
      <c r="A2635" s="17" t="str">
        <f>"42600"</f>
        <v>42600</v>
      </c>
      <c r="B2635" s="5" t="s">
        <v>2791</v>
      </c>
      <c r="C2635" s="17">
        <v>19900101</v>
      </c>
      <c r="D2635" s="17">
        <v>22991231</v>
      </c>
      <c r="E2635" s="25">
        <v>1259.74</v>
      </c>
    </row>
    <row r="2636" spans="1:5" x14ac:dyDescent="0.3">
      <c r="A2636" s="17" t="str">
        <f>"42650"</f>
        <v>42650</v>
      </c>
      <c r="B2636" s="5" t="s">
        <v>2792</v>
      </c>
      <c r="C2636" s="17">
        <v>19900101</v>
      </c>
      <c r="D2636" s="17">
        <v>22991231</v>
      </c>
      <c r="E2636" s="25">
        <v>42.85</v>
      </c>
    </row>
    <row r="2637" spans="1:5" ht="26" x14ac:dyDescent="0.3">
      <c r="A2637" s="17" t="str">
        <f>"42660"</f>
        <v>42660</v>
      </c>
      <c r="B2637" s="5" t="s">
        <v>2793</v>
      </c>
      <c r="C2637" s="17">
        <v>19900101</v>
      </c>
      <c r="D2637" s="17">
        <v>22991231</v>
      </c>
      <c r="E2637" s="25">
        <v>61.62</v>
      </c>
    </row>
    <row r="2638" spans="1:5" x14ac:dyDescent="0.3">
      <c r="A2638" s="17" t="str">
        <f>"42665"</f>
        <v>42665</v>
      </c>
      <c r="B2638" s="5" t="s">
        <v>2794</v>
      </c>
      <c r="C2638" s="17">
        <v>19900101</v>
      </c>
      <c r="D2638" s="17">
        <v>22991231</v>
      </c>
      <c r="E2638" s="25">
        <v>1259.74</v>
      </c>
    </row>
    <row r="2639" spans="1:5" x14ac:dyDescent="0.3">
      <c r="A2639" s="17" t="str">
        <f>"42699"</f>
        <v>42699</v>
      </c>
      <c r="B2639" s="5" t="s">
        <v>2795</v>
      </c>
      <c r="C2639" s="17">
        <v>19900101</v>
      </c>
      <c r="D2639" s="17">
        <v>22991231</v>
      </c>
      <c r="E2639" s="24" t="s">
        <v>7128</v>
      </c>
    </row>
    <row r="2640" spans="1:5" x14ac:dyDescent="0.3">
      <c r="A2640" s="17" t="str">
        <f>"42700"</f>
        <v>42700</v>
      </c>
      <c r="B2640" s="5" t="s">
        <v>2796</v>
      </c>
      <c r="C2640" s="17">
        <v>19900101</v>
      </c>
      <c r="D2640" s="17">
        <v>22991231</v>
      </c>
      <c r="E2640" s="25">
        <v>121.03</v>
      </c>
    </row>
    <row r="2641" spans="1:5" x14ac:dyDescent="0.3">
      <c r="A2641" s="17" t="str">
        <f>"42720"</f>
        <v>42720</v>
      </c>
      <c r="B2641" s="5" t="s">
        <v>2797</v>
      </c>
      <c r="C2641" s="17">
        <v>19900101</v>
      </c>
      <c r="D2641" s="17">
        <v>22991231</v>
      </c>
      <c r="E2641" s="25">
        <v>1259.74</v>
      </c>
    </row>
    <row r="2642" spans="1:5" x14ac:dyDescent="0.3">
      <c r="A2642" s="17" t="str">
        <f>"42725"</f>
        <v>42725</v>
      </c>
      <c r="B2642" s="5" t="s">
        <v>2798</v>
      </c>
      <c r="C2642" s="17">
        <v>19900101</v>
      </c>
      <c r="D2642" s="17">
        <v>22991231</v>
      </c>
      <c r="E2642" s="25">
        <v>2637</v>
      </c>
    </row>
    <row r="2643" spans="1:5" x14ac:dyDescent="0.3">
      <c r="A2643" s="17" t="str">
        <f>"42800"</f>
        <v>42800</v>
      </c>
      <c r="B2643" s="5" t="s">
        <v>2799</v>
      </c>
      <c r="C2643" s="17">
        <v>19900101</v>
      </c>
      <c r="D2643" s="17">
        <v>22991231</v>
      </c>
      <c r="E2643" s="25">
        <v>98.51</v>
      </c>
    </row>
    <row r="2644" spans="1:5" x14ac:dyDescent="0.3">
      <c r="A2644" s="17" t="str">
        <f>"42804"</f>
        <v>42804</v>
      </c>
      <c r="B2644" s="5" t="s">
        <v>2800</v>
      </c>
      <c r="C2644" s="17">
        <v>19900101</v>
      </c>
      <c r="D2644" s="17">
        <v>22991231</v>
      </c>
      <c r="E2644" s="25">
        <v>1259.74</v>
      </c>
    </row>
    <row r="2645" spans="1:5" x14ac:dyDescent="0.3">
      <c r="A2645" s="17" t="str">
        <f>"42806"</f>
        <v>42806</v>
      </c>
      <c r="B2645" s="5" t="s">
        <v>2801</v>
      </c>
      <c r="C2645" s="17">
        <v>19900101</v>
      </c>
      <c r="D2645" s="17">
        <v>22991231</v>
      </c>
      <c r="E2645" s="25">
        <v>1259.74</v>
      </c>
    </row>
    <row r="2646" spans="1:5" x14ac:dyDescent="0.3">
      <c r="A2646" s="17" t="str">
        <f>"42808"</f>
        <v>42808</v>
      </c>
      <c r="B2646" s="5" t="s">
        <v>2802</v>
      </c>
      <c r="C2646" s="17">
        <v>19900101</v>
      </c>
      <c r="D2646" s="17">
        <v>22991231</v>
      </c>
      <c r="E2646" s="25">
        <v>1259.74</v>
      </c>
    </row>
    <row r="2647" spans="1:5" x14ac:dyDescent="0.3">
      <c r="A2647" s="17" t="str">
        <f>"42809"</f>
        <v>42809</v>
      </c>
      <c r="B2647" s="5" t="s">
        <v>2803</v>
      </c>
      <c r="C2647" s="17">
        <v>19900101</v>
      </c>
      <c r="D2647" s="17">
        <v>22991231</v>
      </c>
      <c r="E2647" s="25">
        <v>0</v>
      </c>
    </row>
    <row r="2648" spans="1:5" ht="26" x14ac:dyDescent="0.3">
      <c r="A2648" s="17" t="str">
        <f>"42810"</f>
        <v>42810</v>
      </c>
      <c r="B2648" s="5" t="s">
        <v>2804</v>
      </c>
      <c r="C2648" s="17">
        <v>19900101</v>
      </c>
      <c r="D2648" s="17">
        <v>22991231</v>
      </c>
      <c r="E2648" s="25">
        <v>1259.74</v>
      </c>
    </row>
    <row r="2649" spans="1:5" ht="26" x14ac:dyDescent="0.3">
      <c r="A2649" s="17" t="str">
        <f>"42815"</f>
        <v>42815</v>
      </c>
      <c r="B2649" s="5" t="s">
        <v>2805</v>
      </c>
      <c r="C2649" s="17">
        <v>19900101</v>
      </c>
      <c r="D2649" s="17">
        <v>22991231</v>
      </c>
      <c r="E2649" s="25">
        <v>2637</v>
      </c>
    </row>
    <row r="2650" spans="1:5" ht="26" x14ac:dyDescent="0.3">
      <c r="A2650" s="17" t="str">
        <f>"42820"</f>
        <v>42820</v>
      </c>
      <c r="B2650" s="5" t="s">
        <v>2806</v>
      </c>
      <c r="C2650" s="17">
        <v>19900101</v>
      </c>
      <c r="D2650" s="17">
        <v>22991231</v>
      </c>
      <c r="E2650" s="25">
        <v>2637</v>
      </c>
    </row>
    <row r="2651" spans="1:5" ht="26" x14ac:dyDescent="0.3">
      <c r="A2651" s="17" t="str">
        <f>"42821"</f>
        <v>42821</v>
      </c>
      <c r="B2651" s="5" t="s">
        <v>2807</v>
      </c>
      <c r="C2651" s="17">
        <v>19900101</v>
      </c>
      <c r="D2651" s="17">
        <v>22991231</v>
      </c>
      <c r="E2651" s="25">
        <v>1259.74</v>
      </c>
    </row>
    <row r="2652" spans="1:5" x14ac:dyDescent="0.3">
      <c r="A2652" s="17" t="str">
        <f>"42825"</f>
        <v>42825</v>
      </c>
      <c r="B2652" s="5" t="s">
        <v>2808</v>
      </c>
      <c r="C2652" s="17">
        <v>19900101</v>
      </c>
      <c r="D2652" s="17">
        <v>22991231</v>
      </c>
      <c r="E2652" s="25">
        <v>2637</v>
      </c>
    </row>
    <row r="2653" spans="1:5" x14ac:dyDescent="0.3">
      <c r="A2653" s="17" t="str">
        <f>"42826"</f>
        <v>42826</v>
      </c>
      <c r="B2653" s="5" t="s">
        <v>2809</v>
      </c>
      <c r="C2653" s="17">
        <v>19900101</v>
      </c>
      <c r="D2653" s="17">
        <v>22991231</v>
      </c>
      <c r="E2653" s="25">
        <v>1259.74</v>
      </c>
    </row>
    <row r="2654" spans="1:5" ht="26" x14ac:dyDescent="0.3">
      <c r="A2654" s="17" t="str">
        <f>"42830"</f>
        <v>42830</v>
      </c>
      <c r="B2654" s="5" t="s">
        <v>2810</v>
      </c>
      <c r="C2654" s="17">
        <v>19900101</v>
      </c>
      <c r="D2654" s="17">
        <v>22991231</v>
      </c>
      <c r="E2654" s="25">
        <v>1259.74</v>
      </c>
    </row>
    <row r="2655" spans="1:5" x14ac:dyDescent="0.3">
      <c r="A2655" s="17" t="str">
        <f>"42831"</f>
        <v>42831</v>
      </c>
      <c r="B2655" s="5" t="s">
        <v>2811</v>
      </c>
      <c r="C2655" s="17">
        <v>19900101</v>
      </c>
      <c r="D2655" s="17">
        <v>22991231</v>
      </c>
      <c r="E2655" s="25">
        <v>1259.74</v>
      </c>
    </row>
    <row r="2656" spans="1:5" ht="26" x14ac:dyDescent="0.3">
      <c r="A2656" s="17" t="str">
        <f>"42835"</f>
        <v>42835</v>
      </c>
      <c r="B2656" s="5" t="s">
        <v>2812</v>
      </c>
      <c r="C2656" s="17">
        <v>19900101</v>
      </c>
      <c r="D2656" s="17">
        <v>22991231</v>
      </c>
      <c r="E2656" s="25">
        <v>1259.74</v>
      </c>
    </row>
    <row r="2657" spans="1:5" ht="26" x14ac:dyDescent="0.3">
      <c r="A2657" s="17" t="str">
        <f>"42836"</f>
        <v>42836</v>
      </c>
      <c r="B2657" s="5" t="s">
        <v>2813</v>
      </c>
      <c r="C2657" s="17">
        <v>19900101</v>
      </c>
      <c r="D2657" s="17">
        <v>22991231</v>
      </c>
      <c r="E2657" s="25">
        <v>1259.74</v>
      </c>
    </row>
    <row r="2658" spans="1:5" ht="26" x14ac:dyDescent="0.3">
      <c r="A2658" s="17" t="str">
        <f>"42842"</f>
        <v>42842</v>
      </c>
      <c r="B2658" s="5" t="s">
        <v>2814</v>
      </c>
      <c r="C2658" s="17">
        <v>19900101</v>
      </c>
      <c r="D2658" s="17">
        <v>22991231</v>
      </c>
      <c r="E2658" s="24" t="s">
        <v>7128</v>
      </c>
    </row>
    <row r="2659" spans="1:5" ht="26" x14ac:dyDescent="0.3">
      <c r="A2659" s="17" t="str">
        <f>"42844"</f>
        <v>42844</v>
      </c>
      <c r="B2659" s="5" t="s">
        <v>2815</v>
      </c>
      <c r="C2659" s="17">
        <v>19900101</v>
      </c>
      <c r="D2659" s="17">
        <v>22991231</v>
      </c>
      <c r="E2659" s="24" t="s">
        <v>7128</v>
      </c>
    </row>
    <row r="2660" spans="1:5" x14ac:dyDescent="0.3">
      <c r="A2660" s="17" t="str">
        <f>"42860"</f>
        <v>42860</v>
      </c>
      <c r="B2660" s="5" t="s">
        <v>2816</v>
      </c>
      <c r="C2660" s="17">
        <v>19900101</v>
      </c>
      <c r="D2660" s="17">
        <v>22991231</v>
      </c>
      <c r="E2660" s="25">
        <v>1259.74</v>
      </c>
    </row>
    <row r="2661" spans="1:5" ht="26" x14ac:dyDescent="0.3">
      <c r="A2661" s="17" t="str">
        <f>"42870"</f>
        <v>42870</v>
      </c>
      <c r="B2661" s="5" t="s">
        <v>2817</v>
      </c>
      <c r="C2661" s="17">
        <v>19900101</v>
      </c>
      <c r="D2661" s="17">
        <v>22991231</v>
      </c>
      <c r="E2661" s="25">
        <v>2637</v>
      </c>
    </row>
    <row r="2662" spans="1:5" x14ac:dyDescent="0.3">
      <c r="A2662" s="17" t="str">
        <f>"42890"</f>
        <v>42890</v>
      </c>
      <c r="B2662" s="5" t="s">
        <v>2818</v>
      </c>
      <c r="C2662" s="17">
        <v>19900101</v>
      </c>
      <c r="D2662" s="17">
        <v>22991231</v>
      </c>
      <c r="E2662" s="25">
        <v>2637</v>
      </c>
    </row>
    <row r="2663" spans="1:5" ht="26" x14ac:dyDescent="0.3">
      <c r="A2663" s="17" t="str">
        <f>"42892"</f>
        <v>42892</v>
      </c>
      <c r="B2663" s="5" t="s">
        <v>2819</v>
      </c>
      <c r="C2663" s="17">
        <v>19900101</v>
      </c>
      <c r="D2663" s="17">
        <v>22991231</v>
      </c>
      <c r="E2663" s="25">
        <v>2637</v>
      </c>
    </row>
    <row r="2664" spans="1:5" x14ac:dyDescent="0.3">
      <c r="A2664" s="17" t="str">
        <f>"42900"</f>
        <v>42900</v>
      </c>
      <c r="B2664" s="5" t="s">
        <v>2820</v>
      </c>
      <c r="C2664" s="17">
        <v>19900101</v>
      </c>
      <c r="D2664" s="17">
        <v>22991231</v>
      </c>
      <c r="E2664" s="25">
        <v>1060.6300000000001</v>
      </c>
    </row>
    <row r="2665" spans="1:5" x14ac:dyDescent="0.3">
      <c r="A2665" s="17" t="str">
        <f>"42950"</f>
        <v>42950</v>
      </c>
      <c r="B2665" s="5" t="s">
        <v>2821</v>
      </c>
      <c r="C2665" s="17">
        <v>19900101</v>
      </c>
      <c r="D2665" s="17">
        <v>22991231</v>
      </c>
      <c r="E2665" s="25">
        <v>2637</v>
      </c>
    </row>
    <row r="2666" spans="1:5" x14ac:dyDescent="0.3">
      <c r="A2666" s="17" t="str">
        <f>"42955"</f>
        <v>42955</v>
      </c>
      <c r="B2666" s="5" t="s">
        <v>2822</v>
      </c>
      <c r="C2666" s="17">
        <v>19900101</v>
      </c>
      <c r="D2666" s="17">
        <v>22991231</v>
      </c>
      <c r="E2666" s="25">
        <v>636.91999999999996</v>
      </c>
    </row>
    <row r="2667" spans="1:5" x14ac:dyDescent="0.3">
      <c r="A2667" s="17" t="str">
        <f>"42960"</f>
        <v>42960</v>
      </c>
      <c r="B2667" s="5" t="s">
        <v>2823</v>
      </c>
      <c r="C2667" s="17">
        <v>19900101</v>
      </c>
      <c r="D2667" s="17">
        <v>22991231</v>
      </c>
      <c r="E2667" s="25">
        <v>272.61</v>
      </c>
    </row>
    <row r="2668" spans="1:5" x14ac:dyDescent="0.3">
      <c r="A2668" s="17" t="str">
        <f>"42962"</f>
        <v>42962</v>
      </c>
      <c r="B2668" s="5" t="s">
        <v>2824</v>
      </c>
      <c r="C2668" s="17">
        <v>19900101</v>
      </c>
      <c r="D2668" s="17">
        <v>22991231</v>
      </c>
      <c r="E2668" s="25">
        <v>1259.74</v>
      </c>
    </row>
    <row r="2669" spans="1:5" ht="26" x14ac:dyDescent="0.3">
      <c r="A2669" s="17" t="str">
        <f>"42970"</f>
        <v>42970</v>
      </c>
      <c r="B2669" s="5" t="s">
        <v>2825</v>
      </c>
      <c r="C2669" s="17">
        <v>19900101</v>
      </c>
      <c r="D2669" s="17">
        <v>22991231</v>
      </c>
      <c r="E2669" s="25">
        <v>121.03</v>
      </c>
    </row>
    <row r="2670" spans="1:5" ht="26" x14ac:dyDescent="0.3">
      <c r="A2670" s="17" t="str">
        <f>"42972"</f>
        <v>42972</v>
      </c>
      <c r="B2670" s="5" t="s">
        <v>2826</v>
      </c>
      <c r="C2670" s="17">
        <v>19900101</v>
      </c>
      <c r="D2670" s="17">
        <v>22991231</v>
      </c>
      <c r="E2670" s="25">
        <v>1259.74</v>
      </c>
    </row>
    <row r="2671" spans="1:5" ht="26" x14ac:dyDescent="0.3">
      <c r="A2671" s="17" t="str">
        <f>"42975"</f>
        <v>42975</v>
      </c>
      <c r="B2671" s="5" t="s">
        <v>2827</v>
      </c>
      <c r="C2671" s="17">
        <v>20220101</v>
      </c>
      <c r="D2671" s="17">
        <v>22991231</v>
      </c>
      <c r="E2671" s="25">
        <v>723.17</v>
      </c>
    </row>
    <row r="2672" spans="1:5" ht="26" x14ac:dyDescent="0.3">
      <c r="A2672" s="17" t="str">
        <f>"43020"</f>
        <v>43020</v>
      </c>
      <c r="B2672" s="5" t="s">
        <v>2828</v>
      </c>
      <c r="C2672" s="17">
        <v>19900101</v>
      </c>
      <c r="D2672" s="17">
        <v>22991231</v>
      </c>
      <c r="E2672" s="24" t="s">
        <v>7128</v>
      </c>
    </row>
    <row r="2673" spans="1:5" x14ac:dyDescent="0.3">
      <c r="A2673" s="17" t="str">
        <f>"43030"</f>
        <v>43030</v>
      </c>
      <c r="B2673" s="5" t="s">
        <v>2829</v>
      </c>
      <c r="C2673" s="17">
        <v>19900101</v>
      </c>
      <c r="D2673" s="17">
        <v>22991231</v>
      </c>
      <c r="E2673" s="25">
        <v>2637</v>
      </c>
    </row>
    <row r="2674" spans="1:5" ht="26" x14ac:dyDescent="0.3">
      <c r="A2674" s="17" t="str">
        <f>"43130"</f>
        <v>43130</v>
      </c>
      <c r="B2674" s="5" t="s">
        <v>2830</v>
      </c>
      <c r="C2674" s="17">
        <v>19900101</v>
      </c>
      <c r="D2674" s="17">
        <v>22991231</v>
      </c>
      <c r="E2674" s="25">
        <v>2637</v>
      </c>
    </row>
    <row r="2675" spans="1:5" ht="26" x14ac:dyDescent="0.3">
      <c r="A2675" s="17" t="str">
        <f>"43180"</f>
        <v>43180</v>
      </c>
      <c r="B2675" s="5" t="s">
        <v>2831</v>
      </c>
      <c r="C2675" s="17">
        <v>20230101</v>
      </c>
      <c r="D2675" s="17">
        <v>22991231</v>
      </c>
      <c r="E2675" s="25">
        <v>2637</v>
      </c>
    </row>
    <row r="2676" spans="1:5" ht="26" x14ac:dyDescent="0.3">
      <c r="A2676" s="17" t="str">
        <f>"43191"</f>
        <v>43191</v>
      </c>
      <c r="B2676" s="5" t="s">
        <v>2832</v>
      </c>
      <c r="C2676" s="17">
        <v>20230101</v>
      </c>
      <c r="D2676" s="17">
        <v>22991231</v>
      </c>
      <c r="E2676" s="25">
        <v>794.51</v>
      </c>
    </row>
    <row r="2677" spans="1:5" x14ac:dyDescent="0.3">
      <c r="A2677" s="17" t="str">
        <f>"43192"</f>
        <v>43192</v>
      </c>
      <c r="B2677" s="5" t="s">
        <v>2833</v>
      </c>
      <c r="C2677" s="17">
        <v>20230101</v>
      </c>
      <c r="D2677" s="17">
        <v>22991231</v>
      </c>
      <c r="E2677" s="25">
        <v>794.51</v>
      </c>
    </row>
    <row r="2678" spans="1:5" x14ac:dyDescent="0.3">
      <c r="A2678" s="17" t="str">
        <f>"43193"</f>
        <v>43193</v>
      </c>
      <c r="B2678" s="5" t="s">
        <v>2834</v>
      </c>
      <c r="C2678" s="17">
        <v>20230101</v>
      </c>
      <c r="D2678" s="17">
        <v>22991231</v>
      </c>
      <c r="E2678" s="25">
        <v>794.51</v>
      </c>
    </row>
    <row r="2679" spans="1:5" ht="26" x14ac:dyDescent="0.3">
      <c r="A2679" s="17" t="str">
        <f>"43194"</f>
        <v>43194</v>
      </c>
      <c r="B2679" s="5" t="s">
        <v>2835</v>
      </c>
      <c r="C2679" s="17">
        <v>20230101</v>
      </c>
      <c r="D2679" s="17">
        <v>22991231</v>
      </c>
      <c r="E2679" s="25">
        <v>794.51</v>
      </c>
    </row>
    <row r="2680" spans="1:5" ht="26" x14ac:dyDescent="0.3">
      <c r="A2680" s="17" t="str">
        <f>"43195"</f>
        <v>43195</v>
      </c>
      <c r="B2680" s="5" t="s">
        <v>2836</v>
      </c>
      <c r="C2680" s="17">
        <v>20230101</v>
      </c>
      <c r="D2680" s="17">
        <v>22991231</v>
      </c>
      <c r="E2680" s="25">
        <v>1718.4</v>
      </c>
    </row>
    <row r="2681" spans="1:5" ht="26" x14ac:dyDescent="0.3">
      <c r="A2681" s="17" t="str">
        <f>"43196"</f>
        <v>43196</v>
      </c>
      <c r="B2681" s="5" t="s">
        <v>2837</v>
      </c>
      <c r="C2681" s="17">
        <v>20230101</v>
      </c>
      <c r="D2681" s="17">
        <v>22991231</v>
      </c>
      <c r="E2681" s="25">
        <v>794.51</v>
      </c>
    </row>
    <row r="2682" spans="1:5" ht="26" x14ac:dyDescent="0.3">
      <c r="A2682" s="17" t="str">
        <f>"43197"</f>
        <v>43197</v>
      </c>
      <c r="B2682" s="5" t="s">
        <v>2838</v>
      </c>
      <c r="C2682" s="17">
        <v>20230101</v>
      </c>
      <c r="D2682" s="17">
        <v>22991231</v>
      </c>
      <c r="E2682" s="25">
        <v>123.85</v>
      </c>
    </row>
    <row r="2683" spans="1:5" ht="26" x14ac:dyDescent="0.3">
      <c r="A2683" s="17" t="str">
        <f>"43198"</f>
        <v>43198</v>
      </c>
      <c r="B2683" s="5" t="s">
        <v>2839</v>
      </c>
      <c r="C2683" s="17">
        <v>20230101</v>
      </c>
      <c r="D2683" s="17">
        <v>22991231</v>
      </c>
      <c r="E2683" s="25">
        <v>133.55000000000001</v>
      </c>
    </row>
    <row r="2684" spans="1:5" ht="26" x14ac:dyDescent="0.3">
      <c r="A2684" s="17" t="str">
        <f>"43200"</f>
        <v>43200</v>
      </c>
      <c r="B2684" s="5" t="s">
        <v>2840</v>
      </c>
      <c r="C2684" s="17">
        <v>19900101</v>
      </c>
      <c r="D2684" s="17">
        <v>22991231</v>
      </c>
      <c r="E2684" s="25">
        <v>449.14</v>
      </c>
    </row>
    <row r="2685" spans="1:5" ht="26" x14ac:dyDescent="0.3">
      <c r="A2685" s="17" t="str">
        <f>"43201"</f>
        <v>43201</v>
      </c>
      <c r="B2685" s="5" t="s">
        <v>2841</v>
      </c>
      <c r="C2685" s="17">
        <v>20030401</v>
      </c>
      <c r="D2685" s="17">
        <v>22991231</v>
      </c>
      <c r="E2685" s="25">
        <v>794.51</v>
      </c>
    </row>
    <row r="2686" spans="1:5" ht="26" x14ac:dyDescent="0.3">
      <c r="A2686" s="17" t="str">
        <f>"43202"</f>
        <v>43202</v>
      </c>
      <c r="B2686" s="5" t="s">
        <v>2842</v>
      </c>
      <c r="C2686" s="17">
        <v>19900101</v>
      </c>
      <c r="D2686" s="17">
        <v>22991231</v>
      </c>
      <c r="E2686" s="25">
        <v>794.51</v>
      </c>
    </row>
    <row r="2687" spans="1:5" ht="26" x14ac:dyDescent="0.3">
      <c r="A2687" s="17" t="str">
        <f>"43204"</f>
        <v>43204</v>
      </c>
      <c r="B2687" s="5" t="s">
        <v>2843</v>
      </c>
      <c r="C2687" s="17">
        <v>19900101</v>
      </c>
      <c r="D2687" s="17">
        <v>22991231</v>
      </c>
      <c r="E2687" s="25">
        <v>794.51</v>
      </c>
    </row>
    <row r="2688" spans="1:5" ht="26" x14ac:dyDescent="0.3">
      <c r="A2688" s="17" t="str">
        <f>"43205"</f>
        <v>43205</v>
      </c>
      <c r="B2688" s="5" t="s">
        <v>2844</v>
      </c>
      <c r="C2688" s="17">
        <v>19940101</v>
      </c>
      <c r="D2688" s="17">
        <v>22991231</v>
      </c>
      <c r="E2688" s="25">
        <v>794.51</v>
      </c>
    </row>
    <row r="2689" spans="1:5" ht="26" x14ac:dyDescent="0.3">
      <c r="A2689" s="17" t="str">
        <f>"43206"</f>
        <v>43206</v>
      </c>
      <c r="B2689" s="5" t="s">
        <v>2845</v>
      </c>
      <c r="C2689" s="17">
        <v>20130101</v>
      </c>
      <c r="D2689" s="17">
        <v>22991231</v>
      </c>
      <c r="E2689" s="25">
        <v>794.51</v>
      </c>
    </row>
    <row r="2690" spans="1:5" ht="26" x14ac:dyDescent="0.3">
      <c r="A2690" s="17" t="str">
        <f>"43210"</f>
        <v>43210</v>
      </c>
      <c r="B2690" s="5" t="s">
        <v>2846</v>
      </c>
      <c r="C2690" s="17">
        <v>20230101</v>
      </c>
      <c r="D2690" s="17">
        <v>22991231</v>
      </c>
      <c r="E2690" s="25">
        <v>5639.45</v>
      </c>
    </row>
    <row r="2691" spans="1:5" ht="26" x14ac:dyDescent="0.3">
      <c r="A2691" s="17" t="str">
        <f>"43211"</f>
        <v>43211</v>
      </c>
      <c r="B2691" s="5" t="s">
        <v>2847</v>
      </c>
      <c r="C2691" s="17">
        <v>20230101</v>
      </c>
      <c r="D2691" s="17">
        <v>22991231</v>
      </c>
      <c r="E2691" s="25">
        <v>794.51</v>
      </c>
    </row>
    <row r="2692" spans="1:5" ht="26" x14ac:dyDescent="0.3">
      <c r="A2692" s="17" t="str">
        <f>"43212"</f>
        <v>43212</v>
      </c>
      <c r="B2692" s="5" t="s">
        <v>2848</v>
      </c>
      <c r="C2692" s="17">
        <v>20230101</v>
      </c>
      <c r="D2692" s="17">
        <v>22991231</v>
      </c>
      <c r="E2692" s="25">
        <v>3667.2</v>
      </c>
    </row>
    <row r="2693" spans="1:5" ht="26" x14ac:dyDescent="0.3">
      <c r="A2693" s="17" t="str">
        <f>"43213"</f>
        <v>43213</v>
      </c>
      <c r="B2693" s="5" t="s">
        <v>2849</v>
      </c>
      <c r="C2693" s="17">
        <v>20230101</v>
      </c>
      <c r="D2693" s="17">
        <v>22991231</v>
      </c>
      <c r="E2693" s="25">
        <v>794.51</v>
      </c>
    </row>
    <row r="2694" spans="1:5" ht="26" x14ac:dyDescent="0.3">
      <c r="A2694" s="17" t="str">
        <f>"43214"</f>
        <v>43214</v>
      </c>
      <c r="B2694" s="5" t="s">
        <v>2850</v>
      </c>
      <c r="C2694" s="17">
        <v>20230101</v>
      </c>
      <c r="D2694" s="17">
        <v>22991231</v>
      </c>
      <c r="E2694" s="25">
        <v>794.51</v>
      </c>
    </row>
    <row r="2695" spans="1:5" ht="26" x14ac:dyDescent="0.3">
      <c r="A2695" s="17" t="str">
        <f>"43215"</f>
        <v>43215</v>
      </c>
      <c r="B2695" s="5" t="s">
        <v>2851</v>
      </c>
      <c r="C2695" s="17">
        <v>19900101</v>
      </c>
      <c r="D2695" s="17">
        <v>22991231</v>
      </c>
      <c r="E2695" s="25">
        <v>794.51</v>
      </c>
    </row>
    <row r="2696" spans="1:5" ht="39" x14ac:dyDescent="0.3">
      <c r="A2696" s="17" t="str">
        <f>"43216"</f>
        <v>43216</v>
      </c>
      <c r="B2696" s="5" t="s">
        <v>2852</v>
      </c>
      <c r="C2696" s="17">
        <v>19940101</v>
      </c>
      <c r="D2696" s="17">
        <v>22991231</v>
      </c>
      <c r="E2696" s="25">
        <v>794.51</v>
      </c>
    </row>
    <row r="2697" spans="1:5" ht="26" x14ac:dyDescent="0.3">
      <c r="A2697" s="17" t="str">
        <f>"43217"</f>
        <v>43217</v>
      </c>
      <c r="B2697" s="5" t="s">
        <v>2853</v>
      </c>
      <c r="C2697" s="17">
        <v>19900101</v>
      </c>
      <c r="D2697" s="17">
        <v>22991231</v>
      </c>
      <c r="E2697" s="25">
        <v>794.51</v>
      </c>
    </row>
    <row r="2698" spans="1:5" ht="26" x14ac:dyDescent="0.3">
      <c r="A2698" s="17" t="str">
        <f>"43220"</f>
        <v>43220</v>
      </c>
      <c r="B2698" s="5" t="s">
        <v>2854</v>
      </c>
      <c r="C2698" s="17">
        <v>19900101</v>
      </c>
      <c r="D2698" s="17">
        <v>22991231</v>
      </c>
      <c r="E2698" s="25">
        <v>794.51</v>
      </c>
    </row>
    <row r="2699" spans="1:5" ht="26" x14ac:dyDescent="0.3">
      <c r="A2699" s="17" t="str">
        <f>"43226"</f>
        <v>43226</v>
      </c>
      <c r="B2699" s="5" t="s">
        <v>2855</v>
      </c>
      <c r="C2699" s="17">
        <v>19900101</v>
      </c>
      <c r="D2699" s="17">
        <v>22991231</v>
      </c>
      <c r="E2699" s="25">
        <v>794.51</v>
      </c>
    </row>
    <row r="2700" spans="1:5" ht="26" x14ac:dyDescent="0.3">
      <c r="A2700" s="17" t="str">
        <f>"43227"</f>
        <v>43227</v>
      </c>
      <c r="B2700" s="5" t="s">
        <v>2856</v>
      </c>
      <c r="C2700" s="17">
        <v>19900101</v>
      </c>
      <c r="D2700" s="17">
        <v>22991231</v>
      </c>
      <c r="E2700" s="25">
        <v>794.51</v>
      </c>
    </row>
    <row r="2701" spans="1:5" ht="26" x14ac:dyDescent="0.3">
      <c r="A2701" s="17" t="str">
        <f>"43229"</f>
        <v>43229</v>
      </c>
      <c r="B2701" s="5" t="s">
        <v>2857</v>
      </c>
      <c r="C2701" s="17">
        <v>20230101</v>
      </c>
      <c r="D2701" s="17">
        <v>22991231</v>
      </c>
      <c r="E2701" s="25">
        <v>2525.4899999999998</v>
      </c>
    </row>
    <row r="2702" spans="1:5" ht="26" x14ac:dyDescent="0.3">
      <c r="A2702" s="17" t="str">
        <f>"43231"</f>
        <v>43231</v>
      </c>
      <c r="B2702" s="5" t="s">
        <v>2858</v>
      </c>
      <c r="C2702" s="17">
        <v>20010101</v>
      </c>
      <c r="D2702" s="17">
        <v>22991231</v>
      </c>
      <c r="E2702" s="25">
        <v>794.51</v>
      </c>
    </row>
    <row r="2703" spans="1:5" ht="26" x14ac:dyDescent="0.3">
      <c r="A2703" s="17" t="str">
        <f>"43232"</f>
        <v>43232</v>
      </c>
      <c r="B2703" s="5" t="s">
        <v>2859</v>
      </c>
      <c r="C2703" s="17">
        <v>20010101</v>
      </c>
      <c r="D2703" s="17">
        <v>22991231</v>
      </c>
      <c r="E2703" s="25">
        <v>794.51</v>
      </c>
    </row>
    <row r="2704" spans="1:5" ht="39" x14ac:dyDescent="0.3">
      <c r="A2704" s="17" t="str">
        <f>"43233"</f>
        <v>43233</v>
      </c>
      <c r="B2704" s="5" t="s">
        <v>2860</v>
      </c>
      <c r="C2704" s="17">
        <v>20230101</v>
      </c>
      <c r="D2704" s="17">
        <v>22991231</v>
      </c>
      <c r="E2704" s="25">
        <v>794.51</v>
      </c>
    </row>
    <row r="2705" spans="1:5" ht="26" x14ac:dyDescent="0.3">
      <c r="A2705" s="17" t="str">
        <f>"43235"</f>
        <v>43235</v>
      </c>
      <c r="B2705" s="5" t="s">
        <v>2861</v>
      </c>
      <c r="C2705" s="17">
        <v>19900101</v>
      </c>
      <c r="D2705" s="17">
        <v>22991231</v>
      </c>
      <c r="E2705" s="25">
        <v>449.14</v>
      </c>
    </row>
    <row r="2706" spans="1:5" ht="26" x14ac:dyDescent="0.3">
      <c r="A2706" s="17" t="str">
        <f>"43236"</f>
        <v>43236</v>
      </c>
      <c r="B2706" s="5" t="s">
        <v>2862</v>
      </c>
      <c r="C2706" s="17">
        <v>20030401</v>
      </c>
      <c r="D2706" s="17">
        <v>22991231</v>
      </c>
      <c r="E2706" s="25">
        <v>449.14</v>
      </c>
    </row>
    <row r="2707" spans="1:5" ht="39" x14ac:dyDescent="0.3">
      <c r="A2707" s="17" t="str">
        <f>"43237"</f>
        <v>43237</v>
      </c>
      <c r="B2707" s="5" t="s">
        <v>2863</v>
      </c>
      <c r="C2707" s="17">
        <v>20230101</v>
      </c>
      <c r="D2707" s="17">
        <v>22991231</v>
      </c>
      <c r="E2707" s="25">
        <v>794.51</v>
      </c>
    </row>
    <row r="2708" spans="1:5" ht="26" x14ac:dyDescent="0.3">
      <c r="A2708" s="17" t="str">
        <f>"43238"</f>
        <v>43238</v>
      </c>
      <c r="B2708" s="5" t="s">
        <v>2864</v>
      </c>
      <c r="C2708" s="17">
        <v>20230101</v>
      </c>
      <c r="D2708" s="17">
        <v>22991231</v>
      </c>
      <c r="E2708" s="25">
        <v>794.51</v>
      </c>
    </row>
    <row r="2709" spans="1:5" ht="26" x14ac:dyDescent="0.3">
      <c r="A2709" s="17" t="str">
        <f>"43239"</f>
        <v>43239</v>
      </c>
      <c r="B2709" s="5" t="s">
        <v>2865</v>
      </c>
      <c r="C2709" s="17">
        <v>19900101</v>
      </c>
      <c r="D2709" s="17">
        <v>22991231</v>
      </c>
      <c r="E2709" s="25">
        <v>449.14</v>
      </c>
    </row>
    <row r="2710" spans="1:5" ht="39" x14ac:dyDescent="0.3">
      <c r="A2710" s="17" t="str">
        <f>"43240"</f>
        <v>43240</v>
      </c>
      <c r="B2710" s="5" t="s">
        <v>2866</v>
      </c>
      <c r="C2710" s="17">
        <v>20010101</v>
      </c>
      <c r="D2710" s="17">
        <v>22991231</v>
      </c>
      <c r="E2710" s="25">
        <v>3844.21</v>
      </c>
    </row>
    <row r="2711" spans="1:5" ht="39" x14ac:dyDescent="0.3">
      <c r="A2711" s="17" t="str">
        <f>"43241"</f>
        <v>43241</v>
      </c>
      <c r="B2711" s="5" t="s">
        <v>2867</v>
      </c>
      <c r="C2711" s="17">
        <v>19900101</v>
      </c>
      <c r="D2711" s="17">
        <v>22991231</v>
      </c>
      <c r="E2711" s="25">
        <v>794.51</v>
      </c>
    </row>
    <row r="2712" spans="1:5" ht="39" x14ac:dyDescent="0.3">
      <c r="A2712" s="17" t="str">
        <f>"43242"</f>
        <v>43242</v>
      </c>
      <c r="B2712" s="5" t="s">
        <v>2868</v>
      </c>
      <c r="C2712" s="17">
        <v>20010101</v>
      </c>
      <c r="D2712" s="17">
        <v>22991231</v>
      </c>
      <c r="E2712" s="25">
        <v>794.51</v>
      </c>
    </row>
    <row r="2713" spans="1:5" ht="26" x14ac:dyDescent="0.3">
      <c r="A2713" s="17" t="str">
        <f>"43243"</f>
        <v>43243</v>
      </c>
      <c r="B2713" s="5" t="s">
        <v>2869</v>
      </c>
      <c r="C2713" s="17">
        <v>19900101</v>
      </c>
      <c r="D2713" s="17">
        <v>22991231</v>
      </c>
      <c r="E2713" s="25">
        <v>794.51</v>
      </c>
    </row>
    <row r="2714" spans="1:5" ht="26" x14ac:dyDescent="0.3">
      <c r="A2714" s="17" t="str">
        <f>"43244"</f>
        <v>43244</v>
      </c>
      <c r="B2714" s="5" t="s">
        <v>2870</v>
      </c>
      <c r="C2714" s="17">
        <v>20010101</v>
      </c>
      <c r="D2714" s="17">
        <v>22991231</v>
      </c>
      <c r="E2714" s="25">
        <v>794.51</v>
      </c>
    </row>
    <row r="2715" spans="1:5" ht="26" x14ac:dyDescent="0.3">
      <c r="A2715" s="17" t="str">
        <f>"43245"</f>
        <v>43245</v>
      </c>
      <c r="B2715" s="5" t="s">
        <v>2871</v>
      </c>
      <c r="C2715" s="17">
        <v>19900101</v>
      </c>
      <c r="D2715" s="17">
        <v>22991231</v>
      </c>
      <c r="E2715" s="25">
        <v>794.51</v>
      </c>
    </row>
    <row r="2716" spans="1:5" ht="26" x14ac:dyDescent="0.3">
      <c r="A2716" s="17" t="str">
        <f>"43246"</f>
        <v>43246</v>
      </c>
      <c r="B2716" s="5" t="s">
        <v>2872</v>
      </c>
      <c r="C2716" s="17">
        <v>19900101</v>
      </c>
      <c r="D2716" s="17">
        <v>22991231</v>
      </c>
      <c r="E2716" s="25">
        <v>794.51</v>
      </c>
    </row>
    <row r="2717" spans="1:5" ht="39" x14ac:dyDescent="0.3">
      <c r="A2717" s="17" t="str">
        <f>"43247"</f>
        <v>43247</v>
      </c>
      <c r="B2717" s="5" t="s">
        <v>2873</v>
      </c>
      <c r="C2717" s="17">
        <v>19900101</v>
      </c>
      <c r="D2717" s="17">
        <v>22991231</v>
      </c>
      <c r="E2717" s="25">
        <v>449.14</v>
      </c>
    </row>
    <row r="2718" spans="1:5" ht="26" x14ac:dyDescent="0.3">
      <c r="A2718" s="17" t="str">
        <f>"43248"</f>
        <v>43248</v>
      </c>
      <c r="B2718" s="5" t="s">
        <v>2874</v>
      </c>
      <c r="C2718" s="17">
        <v>19940101</v>
      </c>
      <c r="D2718" s="17">
        <v>22991231</v>
      </c>
      <c r="E2718" s="25">
        <v>449.14</v>
      </c>
    </row>
    <row r="2719" spans="1:5" ht="39" x14ac:dyDescent="0.3">
      <c r="A2719" s="17" t="str">
        <f>"43249"</f>
        <v>43249</v>
      </c>
      <c r="B2719" s="5" t="s">
        <v>2875</v>
      </c>
      <c r="C2719" s="17">
        <v>19950101</v>
      </c>
      <c r="D2719" s="17">
        <v>22991231</v>
      </c>
      <c r="E2719" s="25">
        <v>794.51</v>
      </c>
    </row>
    <row r="2720" spans="1:5" ht="39" x14ac:dyDescent="0.3">
      <c r="A2720" s="17" t="str">
        <f>"43250"</f>
        <v>43250</v>
      </c>
      <c r="B2720" s="5" t="s">
        <v>2876</v>
      </c>
      <c r="C2720" s="17">
        <v>19940101</v>
      </c>
      <c r="D2720" s="17">
        <v>22991231</v>
      </c>
      <c r="E2720" s="25">
        <v>794.51</v>
      </c>
    </row>
    <row r="2721" spans="1:5" ht="39" x14ac:dyDescent="0.3">
      <c r="A2721" s="17" t="str">
        <f>"43251"</f>
        <v>43251</v>
      </c>
      <c r="B2721" s="5" t="s">
        <v>2877</v>
      </c>
      <c r="C2721" s="17">
        <v>19900101</v>
      </c>
      <c r="D2721" s="17">
        <v>22991231</v>
      </c>
      <c r="E2721" s="25">
        <v>794.51</v>
      </c>
    </row>
    <row r="2722" spans="1:5" ht="39" x14ac:dyDescent="0.3">
      <c r="A2722" s="17" t="str">
        <f>"43252"</f>
        <v>43252</v>
      </c>
      <c r="B2722" s="5" t="s">
        <v>2878</v>
      </c>
      <c r="C2722" s="17">
        <v>20130101</v>
      </c>
      <c r="D2722" s="17">
        <v>22991231</v>
      </c>
      <c r="E2722" s="25">
        <v>794.51</v>
      </c>
    </row>
    <row r="2723" spans="1:5" ht="39" x14ac:dyDescent="0.3">
      <c r="A2723" s="17" t="str">
        <f>"43253"</f>
        <v>43253</v>
      </c>
      <c r="B2723" s="5" t="s">
        <v>2879</v>
      </c>
      <c r="C2723" s="17">
        <v>20230101</v>
      </c>
      <c r="D2723" s="17">
        <v>22991231</v>
      </c>
      <c r="E2723" s="25">
        <v>794.51</v>
      </c>
    </row>
    <row r="2724" spans="1:5" ht="39" x14ac:dyDescent="0.3">
      <c r="A2724" s="17" t="str">
        <f>"43254"</f>
        <v>43254</v>
      </c>
      <c r="B2724" s="5" t="s">
        <v>2880</v>
      </c>
      <c r="C2724" s="17">
        <v>20230101</v>
      </c>
      <c r="D2724" s="17">
        <v>22991231</v>
      </c>
      <c r="E2724" s="25">
        <v>794.51</v>
      </c>
    </row>
    <row r="2725" spans="1:5" ht="39" x14ac:dyDescent="0.3">
      <c r="A2725" s="17" t="str">
        <f>"43255"</f>
        <v>43255</v>
      </c>
      <c r="B2725" s="5" t="s">
        <v>2881</v>
      </c>
      <c r="C2725" s="17">
        <v>19900101</v>
      </c>
      <c r="D2725" s="17">
        <v>22991231</v>
      </c>
      <c r="E2725" s="25">
        <v>794.51</v>
      </c>
    </row>
    <row r="2726" spans="1:5" ht="39" x14ac:dyDescent="0.3">
      <c r="A2726" s="17" t="str">
        <f>"43257"</f>
        <v>43257</v>
      </c>
      <c r="B2726" s="5" t="s">
        <v>2882</v>
      </c>
      <c r="C2726" s="17">
        <v>20070101</v>
      </c>
      <c r="D2726" s="17">
        <v>22991231</v>
      </c>
      <c r="E2726" s="25">
        <v>2325.48</v>
      </c>
    </row>
    <row r="2727" spans="1:5" ht="26" x14ac:dyDescent="0.3">
      <c r="A2727" s="17" t="str">
        <f>"43259"</f>
        <v>43259</v>
      </c>
      <c r="B2727" s="5" t="s">
        <v>2883</v>
      </c>
      <c r="C2727" s="17">
        <v>19940101</v>
      </c>
      <c r="D2727" s="17">
        <v>22991231</v>
      </c>
      <c r="E2727" s="25">
        <v>794.51</v>
      </c>
    </row>
    <row r="2728" spans="1:5" ht="26" x14ac:dyDescent="0.3">
      <c r="A2728" s="17" t="str">
        <f>"43260"</f>
        <v>43260</v>
      </c>
      <c r="B2728" s="5" t="s">
        <v>2884</v>
      </c>
      <c r="C2728" s="17">
        <v>19900101</v>
      </c>
      <c r="D2728" s="17">
        <v>22991231</v>
      </c>
      <c r="E2728" s="25">
        <v>1718.4</v>
      </c>
    </row>
    <row r="2729" spans="1:5" ht="26" x14ac:dyDescent="0.3">
      <c r="A2729" s="17" t="str">
        <f>"43261"</f>
        <v>43261</v>
      </c>
      <c r="B2729" s="5" t="s">
        <v>2885</v>
      </c>
      <c r="C2729" s="17">
        <v>19900101</v>
      </c>
      <c r="D2729" s="17">
        <v>22991231</v>
      </c>
      <c r="E2729" s="25">
        <v>1718.4</v>
      </c>
    </row>
    <row r="2730" spans="1:5" ht="26" x14ac:dyDescent="0.3">
      <c r="A2730" s="17" t="str">
        <f>"43262"</f>
        <v>43262</v>
      </c>
      <c r="B2730" s="5" t="s">
        <v>2886</v>
      </c>
      <c r="C2730" s="17">
        <v>19900101</v>
      </c>
      <c r="D2730" s="17">
        <v>22991231</v>
      </c>
      <c r="E2730" s="25">
        <v>1718.4</v>
      </c>
    </row>
    <row r="2731" spans="1:5" ht="26" x14ac:dyDescent="0.3">
      <c r="A2731" s="17" t="str">
        <f>"43263"</f>
        <v>43263</v>
      </c>
      <c r="B2731" s="5" t="s">
        <v>2887</v>
      </c>
      <c r="C2731" s="17">
        <v>19900101</v>
      </c>
      <c r="D2731" s="17">
        <v>22991231</v>
      </c>
      <c r="E2731" s="25">
        <v>794.51</v>
      </c>
    </row>
    <row r="2732" spans="1:5" ht="26" x14ac:dyDescent="0.3">
      <c r="A2732" s="17" t="str">
        <f>"43264"</f>
        <v>43264</v>
      </c>
      <c r="B2732" s="5" t="s">
        <v>2888</v>
      </c>
      <c r="C2732" s="17">
        <v>19900101</v>
      </c>
      <c r="D2732" s="17">
        <v>22991231</v>
      </c>
      <c r="E2732" s="25">
        <v>1718.4</v>
      </c>
    </row>
    <row r="2733" spans="1:5" ht="26" x14ac:dyDescent="0.3">
      <c r="A2733" s="17" t="str">
        <f>"43265"</f>
        <v>43265</v>
      </c>
      <c r="B2733" s="5" t="s">
        <v>2889</v>
      </c>
      <c r="C2733" s="17">
        <v>19900101</v>
      </c>
      <c r="D2733" s="17">
        <v>22991231</v>
      </c>
      <c r="E2733" s="25">
        <v>2459.81</v>
      </c>
    </row>
    <row r="2734" spans="1:5" ht="26" x14ac:dyDescent="0.3">
      <c r="A2734" s="17" t="str">
        <f>"43266"</f>
        <v>43266</v>
      </c>
      <c r="B2734" s="5" t="s">
        <v>2890</v>
      </c>
      <c r="C2734" s="17">
        <v>20230101</v>
      </c>
      <c r="D2734" s="17">
        <v>22991231</v>
      </c>
      <c r="E2734" s="25">
        <v>3785.55</v>
      </c>
    </row>
    <row r="2735" spans="1:5" ht="39" x14ac:dyDescent="0.3">
      <c r="A2735" s="17" t="str">
        <f>"43270"</f>
        <v>43270</v>
      </c>
      <c r="B2735" s="5" t="s">
        <v>2891</v>
      </c>
      <c r="C2735" s="17">
        <v>20230101</v>
      </c>
      <c r="D2735" s="17">
        <v>22991231</v>
      </c>
      <c r="E2735" s="25">
        <v>1026.07</v>
      </c>
    </row>
    <row r="2736" spans="1:5" ht="26" x14ac:dyDescent="0.3">
      <c r="A2736" s="17" t="str">
        <f>"43273"</f>
        <v>43273</v>
      </c>
      <c r="B2736" s="5" t="s">
        <v>2892</v>
      </c>
      <c r="C2736" s="17">
        <v>20090101</v>
      </c>
      <c r="D2736" s="17">
        <v>22991231</v>
      </c>
      <c r="E2736" s="25">
        <v>0</v>
      </c>
    </row>
    <row r="2737" spans="1:5" ht="26" x14ac:dyDescent="0.3">
      <c r="A2737" s="17" t="str">
        <f>"43274"</f>
        <v>43274</v>
      </c>
      <c r="B2737" s="5" t="s">
        <v>2893</v>
      </c>
      <c r="C2737" s="17">
        <v>20230101</v>
      </c>
      <c r="D2737" s="17">
        <v>22991231</v>
      </c>
      <c r="E2737" s="25">
        <v>3170.12</v>
      </c>
    </row>
    <row r="2738" spans="1:5" ht="26" x14ac:dyDescent="0.3">
      <c r="A2738" s="17" t="str">
        <f>"43275"</f>
        <v>43275</v>
      </c>
      <c r="B2738" s="5" t="s">
        <v>2894</v>
      </c>
      <c r="C2738" s="17">
        <v>20230101</v>
      </c>
      <c r="D2738" s="17">
        <v>22991231</v>
      </c>
      <c r="E2738" s="25">
        <v>794.51</v>
      </c>
    </row>
    <row r="2739" spans="1:5" ht="26" x14ac:dyDescent="0.3">
      <c r="A2739" s="17" t="str">
        <f>"43276"</f>
        <v>43276</v>
      </c>
      <c r="B2739" s="5" t="s">
        <v>2895</v>
      </c>
      <c r="C2739" s="17">
        <v>20230101</v>
      </c>
      <c r="D2739" s="17">
        <v>22991231</v>
      </c>
      <c r="E2739" s="25">
        <v>3174.03</v>
      </c>
    </row>
    <row r="2740" spans="1:5" ht="26" x14ac:dyDescent="0.3">
      <c r="A2740" s="17" t="str">
        <f>"43277"</f>
        <v>43277</v>
      </c>
      <c r="B2740" s="5" t="s">
        <v>2896</v>
      </c>
      <c r="C2740" s="17">
        <v>20230101</v>
      </c>
      <c r="D2740" s="17">
        <v>22991231</v>
      </c>
      <c r="E2740" s="25">
        <v>1718.4</v>
      </c>
    </row>
    <row r="2741" spans="1:5" ht="26" x14ac:dyDescent="0.3">
      <c r="A2741" s="17" t="str">
        <f>"43278"</f>
        <v>43278</v>
      </c>
      <c r="B2741" s="5" t="s">
        <v>2897</v>
      </c>
      <c r="C2741" s="17">
        <v>20230101</v>
      </c>
      <c r="D2741" s="17">
        <v>22991231</v>
      </c>
      <c r="E2741" s="25">
        <v>1718.4</v>
      </c>
    </row>
    <row r="2742" spans="1:5" ht="39" x14ac:dyDescent="0.3">
      <c r="A2742" s="17" t="str">
        <f>"43280"</f>
        <v>43280</v>
      </c>
      <c r="B2742" s="5" t="s">
        <v>2898</v>
      </c>
      <c r="C2742" s="17">
        <v>20000101</v>
      </c>
      <c r="D2742" s="17">
        <v>22991231</v>
      </c>
      <c r="E2742" s="24" t="s">
        <v>7128</v>
      </c>
    </row>
    <row r="2743" spans="1:5" ht="26" x14ac:dyDescent="0.3">
      <c r="A2743" s="17" t="str">
        <f>"43281"</f>
        <v>43281</v>
      </c>
      <c r="B2743" s="5" t="s">
        <v>2899</v>
      </c>
      <c r="C2743" s="17">
        <v>20100101</v>
      </c>
      <c r="D2743" s="17">
        <v>22991231</v>
      </c>
      <c r="E2743" s="24" t="s">
        <v>7128</v>
      </c>
    </row>
    <row r="2744" spans="1:5" ht="39" x14ac:dyDescent="0.3">
      <c r="A2744" s="17" t="str">
        <f>"43282"</f>
        <v>43282</v>
      </c>
      <c r="B2744" s="5" t="s">
        <v>2900</v>
      </c>
      <c r="C2744" s="17">
        <v>20100101</v>
      </c>
      <c r="D2744" s="17">
        <v>22991231</v>
      </c>
      <c r="E2744" s="24" t="s">
        <v>7128</v>
      </c>
    </row>
    <row r="2745" spans="1:5" ht="39" x14ac:dyDescent="0.3">
      <c r="A2745" s="17" t="str">
        <f>"43284"</f>
        <v>43284</v>
      </c>
      <c r="B2745" s="5" t="s">
        <v>2901</v>
      </c>
      <c r="C2745" s="17">
        <v>20170101</v>
      </c>
      <c r="D2745" s="17">
        <v>22991231</v>
      </c>
      <c r="E2745" s="25">
        <v>6199.05</v>
      </c>
    </row>
    <row r="2746" spans="1:5" ht="26" x14ac:dyDescent="0.3">
      <c r="A2746" s="17" t="str">
        <f>"43285"</f>
        <v>43285</v>
      </c>
      <c r="B2746" s="5" t="s">
        <v>2902</v>
      </c>
      <c r="C2746" s="17">
        <v>20170101</v>
      </c>
      <c r="D2746" s="17">
        <v>22991231</v>
      </c>
      <c r="E2746" s="25">
        <v>2584.12</v>
      </c>
    </row>
    <row r="2747" spans="1:5" ht="26" x14ac:dyDescent="0.3">
      <c r="A2747" s="17" t="str">
        <f>"43289"</f>
        <v>43289</v>
      </c>
      <c r="B2747" s="5" t="s">
        <v>2903</v>
      </c>
      <c r="C2747" s="17">
        <v>20000101</v>
      </c>
      <c r="D2747" s="17">
        <v>22991231</v>
      </c>
      <c r="E2747" s="24" t="s">
        <v>7128</v>
      </c>
    </row>
    <row r="2748" spans="1:5" ht="26" x14ac:dyDescent="0.3">
      <c r="A2748" s="17" t="str">
        <f>"43290"</f>
        <v>43290</v>
      </c>
      <c r="B2748" s="5" t="s">
        <v>2904</v>
      </c>
      <c r="C2748" s="17">
        <v>20230101</v>
      </c>
      <c r="D2748" s="17">
        <v>22991231</v>
      </c>
      <c r="E2748" s="25">
        <v>794.51</v>
      </c>
    </row>
    <row r="2749" spans="1:5" ht="26" x14ac:dyDescent="0.3">
      <c r="A2749" s="17" t="str">
        <f>"43291"</f>
        <v>43291</v>
      </c>
      <c r="B2749" s="5" t="s">
        <v>2905</v>
      </c>
      <c r="C2749" s="17">
        <v>20230101</v>
      </c>
      <c r="D2749" s="17">
        <v>22991231</v>
      </c>
      <c r="E2749" s="25">
        <v>449.14</v>
      </c>
    </row>
    <row r="2750" spans="1:5" ht="26" x14ac:dyDescent="0.3">
      <c r="A2750" s="17" t="str">
        <f>"43420"</f>
        <v>43420</v>
      </c>
      <c r="B2750" s="5" t="s">
        <v>2906</v>
      </c>
      <c r="C2750" s="17">
        <v>19900101</v>
      </c>
      <c r="D2750" s="17">
        <v>22991231</v>
      </c>
      <c r="E2750" s="24" t="s">
        <v>7128</v>
      </c>
    </row>
    <row r="2751" spans="1:5" x14ac:dyDescent="0.3">
      <c r="A2751" s="17" t="str">
        <f>"43450"</f>
        <v>43450</v>
      </c>
      <c r="B2751" s="5" t="s">
        <v>2907</v>
      </c>
      <c r="C2751" s="17">
        <v>19900101</v>
      </c>
      <c r="D2751" s="17">
        <v>22991231</v>
      </c>
      <c r="E2751" s="25">
        <v>449.14</v>
      </c>
    </row>
    <row r="2752" spans="1:5" x14ac:dyDescent="0.3">
      <c r="A2752" s="17" t="str">
        <f>"43453"</f>
        <v>43453</v>
      </c>
      <c r="B2752" s="5" t="s">
        <v>2908</v>
      </c>
      <c r="C2752" s="17">
        <v>19900101</v>
      </c>
      <c r="D2752" s="17">
        <v>22991231</v>
      </c>
      <c r="E2752" s="25">
        <v>794.51</v>
      </c>
    </row>
    <row r="2753" spans="1:5" ht="26" x14ac:dyDescent="0.3">
      <c r="A2753" s="17" t="str">
        <f>"43510"</f>
        <v>43510</v>
      </c>
      <c r="B2753" s="5" t="s">
        <v>2909</v>
      </c>
      <c r="C2753" s="17">
        <v>19900101</v>
      </c>
      <c r="D2753" s="17">
        <v>22991231</v>
      </c>
      <c r="E2753" s="24" t="s">
        <v>7128</v>
      </c>
    </row>
    <row r="2754" spans="1:5" ht="26" x14ac:dyDescent="0.3">
      <c r="A2754" s="17" t="str">
        <f>"43651"</f>
        <v>43651</v>
      </c>
      <c r="B2754" s="5" t="s">
        <v>2910</v>
      </c>
      <c r="C2754" s="17">
        <v>20000101</v>
      </c>
      <c r="D2754" s="17">
        <v>22991231</v>
      </c>
      <c r="E2754" s="24" t="s">
        <v>7128</v>
      </c>
    </row>
    <row r="2755" spans="1:5" ht="26" x14ac:dyDescent="0.3">
      <c r="A2755" s="17" t="str">
        <f>"43652"</f>
        <v>43652</v>
      </c>
      <c r="B2755" s="5" t="s">
        <v>2911</v>
      </c>
      <c r="C2755" s="17">
        <v>20000101</v>
      </c>
      <c r="D2755" s="17">
        <v>22991231</v>
      </c>
      <c r="E2755" s="24" t="s">
        <v>7128</v>
      </c>
    </row>
    <row r="2756" spans="1:5" ht="26" x14ac:dyDescent="0.3">
      <c r="A2756" s="17" t="str">
        <f>"43653"</f>
        <v>43653</v>
      </c>
      <c r="B2756" s="5" t="s">
        <v>2912</v>
      </c>
      <c r="C2756" s="17">
        <v>20000101</v>
      </c>
      <c r="D2756" s="17">
        <v>22991231</v>
      </c>
      <c r="E2756" s="25">
        <v>2584.12</v>
      </c>
    </row>
    <row r="2757" spans="1:5" x14ac:dyDescent="0.3">
      <c r="A2757" s="17" t="str">
        <f>"43659"</f>
        <v>43659</v>
      </c>
      <c r="B2757" s="5" t="s">
        <v>2913</v>
      </c>
      <c r="C2757" s="17">
        <v>20030801</v>
      </c>
      <c r="D2757" s="17">
        <v>22991231</v>
      </c>
      <c r="E2757" s="24" t="s">
        <v>7128</v>
      </c>
    </row>
    <row r="2758" spans="1:5" ht="26" x14ac:dyDescent="0.3">
      <c r="A2758" s="17" t="str">
        <f>"43752"</f>
        <v>43752</v>
      </c>
      <c r="B2758" s="5" t="s">
        <v>2914</v>
      </c>
      <c r="C2758" s="17">
        <v>20010101</v>
      </c>
      <c r="D2758" s="17">
        <v>22991231</v>
      </c>
      <c r="E2758" s="25">
        <v>197.42</v>
      </c>
    </row>
    <row r="2759" spans="1:5" ht="26" x14ac:dyDescent="0.3">
      <c r="A2759" s="17" t="str">
        <f>"43753"</f>
        <v>43753</v>
      </c>
      <c r="B2759" s="5" t="s">
        <v>2915</v>
      </c>
      <c r="C2759" s="17">
        <v>20110101</v>
      </c>
      <c r="D2759" s="17">
        <v>22991231</v>
      </c>
      <c r="E2759" s="25">
        <v>0</v>
      </c>
    </row>
    <row r="2760" spans="1:5" ht="26" x14ac:dyDescent="0.3">
      <c r="A2760" s="17" t="str">
        <f>"43754"</f>
        <v>43754</v>
      </c>
      <c r="B2760" s="5" t="s">
        <v>2916</v>
      </c>
      <c r="C2760" s="17">
        <v>20110101</v>
      </c>
      <c r="D2760" s="17">
        <v>22991231</v>
      </c>
      <c r="E2760" s="25">
        <v>0</v>
      </c>
    </row>
    <row r="2761" spans="1:5" ht="52" x14ac:dyDescent="0.3">
      <c r="A2761" s="17" t="str">
        <f>"43755"</f>
        <v>43755</v>
      </c>
      <c r="B2761" s="5" t="s">
        <v>2917</v>
      </c>
      <c r="C2761" s="17">
        <v>20110101</v>
      </c>
      <c r="D2761" s="17">
        <v>22991231</v>
      </c>
      <c r="E2761" s="25">
        <v>77.400000000000006</v>
      </c>
    </row>
    <row r="2762" spans="1:5" ht="39" x14ac:dyDescent="0.3">
      <c r="A2762" s="17" t="str">
        <f>"43756"</f>
        <v>43756</v>
      </c>
      <c r="B2762" s="5" t="s">
        <v>2918</v>
      </c>
      <c r="C2762" s="17">
        <v>20110101</v>
      </c>
      <c r="D2762" s="17">
        <v>22991231</v>
      </c>
      <c r="E2762" s="25">
        <v>449.14</v>
      </c>
    </row>
    <row r="2763" spans="1:5" ht="52" x14ac:dyDescent="0.3">
      <c r="A2763" s="17" t="str">
        <f>"43757"</f>
        <v>43757</v>
      </c>
      <c r="B2763" s="5" t="s">
        <v>2919</v>
      </c>
      <c r="C2763" s="17">
        <v>20110101</v>
      </c>
      <c r="D2763" s="17">
        <v>22991231</v>
      </c>
      <c r="E2763" s="25">
        <v>449.14</v>
      </c>
    </row>
    <row r="2764" spans="1:5" ht="26" x14ac:dyDescent="0.3">
      <c r="A2764" s="17" t="str">
        <f>"43761"</f>
        <v>43761</v>
      </c>
      <c r="B2764" s="5" t="s">
        <v>2920</v>
      </c>
      <c r="C2764" s="17">
        <v>19920115</v>
      </c>
      <c r="D2764" s="17">
        <v>22991231</v>
      </c>
      <c r="E2764" s="25">
        <v>122.45</v>
      </c>
    </row>
    <row r="2765" spans="1:5" x14ac:dyDescent="0.3">
      <c r="A2765" s="17" t="str">
        <f>"43762"</f>
        <v>43762</v>
      </c>
      <c r="B2765" s="5" t="s">
        <v>2921</v>
      </c>
      <c r="C2765" s="17">
        <v>20190101</v>
      </c>
      <c r="D2765" s="17">
        <v>22991231</v>
      </c>
      <c r="E2765" s="25">
        <v>122.45</v>
      </c>
    </row>
    <row r="2766" spans="1:5" ht="26" x14ac:dyDescent="0.3">
      <c r="A2766" s="17" t="str">
        <f>"43763"</f>
        <v>43763</v>
      </c>
      <c r="B2766" s="5" t="s">
        <v>2922</v>
      </c>
      <c r="C2766" s="17">
        <v>20190101</v>
      </c>
      <c r="D2766" s="17">
        <v>22991231</v>
      </c>
      <c r="E2766" s="25">
        <v>122.45</v>
      </c>
    </row>
    <row r="2767" spans="1:5" ht="26" x14ac:dyDescent="0.3">
      <c r="A2767" s="17" t="str">
        <f>"43770"</f>
        <v>43770</v>
      </c>
      <c r="B2767" s="5" t="s">
        <v>2923</v>
      </c>
      <c r="C2767" s="17">
        <v>20060101</v>
      </c>
      <c r="D2767" s="17">
        <v>22991231</v>
      </c>
      <c r="E2767" s="24" t="s">
        <v>7128</v>
      </c>
    </row>
    <row r="2768" spans="1:5" ht="26" x14ac:dyDescent="0.3">
      <c r="A2768" s="17" t="str">
        <f>"43772"</f>
        <v>43772</v>
      </c>
      <c r="B2768" s="5" t="s">
        <v>2924</v>
      </c>
      <c r="C2768" s="17">
        <v>20060101</v>
      </c>
      <c r="D2768" s="17">
        <v>22991231</v>
      </c>
      <c r="E2768" s="24" t="s">
        <v>7128</v>
      </c>
    </row>
    <row r="2769" spans="1:5" ht="26" x14ac:dyDescent="0.3">
      <c r="A2769" s="17" t="str">
        <f>"43773"</f>
        <v>43773</v>
      </c>
      <c r="B2769" s="5" t="s">
        <v>2925</v>
      </c>
      <c r="C2769" s="17">
        <v>20060101</v>
      </c>
      <c r="D2769" s="17">
        <v>22991231</v>
      </c>
      <c r="E2769" s="24" t="s">
        <v>7128</v>
      </c>
    </row>
    <row r="2770" spans="1:5" ht="26" x14ac:dyDescent="0.3">
      <c r="A2770" s="17" t="str">
        <f>"43774"</f>
        <v>43774</v>
      </c>
      <c r="B2770" s="5" t="s">
        <v>2926</v>
      </c>
      <c r="C2770" s="17">
        <v>20060101</v>
      </c>
      <c r="D2770" s="17">
        <v>22991231</v>
      </c>
      <c r="E2770" s="25">
        <v>1718.4</v>
      </c>
    </row>
    <row r="2771" spans="1:5" x14ac:dyDescent="0.3">
      <c r="A2771" s="17" t="str">
        <f>"43830"</f>
        <v>43830</v>
      </c>
      <c r="B2771" s="5" t="s">
        <v>2927</v>
      </c>
      <c r="C2771" s="17">
        <v>19900101</v>
      </c>
      <c r="D2771" s="17">
        <v>22991231</v>
      </c>
      <c r="E2771" s="24" t="s">
        <v>7128</v>
      </c>
    </row>
    <row r="2772" spans="1:5" x14ac:dyDescent="0.3">
      <c r="A2772" s="17" t="str">
        <f>"43831"</f>
        <v>43831</v>
      </c>
      <c r="B2772" s="5" t="s">
        <v>2928</v>
      </c>
      <c r="C2772" s="17">
        <v>19900101</v>
      </c>
      <c r="D2772" s="17">
        <v>22991231</v>
      </c>
      <c r="E2772" s="24" t="s">
        <v>7128</v>
      </c>
    </row>
    <row r="2773" spans="1:5" ht="26" x14ac:dyDescent="0.3">
      <c r="A2773" s="17" t="str">
        <f>"43870"</f>
        <v>43870</v>
      </c>
      <c r="B2773" s="5" t="s">
        <v>2929</v>
      </c>
      <c r="C2773" s="17">
        <v>19900101</v>
      </c>
      <c r="D2773" s="17">
        <v>22991231</v>
      </c>
      <c r="E2773" s="25">
        <v>1718.4</v>
      </c>
    </row>
    <row r="2774" spans="1:5" ht="26" x14ac:dyDescent="0.3">
      <c r="A2774" s="17" t="str">
        <f>"43886"</f>
        <v>43886</v>
      </c>
      <c r="B2774" s="5" t="s">
        <v>2930</v>
      </c>
      <c r="C2774" s="17">
        <v>20060101</v>
      </c>
      <c r="D2774" s="17">
        <v>22991231</v>
      </c>
      <c r="E2774" s="25">
        <v>1777.55</v>
      </c>
    </row>
    <row r="2775" spans="1:5" ht="26" x14ac:dyDescent="0.3">
      <c r="A2775" s="17" t="str">
        <f>"43887"</f>
        <v>43887</v>
      </c>
      <c r="B2775" s="5" t="s">
        <v>2931</v>
      </c>
      <c r="C2775" s="17">
        <v>20230101</v>
      </c>
      <c r="D2775" s="17">
        <v>22991231</v>
      </c>
      <c r="E2775" s="25">
        <v>903.54</v>
      </c>
    </row>
    <row r="2776" spans="1:5" ht="26" x14ac:dyDescent="0.3">
      <c r="A2776" s="17" t="str">
        <f>"43888"</f>
        <v>43888</v>
      </c>
      <c r="B2776" s="5" t="s">
        <v>2932</v>
      </c>
      <c r="C2776" s="17">
        <v>20060101</v>
      </c>
      <c r="D2776" s="17">
        <v>22991231</v>
      </c>
      <c r="E2776" s="25">
        <v>1777.55</v>
      </c>
    </row>
    <row r="2777" spans="1:5" ht="26" x14ac:dyDescent="0.3">
      <c r="A2777" s="17" t="str">
        <f>"44100"</f>
        <v>44100</v>
      </c>
      <c r="B2777" s="5" t="s">
        <v>2933</v>
      </c>
      <c r="C2777" s="17">
        <v>19900101</v>
      </c>
      <c r="D2777" s="17">
        <v>22991231</v>
      </c>
      <c r="E2777" s="25">
        <v>449.14</v>
      </c>
    </row>
    <row r="2778" spans="1:5" ht="26" x14ac:dyDescent="0.3">
      <c r="A2778" s="17" t="str">
        <f>"44145"</f>
        <v>44145</v>
      </c>
      <c r="B2778" s="5" t="s">
        <v>2934</v>
      </c>
      <c r="C2778" s="17">
        <v>19900101</v>
      </c>
      <c r="D2778" s="17">
        <v>22991231</v>
      </c>
      <c r="E2778" s="24" t="s">
        <v>7128</v>
      </c>
    </row>
    <row r="2779" spans="1:5" ht="26" x14ac:dyDescent="0.3">
      <c r="A2779" s="17" t="str">
        <f>"44180"</f>
        <v>44180</v>
      </c>
      <c r="B2779" s="5" t="s">
        <v>2935</v>
      </c>
      <c r="C2779" s="17">
        <v>20060101</v>
      </c>
      <c r="D2779" s="17">
        <v>22991231</v>
      </c>
      <c r="E2779" s="24" t="s">
        <v>7128</v>
      </c>
    </row>
    <row r="2780" spans="1:5" ht="39" x14ac:dyDescent="0.3">
      <c r="A2780" s="17" t="str">
        <f>"44186"</f>
        <v>44186</v>
      </c>
      <c r="B2780" s="5" t="s">
        <v>2936</v>
      </c>
      <c r="C2780" s="17">
        <v>20060101</v>
      </c>
      <c r="D2780" s="17">
        <v>22991231</v>
      </c>
      <c r="E2780" s="24" t="s">
        <v>7128</v>
      </c>
    </row>
    <row r="2781" spans="1:5" x14ac:dyDescent="0.3">
      <c r="A2781" s="17" t="str">
        <f>"44310"</f>
        <v>44310</v>
      </c>
      <c r="B2781" s="5" t="s">
        <v>2937</v>
      </c>
      <c r="C2781" s="17">
        <v>19900101</v>
      </c>
      <c r="D2781" s="17">
        <v>22991231</v>
      </c>
      <c r="E2781" s="24" t="s">
        <v>7128</v>
      </c>
    </row>
    <row r="2782" spans="1:5" ht="26" x14ac:dyDescent="0.3">
      <c r="A2782" s="17" t="str">
        <f>"44312"</f>
        <v>44312</v>
      </c>
      <c r="B2782" s="5" t="s">
        <v>2938</v>
      </c>
      <c r="C2782" s="17">
        <v>19900101</v>
      </c>
      <c r="D2782" s="17">
        <v>22991231</v>
      </c>
      <c r="E2782" s="25">
        <v>1777.55</v>
      </c>
    </row>
    <row r="2783" spans="1:5" ht="26" x14ac:dyDescent="0.3">
      <c r="A2783" s="17" t="str">
        <f>"44340"</f>
        <v>44340</v>
      </c>
      <c r="B2783" s="5" t="s">
        <v>2939</v>
      </c>
      <c r="C2783" s="17">
        <v>19900101</v>
      </c>
      <c r="D2783" s="17">
        <v>22991231</v>
      </c>
      <c r="E2783" s="25">
        <v>1777.55</v>
      </c>
    </row>
    <row r="2784" spans="1:5" ht="26" x14ac:dyDescent="0.3">
      <c r="A2784" s="17" t="str">
        <f>"44360"</f>
        <v>44360</v>
      </c>
      <c r="B2784" s="5" t="s">
        <v>2940</v>
      </c>
      <c r="C2784" s="17">
        <v>19900101</v>
      </c>
      <c r="D2784" s="17">
        <v>22991231</v>
      </c>
      <c r="E2784" s="25">
        <v>794.51</v>
      </c>
    </row>
    <row r="2785" spans="1:5" ht="26" x14ac:dyDescent="0.3">
      <c r="A2785" s="17" t="str">
        <f>"44361"</f>
        <v>44361</v>
      </c>
      <c r="B2785" s="5" t="s">
        <v>2941</v>
      </c>
      <c r="C2785" s="17">
        <v>19900101</v>
      </c>
      <c r="D2785" s="17">
        <v>22991231</v>
      </c>
      <c r="E2785" s="25">
        <v>794.51</v>
      </c>
    </row>
    <row r="2786" spans="1:5" ht="26" x14ac:dyDescent="0.3">
      <c r="A2786" s="17" t="str">
        <f>"44363"</f>
        <v>44363</v>
      </c>
      <c r="B2786" s="5" t="s">
        <v>2942</v>
      </c>
      <c r="C2786" s="17">
        <v>19900101</v>
      </c>
      <c r="D2786" s="17">
        <v>22991231</v>
      </c>
      <c r="E2786" s="25">
        <v>794.51</v>
      </c>
    </row>
    <row r="2787" spans="1:5" ht="26" x14ac:dyDescent="0.3">
      <c r="A2787" s="17" t="str">
        <f>"44364"</f>
        <v>44364</v>
      </c>
      <c r="B2787" s="5" t="s">
        <v>2943</v>
      </c>
      <c r="C2787" s="17">
        <v>19900101</v>
      </c>
      <c r="D2787" s="17">
        <v>22991231</v>
      </c>
      <c r="E2787" s="25">
        <v>794.51</v>
      </c>
    </row>
    <row r="2788" spans="1:5" ht="26" x14ac:dyDescent="0.3">
      <c r="A2788" s="17" t="str">
        <f>"44365"</f>
        <v>44365</v>
      </c>
      <c r="B2788" s="5" t="s">
        <v>2944</v>
      </c>
      <c r="C2788" s="17">
        <v>19940101</v>
      </c>
      <c r="D2788" s="17">
        <v>22991231</v>
      </c>
      <c r="E2788" s="25">
        <v>794.51</v>
      </c>
    </row>
    <row r="2789" spans="1:5" ht="26" x14ac:dyDescent="0.3">
      <c r="A2789" s="17" t="str">
        <f>"44366"</f>
        <v>44366</v>
      </c>
      <c r="B2789" s="5" t="s">
        <v>2945</v>
      </c>
      <c r="C2789" s="17">
        <v>19900101</v>
      </c>
      <c r="D2789" s="17">
        <v>22991231</v>
      </c>
      <c r="E2789" s="25">
        <v>794.51</v>
      </c>
    </row>
    <row r="2790" spans="1:5" ht="26" x14ac:dyDescent="0.3">
      <c r="A2790" s="17" t="str">
        <f>"44369"</f>
        <v>44369</v>
      </c>
      <c r="B2790" s="5" t="s">
        <v>2946</v>
      </c>
      <c r="C2790" s="17">
        <v>19900101</v>
      </c>
      <c r="D2790" s="17">
        <v>22991231</v>
      </c>
      <c r="E2790" s="25">
        <v>794.51</v>
      </c>
    </row>
    <row r="2791" spans="1:5" ht="26" x14ac:dyDescent="0.3">
      <c r="A2791" s="17" t="str">
        <f>"44370"</f>
        <v>44370</v>
      </c>
      <c r="B2791" s="5" t="s">
        <v>2947</v>
      </c>
      <c r="C2791" s="17">
        <v>20010101</v>
      </c>
      <c r="D2791" s="17">
        <v>22991231</v>
      </c>
      <c r="E2791" s="25">
        <v>4139.9799999999996</v>
      </c>
    </row>
    <row r="2792" spans="1:5" ht="26" x14ac:dyDescent="0.3">
      <c r="A2792" s="17" t="str">
        <f>"44372"</f>
        <v>44372</v>
      </c>
      <c r="B2792" s="5" t="s">
        <v>2948</v>
      </c>
      <c r="C2792" s="17">
        <v>19900101</v>
      </c>
      <c r="D2792" s="17">
        <v>22991231</v>
      </c>
      <c r="E2792" s="25">
        <v>794.51</v>
      </c>
    </row>
    <row r="2793" spans="1:5" ht="26" x14ac:dyDescent="0.3">
      <c r="A2793" s="17" t="str">
        <f>"44373"</f>
        <v>44373</v>
      </c>
      <c r="B2793" s="5" t="s">
        <v>2949</v>
      </c>
      <c r="C2793" s="17">
        <v>19900101</v>
      </c>
      <c r="D2793" s="17">
        <v>22991231</v>
      </c>
      <c r="E2793" s="25">
        <v>794.51</v>
      </c>
    </row>
    <row r="2794" spans="1:5" ht="26" x14ac:dyDescent="0.3">
      <c r="A2794" s="17" t="str">
        <f>"44376"</f>
        <v>44376</v>
      </c>
      <c r="B2794" s="5" t="s">
        <v>2950</v>
      </c>
      <c r="C2794" s="17">
        <v>19940101</v>
      </c>
      <c r="D2794" s="17">
        <v>22991231</v>
      </c>
      <c r="E2794" s="25">
        <v>794.51</v>
      </c>
    </row>
    <row r="2795" spans="1:5" x14ac:dyDescent="0.3">
      <c r="A2795" s="17" t="str">
        <f>"44377"</f>
        <v>44377</v>
      </c>
      <c r="B2795" s="5" t="s">
        <v>2951</v>
      </c>
      <c r="C2795" s="17">
        <v>19940101</v>
      </c>
      <c r="D2795" s="17">
        <v>22991231</v>
      </c>
      <c r="E2795" s="25">
        <v>794.51</v>
      </c>
    </row>
    <row r="2796" spans="1:5" ht="26" x14ac:dyDescent="0.3">
      <c r="A2796" s="17" t="str">
        <f>"44378"</f>
        <v>44378</v>
      </c>
      <c r="B2796" s="5" t="s">
        <v>2952</v>
      </c>
      <c r="C2796" s="17">
        <v>19940101</v>
      </c>
      <c r="D2796" s="17">
        <v>22991231</v>
      </c>
      <c r="E2796" s="25">
        <v>794.51</v>
      </c>
    </row>
    <row r="2797" spans="1:5" ht="26" x14ac:dyDescent="0.3">
      <c r="A2797" s="17" t="str">
        <f>"44379"</f>
        <v>44379</v>
      </c>
      <c r="B2797" s="5" t="s">
        <v>2953</v>
      </c>
      <c r="C2797" s="17">
        <v>20010101</v>
      </c>
      <c r="D2797" s="17">
        <v>22991231</v>
      </c>
      <c r="E2797" s="25">
        <v>2459.81</v>
      </c>
    </row>
    <row r="2798" spans="1:5" ht="39" x14ac:dyDescent="0.3">
      <c r="A2798" s="17" t="str">
        <f>"44380"</f>
        <v>44380</v>
      </c>
      <c r="B2798" s="5" t="s">
        <v>2954</v>
      </c>
      <c r="C2798" s="17">
        <v>19900101</v>
      </c>
      <c r="D2798" s="17">
        <v>22991231</v>
      </c>
      <c r="E2798" s="25">
        <v>449.14</v>
      </c>
    </row>
    <row r="2799" spans="1:5" ht="26" x14ac:dyDescent="0.3">
      <c r="A2799" s="17" t="str">
        <f>"44381"</f>
        <v>44381</v>
      </c>
      <c r="B2799" s="5" t="s">
        <v>2955</v>
      </c>
      <c r="C2799" s="17">
        <v>20230101</v>
      </c>
      <c r="D2799" s="17">
        <v>22991231</v>
      </c>
      <c r="E2799" s="25">
        <v>794.51</v>
      </c>
    </row>
    <row r="2800" spans="1:5" ht="39" x14ac:dyDescent="0.3">
      <c r="A2800" s="17" t="str">
        <f>"44382"</f>
        <v>44382</v>
      </c>
      <c r="B2800" s="5" t="s">
        <v>2956</v>
      </c>
      <c r="C2800" s="17">
        <v>19900101</v>
      </c>
      <c r="D2800" s="17">
        <v>22991231</v>
      </c>
      <c r="E2800" s="25">
        <v>449.14</v>
      </c>
    </row>
    <row r="2801" spans="1:5" ht="39" x14ac:dyDescent="0.3">
      <c r="A2801" s="17" t="str">
        <f>"44384"</f>
        <v>44384</v>
      </c>
      <c r="B2801" s="5" t="s">
        <v>2957</v>
      </c>
      <c r="C2801" s="17">
        <v>20230101</v>
      </c>
      <c r="D2801" s="17">
        <v>22991231</v>
      </c>
      <c r="E2801" s="25">
        <v>1041.76</v>
      </c>
    </row>
    <row r="2802" spans="1:5" ht="26" x14ac:dyDescent="0.3">
      <c r="A2802" s="17" t="str">
        <f>"44385"</f>
        <v>44385</v>
      </c>
      <c r="B2802" s="5" t="s">
        <v>2958</v>
      </c>
      <c r="C2802" s="17">
        <v>19900101</v>
      </c>
      <c r="D2802" s="17">
        <v>22991231</v>
      </c>
      <c r="E2802" s="25">
        <v>452.84</v>
      </c>
    </row>
    <row r="2803" spans="1:5" ht="26" x14ac:dyDescent="0.3">
      <c r="A2803" s="17" t="str">
        <f>"44386"</f>
        <v>44386</v>
      </c>
      <c r="B2803" s="5" t="s">
        <v>2959</v>
      </c>
      <c r="C2803" s="17">
        <v>19900101</v>
      </c>
      <c r="D2803" s="17">
        <v>22991231</v>
      </c>
      <c r="E2803" s="25">
        <v>452.84</v>
      </c>
    </row>
    <row r="2804" spans="1:5" ht="39" x14ac:dyDescent="0.3">
      <c r="A2804" s="17" t="str">
        <f>"44388"</f>
        <v>44388</v>
      </c>
      <c r="B2804" s="5" t="s">
        <v>2960</v>
      </c>
      <c r="C2804" s="17">
        <v>19900101</v>
      </c>
      <c r="D2804" s="17">
        <v>22991231</v>
      </c>
      <c r="E2804" s="25">
        <v>452.84</v>
      </c>
    </row>
    <row r="2805" spans="1:5" ht="39" x14ac:dyDescent="0.3">
      <c r="A2805" s="17" t="str">
        <f>"44389"</f>
        <v>44389</v>
      </c>
      <c r="B2805" s="5" t="s">
        <v>2961</v>
      </c>
      <c r="C2805" s="17">
        <v>19900101</v>
      </c>
      <c r="D2805" s="17">
        <v>22991231</v>
      </c>
      <c r="E2805" s="25">
        <v>584.69000000000005</v>
      </c>
    </row>
    <row r="2806" spans="1:5" ht="39" x14ac:dyDescent="0.3">
      <c r="A2806" s="17" t="str">
        <f>"44390"</f>
        <v>44390</v>
      </c>
      <c r="B2806" s="5" t="s">
        <v>2962</v>
      </c>
      <c r="C2806" s="17">
        <v>19900101</v>
      </c>
      <c r="D2806" s="17">
        <v>22991231</v>
      </c>
      <c r="E2806" s="25">
        <v>452.84</v>
      </c>
    </row>
    <row r="2807" spans="1:5" ht="39" x14ac:dyDescent="0.3">
      <c r="A2807" s="17" t="str">
        <f>"44391"</f>
        <v>44391</v>
      </c>
      <c r="B2807" s="5" t="s">
        <v>2963</v>
      </c>
      <c r="C2807" s="17">
        <v>19900101</v>
      </c>
      <c r="D2807" s="17">
        <v>22991231</v>
      </c>
      <c r="E2807" s="25">
        <v>584.69000000000005</v>
      </c>
    </row>
    <row r="2808" spans="1:5" ht="52" x14ac:dyDescent="0.3">
      <c r="A2808" s="17" t="str">
        <f>"44392"</f>
        <v>44392</v>
      </c>
      <c r="B2808" s="5" t="s">
        <v>2964</v>
      </c>
      <c r="C2808" s="17">
        <v>19900101</v>
      </c>
      <c r="D2808" s="17">
        <v>22991231</v>
      </c>
      <c r="E2808" s="25">
        <v>584.69000000000005</v>
      </c>
    </row>
    <row r="2809" spans="1:5" ht="52" x14ac:dyDescent="0.3">
      <c r="A2809" s="17" t="str">
        <f>"44394"</f>
        <v>44394</v>
      </c>
      <c r="B2809" s="5" t="s">
        <v>2965</v>
      </c>
      <c r="C2809" s="17">
        <v>19940101</v>
      </c>
      <c r="D2809" s="17">
        <v>22991231</v>
      </c>
      <c r="E2809" s="25">
        <v>584.69000000000005</v>
      </c>
    </row>
    <row r="2810" spans="1:5" ht="39" x14ac:dyDescent="0.3">
      <c r="A2810" s="17" t="str">
        <f>"44401"</f>
        <v>44401</v>
      </c>
      <c r="B2810" s="5" t="s">
        <v>2966</v>
      </c>
      <c r="C2810" s="17">
        <v>20230101</v>
      </c>
      <c r="D2810" s="17">
        <v>22991231</v>
      </c>
      <c r="E2810" s="25">
        <v>584.69000000000005</v>
      </c>
    </row>
    <row r="2811" spans="1:5" ht="39" x14ac:dyDescent="0.3">
      <c r="A2811" s="17" t="str">
        <f>"44402"</f>
        <v>44402</v>
      </c>
      <c r="B2811" s="5" t="s">
        <v>2967</v>
      </c>
      <c r="C2811" s="17">
        <v>20230101</v>
      </c>
      <c r="D2811" s="17">
        <v>22991231</v>
      </c>
      <c r="E2811" s="25">
        <v>3097.88</v>
      </c>
    </row>
    <row r="2812" spans="1:5" ht="39" x14ac:dyDescent="0.3">
      <c r="A2812" s="17" t="str">
        <f>"44403"</f>
        <v>44403</v>
      </c>
      <c r="B2812" s="5" t="s">
        <v>2968</v>
      </c>
      <c r="C2812" s="17">
        <v>20230101</v>
      </c>
      <c r="D2812" s="17">
        <v>22991231</v>
      </c>
      <c r="E2812" s="25">
        <v>584.69000000000005</v>
      </c>
    </row>
    <row r="2813" spans="1:5" ht="39" x14ac:dyDescent="0.3">
      <c r="A2813" s="17" t="str">
        <f>"44404"</f>
        <v>44404</v>
      </c>
      <c r="B2813" s="5" t="s">
        <v>2969</v>
      </c>
      <c r="C2813" s="17">
        <v>20230101</v>
      </c>
      <c r="D2813" s="17">
        <v>22991231</v>
      </c>
      <c r="E2813" s="25">
        <v>584.69000000000005</v>
      </c>
    </row>
    <row r="2814" spans="1:5" ht="26" x14ac:dyDescent="0.3">
      <c r="A2814" s="17" t="str">
        <f>"44405"</f>
        <v>44405</v>
      </c>
      <c r="B2814" s="5" t="s">
        <v>2970</v>
      </c>
      <c r="C2814" s="17">
        <v>20230101</v>
      </c>
      <c r="D2814" s="17">
        <v>22991231</v>
      </c>
      <c r="E2814" s="25">
        <v>584.69000000000005</v>
      </c>
    </row>
    <row r="2815" spans="1:5" ht="39" x14ac:dyDescent="0.3">
      <c r="A2815" s="17" t="str">
        <f>"44406"</f>
        <v>44406</v>
      </c>
      <c r="B2815" s="5" t="s">
        <v>2971</v>
      </c>
      <c r="C2815" s="17">
        <v>20230101</v>
      </c>
      <c r="D2815" s="17">
        <v>22991231</v>
      </c>
      <c r="E2815" s="25">
        <v>584.69000000000005</v>
      </c>
    </row>
    <row r="2816" spans="1:5" ht="52" x14ac:dyDescent="0.3">
      <c r="A2816" s="17" t="str">
        <f>"44407"</f>
        <v>44407</v>
      </c>
      <c r="B2816" s="5" t="s">
        <v>2972</v>
      </c>
      <c r="C2816" s="17">
        <v>20230101</v>
      </c>
      <c r="D2816" s="17">
        <v>22991231</v>
      </c>
      <c r="E2816" s="25">
        <v>584.69000000000005</v>
      </c>
    </row>
    <row r="2817" spans="1:5" ht="39" x14ac:dyDescent="0.3">
      <c r="A2817" s="17" t="str">
        <f>"44408"</f>
        <v>44408</v>
      </c>
      <c r="B2817" s="5" t="s">
        <v>2973</v>
      </c>
      <c r="C2817" s="17">
        <v>20230101</v>
      </c>
      <c r="D2817" s="17">
        <v>22991231</v>
      </c>
      <c r="E2817" s="25">
        <v>452.84</v>
      </c>
    </row>
    <row r="2818" spans="1:5" ht="26" x14ac:dyDescent="0.3">
      <c r="A2818" s="17" t="str">
        <f>"44500"</f>
        <v>44500</v>
      </c>
      <c r="B2818" s="5" t="s">
        <v>2974</v>
      </c>
      <c r="C2818" s="17">
        <v>19900101</v>
      </c>
      <c r="D2818" s="17">
        <v>22991231</v>
      </c>
      <c r="E2818" s="25">
        <v>449.14</v>
      </c>
    </row>
    <row r="2819" spans="1:5" x14ac:dyDescent="0.3">
      <c r="A2819" s="17" t="str">
        <f>"44602"</f>
        <v>44602</v>
      </c>
      <c r="B2819" s="5" t="s">
        <v>2975</v>
      </c>
      <c r="C2819" s="17">
        <v>19900101</v>
      </c>
      <c r="D2819" s="17">
        <v>22991231</v>
      </c>
      <c r="E2819" s="24" t="s">
        <v>7128</v>
      </c>
    </row>
    <row r="2820" spans="1:5" x14ac:dyDescent="0.3">
      <c r="A2820" s="17" t="str">
        <f>"44701"</f>
        <v>44701</v>
      </c>
      <c r="B2820" s="5" t="s">
        <v>2976</v>
      </c>
      <c r="C2820" s="17">
        <v>20230101</v>
      </c>
      <c r="D2820" s="17">
        <v>22991231</v>
      </c>
      <c r="E2820" s="25">
        <v>0</v>
      </c>
    </row>
    <row r="2821" spans="1:5" x14ac:dyDescent="0.3">
      <c r="A2821" s="17" t="str">
        <f>"44950"</f>
        <v>44950</v>
      </c>
      <c r="B2821" s="5" t="s">
        <v>2977</v>
      </c>
      <c r="C2821" s="17">
        <v>19900101</v>
      </c>
      <c r="D2821" s="17">
        <v>22991231</v>
      </c>
      <c r="E2821" s="24" t="s">
        <v>7128</v>
      </c>
    </row>
    <row r="2822" spans="1:5" ht="26" x14ac:dyDescent="0.3">
      <c r="A2822" s="17" t="str">
        <f>"44955"</f>
        <v>44955</v>
      </c>
      <c r="B2822" s="5" t="s">
        <v>2978</v>
      </c>
      <c r="C2822" s="17">
        <v>19900101</v>
      </c>
      <c r="D2822" s="17">
        <v>22991231</v>
      </c>
      <c r="E2822" s="24" t="s">
        <v>7128</v>
      </c>
    </row>
    <row r="2823" spans="1:5" x14ac:dyDescent="0.3">
      <c r="A2823" s="17" t="str">
        <f>"44970"</f>
        <v>44970</v>
      </c>
      <c r="B2823" s="5" t="s">
        <v>2979</v>
      </c>
      <c r="C2823" s="17">
        <v>19900101</v>
      </c>
      <c r="D2823" s="17">
        <v>22991231</v>
      </c>
      <c r="E2823" s="24" t="s">
        <v>7128</v>
      </c>
    </row>
    <row r="2824" spans="1:5" x14ac:dyDescent="0.3">
      <c r="A2824" s="17" t="str">
        <f>"45000"</f>
        <v>45000</v>
      </c>
      <c r="B2824" s="5" t="s">
        <v>2980</v>
      </c>
      <c r="C2824" s="17">
        <v>19900101</v>
      </c>
      <c r="D2824" s="17">
        <v>22991231</v>
      </c>
      <c r="E2824" s="25">
        <v>584.69000000000005</v>
      </c>
    </row>
    <row r="2825" spans="1:5" x14ac:dyDescent="0.3">
      <c r="A2825" s="17" t="str">
        <f>"45005"</f>
        <v>45005</v>
      </c>
      <c r="B2825" s="5" t="s">
        <v>2981</v>
      </c>
      <c r="C2825" s="17">
        <v>19900101</v>
      </c>
      <c r="D2825" s="17">
        <v>22991231</v>
      </c>
      <c r="E2825" s="25">
        <v>584.69000000000005</v>
      </c>
    </row>
    <row r="2826" spans="1:5" ht="26" x14ac:dyDescent="0.3">
      <c r="A2826" s="17" t="str">
        <f>"45020"</f>
        <v>45020</v>
      </c>
      <c r="B2826" s="5" t="s">
        <v>2982</v>
      </c>
      <c r="C2826" s="17">
        <v>19900101</v>
      </c>
      <c r="D2826" s="17">
        <v>22991231</v>
      </c>
      <c r="E2826" s="25">
        <v>1288.55</v>
      </c>
    </row>
    <row r="2827" spans="1:5" x14ac:dyDescent="0.3">
      <c r="A2827" s="17" t="str">
        <f>"45100"</f>
        <v>45100</v>
      </c>
      <c r="B2827" s="5" t="s">
        <v>2983</v>
      </c>
      <c r="C2827" s="17">
        <v>19900101</v>
      </c>
      <c r="D2827" s="17">
        <v>22991231</v>
      </c>
      <c r="E2827" s="25">
        <v>1288.55</v>
      </c>
    </row>
    <row r="2828" spans="1:5" x14ac:dyDescent="0.3">
      <c r="A2828" s="17" t="str">
        <f>"45108"</f>
        <v>45108</v>
      </c>
      <c r="B2828" s="5" t="s">
        <v>2984</v>
      </c>
      <c r="C2828" s="17">
        <v>19900101</v>
      </c>
      <c r="D2828" s="17">
        <v>22991231</v>
      </c>
      <c r="E2828" s="25">
        <v>1288.55</v>
      </c>
    </row>
    <row r="2829" spans="1:5" x14ac:dyDescent="0.3">
      <c r="A2829" s="17" t="str">
        <f>"45150"</f>
        <v>45150</v>
      </c>
      <c r="B2829" s="5" t="s">
        <v>2985</v>
      </c>
      <c r="C2829" s="17">
        <v>19900101</v>
      </c>
      <c r="D2829" s="17">
        <v>22991231</v>
      </c>
      <c r="E2829" s="25">
        <v>584.69000000000005</v>
      </c>
    </row>
    <row r="2830" spans="1:5" x14ac:dyDescent="0.3">
      <c r="A2830" s="17" t="str">
        <f>"45160"</f>
        <v>45160</v>
      </c>
      <c r="B2830" s="5" t="s">
        <v>2986</v>
      </c>
      <c r="C2830" s="17">
        <v>19900101</v>
      </c>
      <c r="D2830" s="17">
        <v>22991231</v>
      </c>
      <c r="E2830" s="25">
        <v>1288.55</v>
      </c>
    </row>
    <row r="2831" spans="1:5" x14ac:dyDescent="0.3">
      <c r="A2831" s="17" t="str">
        <f>"45171"</f>
        <v>45171</v>
      </c>
      <c r="B2831" s="5" t="s">
        <v>2987</v>
      </c>
      <c r="C2831" s="17">
        <v>20100101</v>
      </c>
      <c r="D2831" s="17">
        <v>22991231</v>
      </c>
      <c r="E2831" s="25">
        <v>1288.55</v>
      </c>
    </row>
    <row r="2832" spans="1:5" ht="26" x14ac:dyDescent="0.3">
      <c r="A2832" s="17" t="str">
        <f>"45172"</f>
        <v>45172</v>
      </c>
      <c r="B2832" s="5" t="s">
        <v>2988</v>
      </c>
      <c r="C2832" s="17">
        <v>20100101</v>
      </c>
      <c r="D2832" s="17">
        <v>22991231</v>
      </c>
      <c r="E2832" s="25">
        <v>1288.55</v>
      </c>
    </row>
    <row r="2833" spans="1:5" x14ac:dyDescent="0.3">
      <c r="A2833" s="17" t="str">
        <f>"45190"</f>
        <v>45190</v>
      </c>
      <c r="B2833" s="5" t="s">
        <v>2989</v>
      </c>
      <c r="C2833" s="17">
        <v>19900101</v>
      </c>
      <c r="D2833" s="17">
        <v>22991231</v>
      </c>
      <c r="E2833" s="25">
        <v>1288.55</v>
      </c>
    </row>
    <row r="2834" spans="1:5" ht="26" x14ac:dyDescent="0.3">
      <c r="A2834" s="17" t="str">
        <f>"45300"</f>
        <v>45300</v>
      </c>
      <c r="B2834" s="5" t="s">
        <v>2990</v>
      </c>
      <c r="C2834" s="17">
        <v>19900101</v>
      </c>
      <c r="D2834" s="17">
        <v>22991231</v>
      </c>
      <c r="E2834" s="25">
        <v>91.32</v>
      </c>
    </row>
    <row r="2835" spans="1:5" ht="26" x14ac:dyDescent="0.3">
      <c r="A2835" s="17" t="str">
        <f>"45303"</f>
        <v>45303</v>
      </c>
      <c r="B2835" s="5" t="s">
        <v>2991</v>
      </c>
      <c r="C2835" s="17">
        <v>19900101</v>
      </c>
      <c r="D2835" s="17">
        <v>22991231</v>
      </c>
      <c r="E2835" s="25">
        <v>584.69000000000005</v>
      </c>
    </row>
    <row r="2836" spans="1:5" ht="26" x14ac:dyDescent="0.3">
      <c r="A2836" s="17" t="str">
        <f>"45305"</f>
        <v>45305</v>
      </c>
      <c r="B2836" s="5" t="s">
        <v>2992</v>
      </c>
      <c r="C2836" s="17">
        <v>19900101</v>
      </c>
      <c r="D2836" s="17">
        <v>22991231</v>
      </c>
      <c r="E2836" s="25">
        <v>584.69000000000005</v>
      </c>
    </row>
    <row r="2837" spans="1:5" ht="26" x14ac:dyDescent="0.3">
      <c r="A2837" s="17" t="str">
        <f>"45307"</f>
        <v>45307</v>
      </c>
      <c r="B2837" s="5" t="s">
        <v>2993</v>
      </c>
      <c r="C2837" s="17">
        <v>19900101</v>
      </c>
      <c r="D2837" s="17">
        <v>22991231</v>
      </c>
      <c r="E2837" s="25">
        <v>1288.55</v>
      </c>
    </row>
    <row r="2838" spans="1:5" ht="26" x14ac:dyDescent="0.3">
      <c r="A2838" s="17" t="str">
        <f>"45308"</f>
        <v>45308</v>
      </c>
      <c r="B2838" s="5" t="s">
        <v>2994</v>
      </c>
      <c r="C2838" s="17">
        <v>19940101</v>
      </c>
      <c r="D2838" s="17">
        <v>22991231</v>
      </c>
      <c r="E2838" s="25">
        <v>1288.55</v>
      </c>
    </row>
    <row r="2839" spans="1:5" ht="26" x14ac:dyDescent="0.3">
      <c r="A2839" s="17" t="str">
        <f>"45309"</f>
        <v>45309</v>
      </c>
      <c r="B2839" s="5" t="s">
        <v>2995</v>
      </c>
      <c r="C2839" s="17">
        <v>19940101</v>
      </c>
      <c r="D2839" s="17">
        <v>22991231</v>
      </c>
      <c r="E2839" s="25">
        <v>584.69000000000005</v>
      </c>
    </row>
    <row r="2840" spans="1:5" ht="39" x14ac:dyDescent="0.3">
      <c r="A2840" s="17" t="str">
        <f>"45315"</f>
        <v>45315</v>
      </c>
      <c r="B2840" s="5" t="s">
        <v>2996</v>
      </c>
      <c r="C2840" s="17">
        <v>19900101</v>
      </c>
      <c r="D2840" s="17">
        <v>22991231</v>
      </c>
      <c r="E2840" s="25">
        <v>584.69000000000005</v>
      </c>
    </row>
    <row r="2841" spans="1:5" ht="26" x14ac:dyDescent="0.3">
      <c r="A2841" s="17" t="str">
        <f>"45317"</f>
        <v>45317</v>
      </c>
      <c r="B2841" s="5" t="s">
        <v>2997</v>
      </c>
      <c r="C2841" s="17">
        <v>19900101</v>
      </c>
      <c r="D2841" s="17">
        <v>22991231</v>
      </c>
      <c r="E2841" s="25">
        <v>584.69000000000005</v>
      </c>
    </row>
    <row r="2842" spans="1:5" ht="26" x14ac:dyDescent="0.3">
      <c r="A2842" s="17" t="str">
        <f>"45320"</f>
        <v>45320</v>
      </c>
      <c r="B2842" s="5" t="s">
        <v>2998</v>
      </c>
      <c r="C2842" s="17">
        <v>19900101</v>
      </c>
      <c r="D2842" s="17">
        <v>22991231</v>
      </c>
      <c r="E2842" s="25">
        <v>1288.55</v>
      </c>
    </row>
    <row r="2843" spans="1:5" ht="26" x14ac:dyDescent="0.3">
      <c r="A2843" s="17" t="str">
        <f>"45321"</f>
        <v>45321</v>
      </c>
      <c r="B2843" s="5" t="s">
        <v>2999</v>
      </c>
      <c r="C2843" s="17">
        <v>19900101</v>
      </c>
      <c r="D2843" s="17">
        <v>22991231</v>
      </c>
      <c r="E2843" s="25">
        <v>1288.55</v>
      </c>
    </row>
    <row r="2844" spans="1:5" ht="26" x14ac:dyDescent="0.3">
      <c r="A2844" s="17" t="str">
        <f>"45327"</f>
        <v>45327</v>
      </c>
      <c r="B2844" s="5" t="s">
        <v>3000</v>
      </c>
      <c r="C2844" s="17">
        <v>20010101</v>
      </c>
      <c r="D2844" s="17">
        <v>22991231</v>
      </c>
      <c r="E2844" s="25">
        <v>3817.25</v>
      </c>
    </row>
    <row r="2845" spans="1:5" ht="26" x14ac:dyDescent="0.3">
      <c r="A2845" s="17" t="str">
        <f>"45330"</f>
        <v>45330</v>
      </c>
      <c r="B2845" s="5" t="s">
        <v>3001</v>
      </c>
      <c r="C2845" s="17">
        <v>19900101</v>
      </c>
      <c r="D2845" s="17">
        <v>22991231</v>
      </c>
      <c r="E2845" s="25">
        <v>144.81</v>
      </c>
    </row>
    <row r="2846" spans="1:5" ht="26" x14ac:dyDescent="0.3">
      <c r="A2846" s="17" t="str">
        <f>"45331"</f>
        <v>45331</v>
      </c>
      <c r="B2846" s="5" t="s">
        <v>3002</v>
      </c>
      <c r="C2846" s="17">
        <v>19900101</v>
      </c>
      <c r="D2846" s="17">
        <v>22991231</v>
      </c>
      <c r="E2846" s="25">
        <v>452.84</v>
      </c>
    </row>
    <row r="2847" spans="1:5" ht="26" x14ac:dyDescent="0.3">
      <c r="A2847" s="17" t="str">
        <f>"45332"</f>
        <v>45332</v>
      </c>
      <c r="B2847" s="5" t="s">
        <v>3003</v>
      </c>
      <c r="C2847" s="17">
        <v>19900101</v>
      </c>
      <c r="D2847" s="17">
        <v>22991231</v>
      </c>
      <c r="E2847" s="25">
        <v>584.69000000000005</v>
      </c>
    </row>
    <row r="2848" spans="1:5" ht="39" x14ac:dyDescent="0.3">
      <c r="A2848" s="17" t="str">
        <f>"45333"</f>
        <v>45333</v>
      </c>
      <c r="B2848" s="5" t="s">
        <v>3004</v>
      </c>
      <c r="C2848" s="17">
        <v>19900101</v>
      </c>
      <c r="D2848" s="17">
        <v>22991231</v>
      </c>
      <c r="E2848" s="25">
        <v>452.84</v>
      </c>
    </row>
    <row r="2849" spans="1:5" ht="26" x14ac:dyDescent="0.3">
      <c r="A2849" s="17" t="str">
        <f>"45334"</f>
        <v>45334</v>
      </c>
      <c r="B2849" s="5" t="s">
        <v>3005</v>
      </c>
      <c r="C2849" s="17">
        <v>19900101</v>
      </c>
      <c r="D2849" s="17">
        <v>22991231</v>
      </c>
      <c r="E2849" s="25">
        <v>584.69000000000005</v>
      </c>
    </row>
    <row r="2850" spans="1:5" ht="26" x14ac:dyDescent="0.3">
      <c r="A2850" s="17" t="str">
        <f>"45335"</f>
        <v>45335</v>
      </c>
      <c r="B2850" s="5" t="s">
        <v>3006</v>
      </c>
      <c r="C2850" s="17">
        <v>20230101</v>
      </c>
      <c r="D2850" s="17">
        <v>22991231</v>
      </c>
      <c r="E2850" s="25">
        <v>452.84</v>
      </c>
    </row>
    <row r="2851" spans="1:5" ht="26" x14ac:dyDescent="0.3">
      <c r="A2851" s="17" t="str">
        <f>"45337"</f>
        <v>45337</v>
      </c>
      <c r="B2851" s="5" t="s">
        <v>3007</v>
      </c>
      <c r="C2851" s="17">
        <v>19900101</v>
      </c>
      <c r="D2851" s="17">
        <v>22991231</v>
      </c>
      <c r="E2851" s="25">
        <v>452.84</v>
      </c>
    </row>
    <row r="2852" spans="1:5" ht="39" x14ac:dyDescent="0.3">
      <c r="A2852" s="17" t="str">
        <f>"45338"</f>
        <v>45338</v>
      </c>
      <c r="B2852" s="5" t="s">
        <v>3008</v>
      </c>
      <c r="C2852" s="17">
        <v>19940101</v>
      </c>
      <c r="D2852" s="17">
        <v>22991231</v>
      </c>
      <c r="E2852" s="25">
        <v>584.69000000000005</v>
      </c>
    </row>
    <row r="2853" spans="1:5" ht="26" x14ac:dyDescent="0.3">
      <c r="A2853" s="17" t="str">
        <f>"45340"</f>
        <v>45340</v>
      </c>
      <c r="B2853" s="5" t="s">
        <v>3009</v>
      </c>
      <c r="C2853" s="17">
        <v>20030401</v>
      </c>
      <c r="D2853" s="17">
        <v>22991231</v>
      </c>
      <c r="E2853" s="25">
        <v>584.69000000000005</v>
      </c>
    </row>
    <row r="2854" spans="1:5" ht="26" x14ac:dyDescent="0.3">
      <c r="A2854" s="17" t="str">
        <f>"45341"</f>
        <v>45341</v>
      </c>
      <c r="B2854" s="5" t="s">
        <v>3010</v>
      </c>
      <c r="C2854" s="17">
        <v>20010101</v>
      </c>
      <c r="D2854" s="17">
        <v>22991231</v>
      </c>
      <c r="E2854" s="25">
        <v>452.84</v>
      </c>
    </row>
    <row r="2855" spans="1:5" ht="39" x14ac:dyDescent="0.3">
      <c r="A2855" s="17" t="str">
        <f>"45342"</f>
        <v>45342</v>
      </c>
      <c r="B2855" s="5" t="s">
        <v>3011</v>
      </c>
      <c r="C2855" s="17">
        <v>20010101</v>
      </c>
      <c r="D2855" s="17">
        <v>22991231</v>
      </c>
      <c r="E2855" s="25">
        <v>584.69000000000005</v>
      </c>
    </row>
    <row r="2856" spans="1:5" ht="26" x14ac:dyDescent="0.3">
      <c r="A2856" s="17" t="str">
        <f>"45346"</f>
        <v>45346</v>
      </c>
      <c r="B2856" s="5" t="s">
        <v>3012</v>
      </c>
      <c r="C2856" s="17">
        <v>20230101</v>
      </c>
      <c r="D2856" s="17">
        <v>22991231</v>
      </c>
      <c r="E2856" s="25">
        <v>584.69000000000005</v>
      </c>
    </row>
    <row r="2857" spans="1:5" ht="26" x14ac:dyDescent="0.3">
      <c r="A2857" s="17" t="str">
        <f>"45347"</f>
        <v>45347</v>
      </c>
      <c r="B2857" s="5" t="s">
        <v>3013</v>
      </c>
      <c r="C2857" s="17">
        <v>20230101</v>
      </c>
      <c r="D2857" s="17">
        <v>22991231</v>
      </c>
      <c r="E2857" s="25">
        <v>3835.98</v>
      </c>
    </row>
    <row r="2858" spans="1:5" ht="26" x14ac:dyDescent="0.3">
      <c r="A2858" s="17" t="str">
        <f>"45349"</f>
        <v>45349</v>
      </c>
      <c r="B2858" s="5" t="s">
        <v>3014</v>
      </c>
      <c r="C2858" s="17">
        <v>20230101</v>
      </c>
      <c r="D2858" s="17">
        <v>22991231</v>
      </c>
      <c r="E2858" s="25">
        <v>1288.55</v>
      </c>
    </row>
    <row r="2859" spans="1:5" ht="26" x14ac:dyDescent="0.3">
      <c r="A2859" s="17" t="str">
        <f>"45350"</f>
        <v>45350</v>
      </c>
      <c r="B2859" s="5" t="s">
        <v>3015</v>
      </c>
      <c r="C2859" s="17">
        <v>20230101</v>
      </c>
      <c r="D2859" s="17">
        <v>22991231</v>
      </c>
      <c r="E2859" s="25">
        <v>584.69000000000005</v>
      </c>
    </row>
    <row r="2860" spans="1:5" ht="26" x14ac:dyDescent="0.3">
      <c r="A2860" s="17" t="str">
        <f>"45378"</f>
        <v>45378</v>
      </c>
      <c r="B2860" s="5" t="s">
        <v>3016</v>
      </c>
      <c r="C2860" s="17">
        <v>19900101</v>
      </c>
      <c r="D2860" s="17">
        <v>22991231</v>
      </c>
      <c r="E2860" s="25">
        <v>452.84</v>
      </c>
    </row>
    <row r="2861" spans="1:5" ht="26" x14ac:dyDescent="0.3">
      <c r="A2861" s="17" t="str">
        <f>"45379"</f>
        <v>45379</v>
      </c>
      <c r="B2861" s="5" t="s">
        <v>3017</v>
      </c>
      <c r="C2861" s="17">
        <v>19900101</v>
      </c>
      <c r="D2861" s="17">
        <v>22991231</v>
      </c>
      <c r="E2861" s="25">
        <v>584.69000000000005</v>
      </c>
    </row>
    <row r="2862" spans="1:5" ht="26" x14ac:dyDescent="0.3">
      <c r="A2862" s="17" t="str">
        <f>"45380"</f>
        <v>45380</v>
      </c>
      <c r="B2862" s="5" t="s">
        <v>3018</v>
      </c>
      <c r="C2862" s="17">
        <v>19900101</v>
      </c>
      <c r="D2862" s="17">
        <v>22991231</v>
      </c>
      <c r="E2862" s="25">
        <v>584.69000000000005</v>
      </c>
    </row>
    <row r="2863" spans="1:5" ht="26" x14ac:dyDescent="0.3">
      <c r="A2863" s="17" t="str">
        <f>"45381"</f>
        <v>45381</v>
      </c>
      <c r="B2863" s="5" t="s">
        <v>3019</v>
      </c>
      <c r="C2863" s="17">
        <v>20030101</v>
      </c>
      <c r="D2863" s="17">
        <v>22991231</v>
      </c>
      <c r="E2863" s="25">
        <v>584.69000000000005</v>
      </c>
    </row>
    <row r="2864" spans="1:5" ht="26" x14ac:dyDescent="0.3">
      <c r="A2864" s="17" t="str">
        <f>"45382"</f>
        <v>45382</v>
      </c>
      <c r="B2864" s="5" t="s">
        <v>3020</v>
      </c>
      <c r="C2864" s="17">
        <v>19900101</v>
      </c>
      <c r="D2864" s="17">
        <v>22991231</v>
      </c>
      <c r="E2864" s="25">
        <v>584.69000000000005</v>
      </c>
    </row>
    <row r="2865" spans="1:5" ht="39" x14ac:dyDescent="0.3">
      <c r="A2865" s="17" t="str">
        <f>"45384"</f>
        <v>45384</v>
      </c>
      <c r="B2865" s="5" t="s">
        <v>3021</v>
      </c>
      <c r="C2865" s="17">
        <v>19940101</v>
      </c>
      <c r="D2865" s="17">
        <v>22991231</v>
      </c>
      <c r="E2865" s="25">
        <v>584.69000000000005</v>
      </c>
    </row>
    <row r="2866" spans="1:5" ht="26" x14ac:dyDescent="0.3">
      <c r="A2866" s="17" t="str">
        <f>"45385"</f>
        <v>45385</v>
      </c>
      <c r="B2866" s="5" t="s">
        <v>3022</v>
      </c>
      <c r="C2866" s="17">
        <v>19900101</v>
      </c>
      <c r="D2866" s="17">
        <v>22991231</v>
      </c>
      <c r="E2866" s="25">
        <v>584.69000000000005</v>
      </c>
    </row>
    <row r="2867" spans="1:5" ht="26" x14ac:dyDescent="0.3">
      <c r="A2867" s="17" t="str">
        <f>"45386"</f>
        <v>45386</v>
      </c>
      <c r="B2867" s="5" t="s">
        <v>3023</v>
      </c>
      <c r="C2867" s="17">
        <v>20030401</v>
      </c>
      <c r="D2867" s="17">
        <v>22991231</v>
      </c>
      <c r="E2867" s="25">
        <v>584.69000000000005</v>
      </c>
    </row>
    <row r="2868" spans="1:5" ht="26" x14ac:dyDescent="0.3">
      <c r="A2868" s="17" t="str">
        <f>"45388"</f>
        <v>45388</v>
      </c>
      <c r="B2868" s="5" t="s">
        <v>3024</v>
      </c>
      <c r="C2868" s="17">
        <v>20230101</v>
      </c>
      <c r="D2868" s="17">
        <v>22991231</v>
      </c>
      <c r="E2868" s="25">
        <v>584.69000000000005</v>
      </c>
    </row>
    <row r="2869" spans="1:5" ht="26" x14ac:dyDescent="0.3">
      <c r="A2869" s="17" t="str">
        <f>"45389"</f>
        <v>45389</v>
      </c>
      <c r="B2869" s="5" t="s">
        <v>3025</v>
      </c>
      <c r="C2869" s="17">
        <v>20230101</v>
      </c>
      <c r="D2869" s="17">
        <v>22991231</v>
      </c>
      <c r="E2869" s="25">
        <v>3769.49</v>
      </c>
    </row>
    <row r="2870" spans="1:5" ht="26" x14ac:dyDescent="0.3">
      <c r="A2870" s="17" t="str">
        <f>"45390"</f>
        <v>45390</v>
      </c>
      <c r="B2870" s="5" t="s">
        <v>3026</v>
      </c>
      <c r="C2870" s="17">
        <v>20230101</v>
      </c>
      <c r="D2870" s="17">
        <v>22991231</v>
      </c>
      <c r="E2870" s="25">
        <v>1288.55</v>
      </c>
    </row>
    <row r="2871" spans="1:5" ht="26" x14ac:dyDescent="0.3">
      <c r="A2871" s="17" t="str">
        <f>"45391"</f>
        <v>45391</v>
      </c>
      <c r="B2871" s="5" t="s">
        <v>3027</v>
      </c>
      <c r="C2871" s="17">
        <v>20051001</v>
      </c>
      <c r="D2871" s="17">
        <v>22991231</v>
      </c>
      <c r="E2871" s="25">
        <v>584.69000000000005</v>
      </c>
    </row>
    <row r="2872" spans="1:5" ht="39" x14ac:dyDescent="0.3">
      <c r="A2872" s="17" t="str">
        <f>"45392"</f>
        <v>45392</v>
      </c>
      <c r="B2872" s="5" t="s">
        <v>3028</v>
      </c>
      <c r="C2872" s="17">
        <v>20051001</v>
      </c>
      <c r="D2872" s="17">
        <v>22991231</v>
      </c>
      <c r="E2872" s="25">
        <v>584.69000000000005</v>
      </c>
    </row>
    <row r="2873" spans="1:5" ht="26" x14ac:dyDescent="0.3">
      <c r="A2873" s="17" t="str">
        <f>"45393"</f>
        <v>45393</v>
      </c>
      <c r="B2873" s="5" t="s">
        <v>3029</v>
      </c>
      <c r="C2873" s="17">
        <v>20230101</v>
      </c>
      <c r="D2873" s="17">
        <v>22991231</v>
      </c>
      <c r="E2873" s="25">
        <v>584.69000000000005</v>
      </c>
    </row>
    <row r="2874" spans="1:5" ht="26" x14ac:dyDescent="0.3">
      <c r="A2874" s="17" t="str">
        <f>"45398"</f>
        <v>45398</v>
      </c>
      <c r="B2874" s="5" t="s">
        <v>3030</v>
      </c>
      <c r="C2874" s="17">
        <v>20230101</v>
      </c>
      <c r="D2874" s="17">
        <v>22991231</v>
      </c>
      <c r="E2874" s="25">
        <v>584.69000000000005</v>
      </c>
    </row>
    <row r="2875" spans="1:5" x14ac:dyDescent="0.3">
      <c r="A2875" s="17" t="str">
        <f>"45500"</f>
        <v>45500</v>
      </c>
      <c r="B2875" s="5" t="s">
        <v>3031</v>
      </c>
      <c r="C2875" s="17">
        <v>19900101</v>
      </c>
      <c r="D2875" s="17">
        <v>22991231</v>
      </c>
      <c r="E2875" s="25">
        <v>1288.55</v>
      </c>
    </row>
    <row r="2876" spans="1:5" ht="26" x14ac:dyDescent="0.3">
      <c r="A2876" s="17" t="str">
        <f>"45505"</f>
        <v>45505</v>
      </c>
      <c r="B2876" s="5" t="s">
        <v>3032</v>
      </c>
      <c r="C2876" s="17">
        <v>19900101</v>
      </c>
      <c r="D2876" s="17">
        <v>22991231</v>
      </c>
      <c r="E2876" s="25">
        <v>1288.55</v>
      </c>
    </row>
    <row r="2877" spans="1:5" x14ac:dyDescent="0.3">
      <c r="A2877" s="17" t="str">
        <f>"45520"</f>
        <v>45520</v>
      </c>
      <c r="B2877" s="5" t="s">
        <v>3033</v>
      </c>
      <c r="C2877" s="17">
        <v>19900101</v>
      </c>
      <c r="D2877" s="17">
        <v>22991231</v>
      </c>
      <c r="E2877" s="25">
        <v>0</v>
      </c>
    </row>
    <row r="2878" spans="1:5" x14ac:dyDescent="0.3">
      <c r="A2878" s="17" t="str">
        <f>"45541"</f>
        <v>45541</v>
      </c>
      <c r="B2878" s="5" t="s">
        <v>3034</v>
      </c>
      <c r="C2878" s="17">
        <v>19900101</v>
      </c>
      <c r="D2878" s="17">
        <v>22991231</v>
      </c>
      <c r="E2878" s="25">
        <v>1288.55</v>
      </c>
    </row>
    <row r="2879" spans="1:5" x14ac:dyDescent="0.3">
      <c r="A2879" s="17" t="str">
        <f>"45560"</f>
        <v>45560</v>
      </c>
      <c r="B2879" s="5" t="s">
        <v>3035</v>
      </c>
      <c r="C2879" s="17">
        <v>19900101</v>
      </c>
      <c r="D2879" s="17">
        <v>22991231</v>
      </c>
      <c r="E2879" s="25">
        <v>1288.55</v>
      </c>
    </row>
    <row r="2880" spans="1:5" ht="26" x14ac:dyDescent="0.3">
      <c r="A2880" s="17" t="str">
        <f>"45900"</f>
        <v>45900</v>
      </c>
      <c r="B2880" s="5" t="s">
        <v>3036</v>
      </c>
      <c r="C2880" s="17">
        <v>19900101</v>
      </c>
      <c r="D2880" s="17">
        <v>22991231</v>
      </c>
      <c r="E2880" s="25">
        <v>452.84</v>
      </c>
    </row>
    <row r="2881" spans="1:5" x14ac:dyDescent="0.3">
      <c r="A2881" s="17" t="str">
        <f>"45905"</f>
        <v>45905</v>
      </c>
      <c r="B2881" s="5" t="s">
        <v>3037</v>
      </c>
      <c r="C2881" s="17">
        <v>19900101</v>
      </c>
      <c r="D2881" s="17">
        <v>22991231</v>
      </c>
      <c r="E2881" s="25">
        <v>584.69000000000005</v>
      </c>
    </row>
    <row r="2882" spans="1:5" x14ac:dyDescent="0.3">
      <c r="A2882" s="17" t="str">
        <f>"45910"</f>
        <v>45910</v>
      </c>
      <c r="B2882" s="5" t="s">
        <v>3038</v>
      </c>
      <c r="C2882" s="17">
        <v>19900101</v>
      </c>
      <c r="D2882" s="17">
        <v>22991231</v>
      </c>
      <c r="E2882" s="25">
        <v>584.69000000000005</v>
      </c>
    </row>
    <row r="2883" spans="1:5" ht="26" x14ac:dyDescent="0.3">
      <c r="A2883" s="17" t="str">
        <f>"45915"</f>
        <v>45915</v>
      </c>
      <c r="B2883" s="5" t="s">
        <v>3039</v>
      </c>
      <c r="C2883" s="17">
        <v>19900101</v>
      </c>
      <c r="D2883" s="17">
        <v>22991231</v>
      </c>
      <c r="E2883" s="25">
        <v>584.69000000000005</v>
      </c>
    </row>
    <row r="2884" spans="1:5" ht="26" x14ac:dyDescent="0.3">
      <c r="A2884" s="17" t="str">
        <f>"45990"</f>
        <v>45990</v>
      </c>
      <c r="B2884" s="5" t="s">
        <v>3040</v>
      </c>
      <c r="C2884" s="17">
        <v>20060101</v>
      </c>
      <c r="D2884" s="17">
        <v>22991231</v>
      </c>
      <c r="E2884" s="25">
        <v>1288.55</v>
      </c>
    </row>
    <row r="2885" spans="1:5" x14ac:dyDescent="0.3">
      <c r="A2885" s="17" t="str">
        <f>"45999"</f>
        <v>45999</v>
      </c>
      <c r="B2885" s="5" t="s">
        <v>3041</v>
      </c>
      <c r="C2885" s="17">
        <v>19900101</v>
      </c>
      <c r="D2885" s="17">
        <v>22991231</v>
      </c>
      <c r="E2885" s="24" t="s">
        <v>7128</v>
      </c>
    </row>
    <row r="2886" spans="1:5" x14ac:dyDescent="0.3">
      <c r="A2886" s="17" t="str">
        <f>"46020"</f>
        <v>46020</v>
      </c>
      <c r="B2886" s="5" t="s">
        <v>3042</v>
      </c>
      <c r="C2886" s="17">
        <v>20030401</v>
      </c>
      <c r="D2886" s="17">
        <v>22991231</v>
      </c>
      <c r="E2886" s="25">
        <v>1288.55</v>
      </c>
    </row>
    <row r="2887" spans="1:5" x14ac:dyDescent="0.3">
      <c r="A2887" s="17" t="str">
        <f>"46030"</f>
        <v>46030</v>
      </c>
      <c r="B2887" s="5" t="s">
        <v>3043</v>
      </c>
      <c r="C2887" s="17">
        <v>19900101</v>
      </c>
      <c r="D2887" s="17">
        <v>22991231</v>
      </c>
      <c r="E2887" s="25">
        <v>584.69000000000005</v>
      </c>
    </row>
    <row r="2888" spans="1:5" x14ac:dyDescent="0.3">
      <c r="A2888" s="17" t="str">
        <f>"46040"</f>
        <v>46040</v>
      </c>
      <c r="B2888" s="5" t="s">
        <v>3044</v>
      </c>
      <c r="C2888" s="17">
        <v>19900101</v>
      </c>
      <c r="D2888" s="17">
        <v>22991231</v>
      </c>
      <c r="E2888" s="25">
        <v>584.69000000000005</v>
      </c>
    </row>
    <row r="2889" spans="1:5" ht="26" x14ac:dyDescent="0.3">
      <c r="A2889" s="17" t="str">
        <f>"46045"</f>
        <v>46045</v>
      </c>
      <c r="B2889" s="5" t="s">
        <v>3045</v>
      </c>
      <c r="C2889" s="17">
        <v>19900101</v>
      </c>
      <c r="D2889" s="17">
        <v>22991231</v>
      </c>
      <c r="E2889" s="25">
        <v>1288.55</v>
      </c>
    </row>
    <row r="2890" spans="1:5" ht="26" x14ac:dyDescent="0.3">
      <c r="A2890" s="17" t="str">
        <f>"46050"</f>
        <v>46050</v>
      </c>
      <c r="B2890" s="5" t="s">
        <v>3046</v>
      </c>
      <c r="C2890" s="17">
        <v>19900101</v>
      </c>
      <c r="D2890" s="17">
        <v>22991231</v>
      </c>
      <c r="E2890" s="25">
        <v>452.84</v>
      </c>
    </row>
    <row r="2891" spans="1:5" ht="39" x14ac:dyDescent="0.3">
      <c r="A2891" s="17" t="str">
        <f>"46060"</f>
        <v>46060</v>
      </c>
      <c r="B2891" s="5" t="s">
        <v>3047</v>
      </c>
      <c r="C2891" s="17">
        <v>19900101</v>
      </c>
      <c r="D2891" s="17">
        <v>22991231</v>
      </c>
      <c r="E2891" s="25">
        <v>1288.55</v>
      </c>
    </row>
    <row r="2892" spans="1:5" x14ac:dyDescent="0.3">
      <c r="A2892" s="17" t="str">
        <f>"46070"</f>
        <v>46070</v>
      </c>
      <c r="B2892" s="5" t="s">
        <v>3048</v>
      </c>
      <c r="C2892" s="17">
        <v>19900101</v>
      </c>
      <c r="D2892" s="17">
        <v>22991231</v>
      </c>
      <c r="E2892" s="25">
        <v>1288.55</v>
      </c>
    </row>
    <row r="2893" spans="1:5" x14ac:dyDescent="0.3">
      <c r="A2893" s="17" t="str">
        <f>"46080"</f>
        <v>46080</v>
      </c>
      <c r="B2893" s="5" t="s">
        <v>3049</v>
      </c>
      <c r="C2893" s="17">
        <v>19900101</v>
      </c>
      <c r="D2893" s="17">
        <v>22991231</v>
      </c>
      <c r="E2893" s="25">
        <v>1288.55</v>
      </c>
    </row>
    <row r="2894" spans="1:5" x14ac:dyDescent="0.3">
      <c r="A2894" s="17" t="str">
        <f>"46083"</f>
        <v>46083</v>
      </c>
      <c r="B2894" s="5" t="s">
        <v>3050</v>
      </c>
      <c r="C2894" s="17">
        <v>19900101</v>
      </c>
      <c r="D2894" s="17">
        <v>22991231</v>
      </c>
      <c r="E2894" s="25">
        <v>122.45</v>
      </c>
    </row>
    <row r="2895" spans="1:5" x14ac:dyDescent="0.3">
      <c r="A2895" s="17" t="str">
        <f>"46200"</f>
        <v>46200</v>
      </c>
      <c r="B2895" s="5" t="s">
        <v>3051</v>
      </c>
      <c r="C2895" s="17">
        <v>19900101</v>
      </c>
      <c r="D2895" s="17">
        <v>22991231</v>
      </c>
      <c r="E2895" s="25">
        <v>1288.55</v>
      </c>
    </row>
    <row r="2896" spans="1:5" ht="26" x14ac:dyDescent="0.3">
      <c r="A2896" s="17" t="str">
        <f>"46220"</f>
        <v>46220</v>
      </c>
      <c r="B2896" s="5" t="s">
        <v>3052</v>
      </c>
      <c r="C2896" s="17">
        <v>19900101</v>
      </c>
      <c r="D2896" s="17">
        <v>22991231</v>
      </c>
      <c r="E2896" s="25">
        <v>584.69000000000005</v>
      </c>
    </row>
    <row r="2897" spans="1:5" ht="26" x14ac:dyDescent="0.3">
      <c r="A2897" s="17" t="str">
        <f>"46221"</f>
        <v>46221</v>
      </c>
      <c r="B2897" s="5" t="s">
        <v>3053</v>
      </c>
      <c r="C2897" s="17">
        <v>19900101</v>
      </c>
      <c r="D2897" s="17">
        <v>22991231</v>
      </c>
      <c r="E2897" s="25">
        <v>182.02</v>
      </c>
    </row>
    <row r="2898" spans="1:5" ht="26" x14ac:dyDescent="0.3">
      <c r="A2898" s="17" t="str">
        <f>"46230"</f>
        <v>46230</v>
      </c>
      <c r="B2898" s="5" t="s">
        <v>3054</v>
      </c>
      <c r="C2898" s="17">
        <v>19900101</v>
      </c>
      <c r="D2898" s="17">
        <v>22991231</v>
      </c>
      <c r="E2898" s="25">
        <v>1288.55</v>
      </c>
    </row>
    <row r="2899" spans="1:5" x14ac:dyDescent="0.3">
      <c r="A2899" s="17" t="str">
        <f>"46250"</f>
        <v>46250</v>
      </c>
      <c r="B2899" s="5" t="s">
        <v>3055</v>
      </c>
      <c r="C2899" s="17">
        <v>19900101</v>
      </c>
      <c r="D2899" s="17">
        <v>22991231</v>
      </c>
      <c r="E2899" s="25">
        <v>1288.55</v>
      </c>
    </row>
    <row r="2900" spans="1:5" ht="26" x14ac:dyDescent="0.3">
      <c r="A2900" s="17" t="str">
        <f>"46255"</f>
        <v>46255</v>
      </c>
      <c r="B2900" s="5" t="s">
        <v>3056</v>
      </c>
      <c r="C2900" s="17">
        <v>19900101</v>
      </c>
      <c r="D2900" s="17">
        <v>22991231</v>
      </c>
      <c r="E2900" s="25">
        <v>1288.55</v>
      </c>
    </row>
    <row r="2901" spans="1:5" ht="26" x14ac:dyDescent="0.3">
      <c r="A2901" s="17" t="str">
        <f>"46257"</f>
        <v>46257</v>
      </c>
      <c r="B2901" s="5" t="s">
        <v>3057</v>
      </c>
      <c r="C2901" s="17">
        <v>19900101</v>
      </c>
      <c r="D2901" s="17">
        <v>22991231</v>
      </c>
      <c r="E2901" s="25">
        <v>1288.55</v>
      </c>
    </row>
    <row r="2902" spans="1:5" ht="39" x14ac:dyDescent="0.3">
      <c r="A2902" s="17" t="str">
        <f>"46258"</f>
        <v>46258</v>
      </c>
      <c r="B2902" s="5" t="s">
        <v>3058</v>
      </c>
      <c r="C2902" s="17">
        <v>19900101</v>
      </c>
      <c r="D2902" s="17">
        <v>22991231</v>
      </c>
      <c r="E2902" s="25">
        <v>1288.55</v>
      </c>
    </row>
    <row r="2903" spans="1:5" x14ac:dyDescent="0.3">
      <c r="A2903" s="17" t="str">
        <f>"46260"</f>
        <v>46260</v>
      </c>
      <c r="B2903" s="5" t="s">
        <v>3059</v>
      </c>
      <c r="C2903" s="17">
        <v>19900101</v>
      </c>
      <c r="D2903" s="17">
        <v>22991231</v>
      </c>
      <c r="E2903" s="25">
        <v>1288.55</v>
      </c>
    </row>
    <row r="2904" spans="1:5" ht="26" x14ac:dyDescent="0.3">
      <c r="A2904" s="17" t="str">
        <f>"46261"</f>
        <v>46261</v>
      </c>
      <c r="B2904" s="5" t="s">
        <v>3060</v>
      </c>
      <c r="C2904" s="17">
        <v>19900101</v>
      </c>
      <c r="D2904" s="17">
        <v>22991231</v>
      </c>
      <c r="E2904" s="25">
        <v>1288.55</v>
      </c>
    </row>
    <row r="2905" spans="1:5" ht="26" x14ac:dyDescent="0.3">
      <c r="A2905" s="17" t="str">
        <f>"46262"</f>
        <v>46262</v>
      </c>
      <c r="B2905" s="5" t="s">
        <v>3061</v>
      </c>
      <c r="C2905" s="17">
        <v>19900101</v>
      </c>
      <c r="D2905" s="17">
        <v>22991231</v>
      </c>
      <c r="E2905" s="25">
        <v>1288.55</v>
      </c>
    </row>
    <row r="2906" spans="1:5" x14ac:dyDescent="0.3">
      <c r="A2906" s="17" t="str">
        <f>"46270"</f>
        <v>46270</v>
      </c>
      <c r="B2906" s="5" t="s">
        <v>3062</v>
      </c>
      <c r="C2906" s="17">
        <v>19900101</v>
      </c>
      <c r="D2906" s="17">
        <v>22991231</v>
      </c>
      <c r="E2906" s="25">
        <v>1288.55</v>
      </c>
    </row>
    <row r="2907" spans="1:5" ht="26" x14ac:dyDescent="0.3">
      <c r="A2907" s="17" t="str">
        <f>"46275"</f>
        <v>46275</v>
      </c>
      <c r="B2907" s="5" t="s">
        <v>3063</v>
      </c>
      <c r="C2907" s="17">
        <v>19900101</v>
      </c>
      <c r="D2907" s="17">
        <v>22991231</v>
      </c>
      <c r="E2907" s="25">
        <v>1288.55</v>
      </c>
    </row>
    <row r="2908" spans="1:5" ht="26" x14ac:dyDescent="0.3">
      <c r="A2908" s="17" t="str">
        <f>"46280"</f>
        <v>46280</v>
      </c>
      <c r="B2908" s="5" t="s">
        <v>3064</v>
      </c>
      <c r="C2908" s="17">
        <v>19900101</v>
      </c>
      <c r="D2908" s="17">
        <v>22991231</v>
      </c>
      <c r="E2908" s="25">
        <v>1288.55</v>
      </c>
    </row>
    <row r="2909" spans="1:5" ht="26" x14ac:dyDescent="0.3">
      <c r="A2909" s="17" t="str">
        <f>"46285"</f>
        <v>46285</v>
      </c>
      <c r="B2909" s="5" t="s">
        <v>3065</v>
      </c>
      <c r="C2909" s="17">
        <v>19900101</v>
      </c>
      <c r="D2909" s="17">
        <v>22991231</v>
      </c>
      <c r="E2909" s="25">
        <v>1288.55</v>
      </c>
    </row>
    <row r="2910" spans="1:5" ht="26" x14ac:dyDescent="0.3">
      <c r="A2910" s="17" t="str">
        <f>"46288"</f>
        <v>46288</v>
      </c>
      <c r="B2910" s="5" t="s">
        <v>3066</v>
      </c>
      <c r="C2910" s="17">
        <v>19950101</v>
      </c>
      <c r="D2910" s="17">
        <v>22991231</v>
      </c>
      <c r="E2910" s="25">
        <v>1288.55</v>
      </c>
    </row>
    <row r="2911" spans="1:5" x14ac:dyDescent="0.3">
      <c r="A2911" s="17" t="str">
        <f>"46320"</f>
        <v>46320</v>
      </c>
      <c r="B2911" s="5" t="s">
        <v>3067</v>
      </c>
      <c r="C2911" s="17">
        <v>19900101</v>
      </c>
      <c r="D2911" s="17">
        <v>22991231</v>
      </c>
      <c r="E2911" s="25">
        <v>141.06</v>
      </c>
    </row>
    <row r="2912" spans="1:5" x14ac:dyDescent="0.3">
      <c r="A2912" s="17" t="str">
        <f>"46500"</f>
        <v>46500</v>
      </c>
      <c r="B2912" s="5" t="s">
        <v>3068</v>
      </c>
      <c r="C2912" s="17">
        <v>19900101</v>
      </c>
      <c r="D2912" s="17">
        <v>22991231</v>
      </c>
      <c r="E2912" s="25">
        <v>230.81</v>
      </c>
    </row>
    <row r="2913" spans="1:5" ht="26" x14ac:dyDescent="0.3">
      <c r="A2913" s="17" t="str">
        <f>"46505"</f>
        <v>46505</v>
      </c>
      <c r="B2913" s="5" t="s">
        <v>3069</v>
      </c>
      <c r="C2913" s="17">
        <v>20060101</v>
      </c>
      <c r="D2913" s="17">
        <v>22991231</v>
      </c>
      <c r="E2913" s="25">
        <v>584.69000000000005</v>
      </c>
    </row>
    <row r="2914" spans="1:5" x14ac:dyDescent="0.3">
      <c r="A2914" s="17" t="str">
        <f>"46600"</f>
        <v>46600</v>
      </c>
      <c r="B2914" s="5" t="s">
        <v>3070</v>
      </c>
      <c r="C2914" s="17">
        <v>19900101</v>
      </c>
      <c r="D2914" s="17">
        <v>22991231</v>
      </c>
      <c r="E2914" s="25">
        <v>0</v>
      </c>
    </row>
    <row r="2915" spans="1:5" ht="26" x14ac:dyDescent="0.3">
      <c r="A2915" s="17" t="str">
        <f>"46601"</f>
        <v>46601</v>
      </c>
      <c r="B2915" s="5" t="s">
        <v>3071</v>
      </c>
      <c r="C2915" s="17">
        <v>20230101</v>
      </c>
      <c r="D2915" s="17">
        <v>22991231</v>
      </c>
      <c r="E2915" s="25">
        <v>0</v>
      </c>
    </row>
    <row r="2916" spans="1:5" x14ac:dyDescent="0.3">
      <c r="A2916" s="17" t="str">
        <f>"46604"</f>
        <v>46604</v>
      </c>
      <c r="B2916" s="5" t="s">
        <v>3072</v>
      </c>
      <c r="C2916" s="17">
        <v>19900101</v>
      </c>
      <c r="D2916" s="17">
        <v>22991231</v>
      </c>
      <c r="E2916" s="25">
        <v>562.97</v>
      </c>
    </row>
    <row r="2917" spans="1:5" x14ac:dyDescent="0.3">
      <c r="A2917" s="17" t="str">
        <f>"46606"</f>
        <v>46606</v>
      </c>
      <c r="B2917" s="5" t="s">
        <v>3073</v>
      </c>
      <c r="C2917" s="17">
        <v>19900101</v>
      </c>
      <c r="D2917" s="17">
        <v>22991231</v>
      </c>
      <c r="E2917" s="25">
        <v>218.61</v>
      </c>
    </row>
    <row r="2918" spans="1:5" ht="26" x14ac:dyDescent="0.3">
      <c r="A2918" s="17" t="str">
        <f>"46607"</f>
        <v>46607</v>
      </c>
      <c r="B2918" s="5" t="s">
        <v>3074</v>
      </c>
      <c r="C2918" s="17">
        <v>20230101</v>
      </c>
      <c r="D2918" s="17">
        <v>22991231</v>
      </c>
      <c r="E2918" s="25">
        <v>584.69000000000005</v>
      </c>
    </row>
    <row r="2919" spans="1:5" ht="26" x14ac:dyDescent="0.3">
      <c r="A2919" s="17" t="str">
        <f>"46608"</f>
        <v>46608</v>
      </c>
      <c r="B2919" s="5" t="s">
        <v>3075</v>
      </c>
      <c r="C2919" s="17">
        <v>19900101</v>
      </c>
      <c r="D2919" s="17">
        <v>22991231</v>
      </c>
      <c r="E2919" s="25">
        <v>452.84</v>
      </c>
    </row>
    <row r="2920" spans="1:5" ht="26" x14ac:dyDescent="0.3">
      <c r="A2920" s="17" t="str">
        <f>"46610"</f>
        <v>46610</v>
      </c>
      <c r="B2920" s="5" t="s">
        <v>3076</v>
      </c>
      <c r="C2920" s="17">
        <v>19900101</v>
      </c>
      <c r="D2920" s="17">
        <v>22991231</v>
      </c>
      <c r="E2920" s="25">
        <v>1288.55</v>
      </c>
    </row>
    <row r="2921" spans="1:5" ht="26" x14ac:dyDescent="0.3">
      <c r="A2921" s="17" t="str">
        <f>"46611"</f>
        <v>46611</v>
      </c>
      <c r="B2921" s="5" t="s">
        <v>3077</v>
      </c>
      <c r="C2921" s="17">
        <v>19940101</v>
      </c>
      <c r="D2921" s="17">
        <v>22991231</v>
      </c>
      <c r="E2921" s="25">
        <v>452.84</v>
      </c>
    </row>
    <row r="2922" spans="1:5" ht="39" x14ac:dyDescent="0.3">
      <c r="A2922" s="17" t="str">
        <f>"46612"</f>
        <v>46612</v>
      </c>
      <c r="B2922" s="5" t="s">
        <v>3078</v>
      </c>
      <c r="C2922" s="17">
        <v>19900101</v>
      </c>
      <c r="D2922" s="17">
        <v>22991231</v>
      </c>
      <c r="E2922" s="25">
        <v>1288.55</v>
      </c>
    </row>
    <row r="2923" spans="1:5" x14ac:dyDescent="0.3">
      <c r="A2923" s="17" t="str">
        <f>"46614"</f>
        <v>46614</v>
      </c>
      <c r="B2923" s="5" t="s">
        <v>3079</v>
      </c>
      <c r="C2923" s="17">
        <v>19900101</v>
      </c>
      <c r="D2923" s="17">
        <v>22991231</v>
      </c>
      <c r="E2923" s="25">
        <v>121.66</v>
      </c>
    </row>
    <row r="2924" spans="1:5" ht="26" x14ac:dyDescent="0.3">
      <c r="A2924" s="17" t="str">
        <f>"46615"</f>
        <v>46615</v>
      </c>
      <c r="B2924" s="5" t="s">
        <v>3080</v>
      </c>
      <c r="C2924" s="17">
        <v>19940101</v>
      </c>
      <c r="D2924" s="17">
        <v>22991231</v>
      </c>
      <c r="E2924" s="25">
        <v>1288.55</v>
      </c>
    </row>
    <row r="2925" spans="1:5" x14ac:dyDescent="0.3">
      <c r="A2925" s="17" t="str">
        <f>"46700"</f>
        <v>46700</v>
      </c>
      <c r="B2925" s="5" t="s">
        <v>3081</v>
      </c>
      <c r="C2925" s="17">
        <v>19900101</v>
      </c>
      <c r="D2925" s="17">
        <v>22991231</v>
      </c>
      <c r="E2925" s="25">
        <v>1288.55</v>
      </c>
    </row>
    <row r="2926" spans="1:5" ht="26" x14ac:dyDescent="0.3">
      <c r="A2926" s="17" t="str">
        <f>"46706"</f>
        <v>46706</v>
      </c>
      <c r="B2926" s="5" t="s">
        <v>3082</v>
      </c>
      <c r="C2926" s="17">
        <v>20051001</v>
      </c>
      <c r="D2926" s="17">
        <v>22991231</v>
      </c>
      <c r="E2926" s="25">
        <v>1288.55</v>
      </c>
    </row>
    <row r="2927" spans="1:5" ht="26" x14ac:dyDescent="0.3">
      <c r="A2927" s="17" t="str">
        <f>"46707"</f>
        <v>46707</v>
      </c>
      <c r="B2927" s="5" t="s">
        <v>3083</v>
      </c>
      <c r="C2927" s="17">
        <v>20100101</v>
      </c>
      <c r="D2927" s="17">
        <v>22991231</v>
      </c>
      <c r="E2927" s="25">
        <v>1738.06</v>
      </c>
    </row>
    <row r="2928" spans="1:5" ht="26" x14ac:dyDescent="0.3">
      <c r="A2928" s="17" t="str">
        <f>"46750"</f>
        <v>46750</v>
      </c>
      <c r="B2928" s="5" t="s">
        <v>3084</v>
      </c>
      <c r="C2928" s="17">
        <v>19900101</v>
      </c>
      <c r="D2928" s="17">
        <v>22991231</v>
      </c>
      <c r="E2928" s="25">
        <v>1288.55</v>
      </c>
    </row>
    <row r="2929" spans="1:5" ht="26" x14ac:dyDescent="0.3">
      <c r="A2929" s="17" t="str">
        <f>"46753"</f>
        <v>46753</v>
      </c>
      <c r="B2929" s="5" t="s">
        <v>3085</v>
      </c>
      <c r="C2929" s="17">
        <v>19900101</v>
      </c>
      <c r="D2929" s="17">
        <v>22991231</v>
      </c>
      <c r="E2929" s="25">
        <v>1288.55</v>
      </c>
    </row>
    <row r="2930" spans="1:5" x14ac:dyDescent="0.3">
      <c r="A2930" s="17" t="str">
        <f>"46754"</f>
        <v>46754</v>
      </c>
      <c r="B2930" s="5" t="s">
        <v>3086</v>
      </c>
      <c r="C2930" s="17">
        <v>19900101</v>
      </c>
      <c r="D2930" s="17">
        <v>22991231</v>
      </c>
      <c r="E2930" s="25">
        <v>1288.55</v>
      </c>
    </row>
    <row r="2931" spans="1:5" ht="26" x14ac:dyDescent="0.3">
      <c r="A2931" s="17" t="str">
        <f>"46760"</f>
        <v>46760</v>
      </c>
      <c r="B2931" s="5" t="s">
        <v>3087</v>
      </c>
      <c r="C2931" s="17">
        <v>19900101</v>
      </c>
      <c r="D2931" s="17">
        <v>22991231</v>
      </c>
      <c r="E2931" s="25">
        <v>1288.55</v>
      </c>
    </row>
    <row r="2932" spans="1:5" ht="26" x14ac:dyDescent="0.3">
      <c r="A2932" s="17" t="str">
        <f>"46761"</f>
        <v>46761</v>
      </c>
      <c r="B2932" s="5" t="s">
        <v>3088</v>
      </c>
      <c r="C2932" s="17">
        <v>20030401</v>
      </c>
      <c r="D2932" s="17">
        <v>22991231</v>
      </c>
      <c r="E2932" s="25">
        <v>1288.55</v>
      </c>
    </row>
    <row r="2933" spans="1:5" x14ac:dyDescent="0.3">
      <c r="A2933" s="17" t="str">
        <f>"46900"</f>
        <v>46900</v>
      </c>
      <c r="B2933" s="5" t="s">
        <v>3089</v>
      </c>
      <c r="C2933" s="17">
        <v>19900101</v>
      </c>
      <c r="D2933" s="17">
        <v>22991231</v>
      </c>
      <c r="E2933" s="25">
        <v>158.88</v>
      </c>
    </row>
    <row r="2934" spans="1:5" x14ac:dyDescent="0.3">
      <c r="A2934" s="17" t="str">
        <f>"46910"</f>
        <v>46910</v>
      </c>
      <c r="B2934" s="5" t="s">
        <v>3090</v>
      </c>
      <c r="C2934" s="17">
        <v>19900101</v>
      </c>
      <c r="D2934" s="17">
        <v>22991231</v>
      </c>
      <c r="E2934" s="25">
        <v>179.52</v>
      </c>
    </row>
    <row r="2935" spans="1:5" x14ac:dyDescent="0.3">
      <c r="A2935" s="17" t="str">
        <f>"46916"</f>
        <v>46916</v>
      </c>
      <c r="B2935" s="5" t="s">
        <v>3091</v>
      </c>
      <c r="C2935" s="17">
        <v>19900101</v>
      </c>
      <c r="D2935" s="17">
        <v>22991231</v>
      </c>
      <c r="E2935" s="25">
        <v>99.19</v>
      </c>
    </row>
    <row r="2936" spans="1:5" x14ac:dyDescent="0.3">
      <c r="A2936" s="17" t="str">
        <f>"46917"</f>
        <v>46917</v>
      </c>
      <c r="B2936" s="5" t="s">
        <v>3092</v>
      </c>
      <c r="C2936" s="17">
        <v>19900101</v>
      </c>
      <c r="D2936" s="17">
        <v>22991231</v>
      </c>
      <c r="E2936" s="25">
        <v>1288.55</v>
      </c>
    </row>
    <row r="2937" spans="1:5" x14ac:dyDescent="0.3">
      <c r="A2937" s="17" t="str">
        <f>"46922"</f>
        <v>46922</v>
      </c>
      <c r="B2937" s="5" t="s">
        <v>3093</v>
      </c>
      <c r="C2937" s="17">
        <v>19900101</v>
      </c>
      <c r="D2937" s="17">
        <v>22991231</v>
      </c>
      <c r="E2937" s="25">
        <v>1288.55</v>
      </c>
    </row>
    <row r="2938" spans="1:5" x14ac:dyDescent="0.3">
      <c r="A2938" s="17" t="str">
        <f>"46924"</f>
        <v>46924</v>
      </c>
      <c r="B2938" s="5" t="s">
        <v>3094</v>
      </c>
      <c r="C2938" s="17">
        <v>19900101</v>
      </c>
      <c r="D2938" s="17">
        <v>22991231</v>
      </c>
      <c r="E2938" s="25">
        <v>1288.55</v>
      </c>
    </row>
    <row r="2939" spans="1:5" x14ac:dyDescent="0.3">
      <c r="A2939" s="17" t="str">
        <f>"46930"</f>
        <v>46930</v>
      </c>
      <c r="B2939" s="5" t="s">
        <v>3095</v>
      </c>
      <c r="C2939" s="17">
        <v>20090101</v>
      </c>
      <c r="D2939" s="17">
        <v>22991231</v>
      </c>
      <c r="E2939" s="25">
        <v>146.37</v>
      </c>
    </row>
    <row r="2940" spans="1:5" ht="26" x14ac:dyDescent="0.3">
      <c r="A2940" s="17" t="str">
        <f>"46940"</f>
        <v>46940</v>
      </c>
      <c r="B2940" s="5" t="s">
        <v>3096</v>
      </c>
      <c r="C2940" s="17">
        <v>19900101</v>
      </c>
      <c r="D2940" s="17">
        <v>22991231</v>
      </c>
      <c r="E2940" s="25">
        <v>167.32</v>
      </c>
    </row>
    <row r="2941" spans="1:5" ht="26" x14ac:dyDescent="0.3">
      <c r="A2941" s="17" t="str">
        <f>"46942"</f>
        <v>46942</v>
      </c>
      <c r="B2941" s="5" t="s">
        <v>3097</v>
      </c>
      <c r="C2941" s="17">
        <v>19900101</v>
      </c>
      <c r="D2941" s="17">
        <v>22991231</v>
      </c>
      <c r="E2941" s="25">
        <v>165.45</v>
      </c>
    </row>
    <row r="2942" spans="1:5" x14ac:dyDescent="0.3">
      <c r="A2942" s="17" t="str">
        <f>"46945"</f>
        <v>46945</v>
      </c>
      <c r="B2942" s="5" t="s">
        <v>3098</v>
      </c>
      <c r="C2942" s="17">
        <v>19900101</v>
      </c>
      <c r="D2942" s="17">
        <v>22991231</v>
      </c>
      <c r="E2942" s="25">
        <v>1288.55</v>
      </c>
    </row>
    <row r="2943" spans="1:5" x14ac:dyDescent="0.3">
      <c r="A2943" s="17" t="str">
        <f>"46946"</f>
        <v>46946</v>
      </c>
      <c r="B2943" s="5" t="s">
        <v>3099</v>
      </c>
      <c r="C2943" s="17">
        <v>19900101</v>
      </c>
      <c r="D2943" s="17">
        <v>22991231</v>
      </c>
      <c r="E2943" s="25">
        <v>1288.55</v>
      </c>
    </row>
    <row r="2944" spans="1:5" x14ac:dyDescent="0.3">
      <c r="A2944" s="17" t="str">
        <f>"46947"</f>
        <v>46947</v>
      </c>
      <c r="B2944" s="5" t="s">
        <v>3100</v>
      </c>
      <c r="C2944" s="17">
        <v>20050101</v>
      </c>
      <c r="D2944" s="17">
        <v>22991231</v>
      </c>
      <c r="E2944" s="25">
        <v>1288.55</v>
      </c>
    </row>
    <row r="2945" spans="1:5" ht="26" x14ac:dyDescent="0.3">
      <c r="A2945" s="17" t="str">
        <f>"46948"</f>
        <v>46948</v>
      </c>
      <c r="B2945" s="5" t="s">
        <v>3101</v>
      </c>
      <c r="C2945" s="17">
        <v>20200101</v>
      </c>
      <c r="D2945" s="17">
        <v>22991231</v>
      </c>
      <c r="E2945" s="25">
        <v>1288.55</v>
      </c>
    </row>
    <row r="2946" spans="1:5" x14ac:dyDescent="0.3">
      <c r="A2946" s="17" t="str">
        <f>"46999"</f>
        <v>46999</v>
      </c>
      <c r="B2946" s="5" t="s">
        <v>3102</v>
      </c>
      <c r="C2946" s="17">
        <v>19900101</v>
      </c>
      <c r="D2946" s="17">
        <v>22991231</v>
      </c>
      <c r="E2946" s="24" t="s">
        <v>7128</v>
      </c>
    </row>
    <row r="2947" spans="1:5" x14ac:dyDescent="0.3">
      <c r="A2947" s="17" t="str">
        <f>"47000"</f>
        <v>47000</v>
      </c>
      <c r="B2947" s="5" t="s">
        <v>3103</v>
      </c>
      <c r="C2947" s="17">
        <v>19900101</v>
      </c>
      <c r="D2947" s="17">
        <v>22991231</v>
      </c>
      <c r="E2947" s="25">
        <v>652.27</v>
      </c>
    </row>
    <row r="2948" spans="1:5" x14ac:dyDescent="0.3">
      <c r="A2948" s="17" t="str">
        <f>"47001"</f>
        <v>47001</v>
      </c>
      <c r="B2948" s="5" t="s">
        <v>3104</v>
      </c>
      <c r="C2948" s="17">
        <v>20230101</v>
      </c>
      <c r="D2948" s="17">
        <v>22991231</v>
      </c>
      <c r="E2948" s="25">
        <v>0</v>
      </c>
    </row>
    <row r="2949" spans="1:5" x14ac:dyDescent="0.3">
      <c r="A2949" s="17" t="str">
        <f>"47100"</f>
        <v>47100</v>
      </c>
      <c r="B2949" s="5" t="s">
        <v>3105</v>
      </c>
      <c r="C2949" s="17">
        <v>19900101</v>
      </c>
      <c r="D2949" s="17">
        <v>22991231</v>
      </c>
      <c r="E2949" s="24" t="s">
        <v>7128</v>
      </c>
    </row>
    <row r="2950" spans="1:5" x14ac:dyDescent="0.3">
      <c r="A2950" s="17" t="str">
        <f>"47379"</f>
        <v>47379</v>
      </c>
      <c r="B2950" s="5" t="s">
        <v>3106</v>
      </c>
      <c r="C2950" s="17">
        <v>20010101</v>
      </c>
      <c r="D2950" s="17">
        <v>22991231</v>
      </c>
      <c r="E2950" s="24" t="s">
        <v>7128</v>
      </c>
    </row>
    <row r="2951" spans="1:5" ht="26" x14ac:dyDescent="0.3">
      <c r="A2951" s="17" t="str">
        <f>"47382"</f>
        <v>47382</v>
      </c>
      <c r="B2951" s="5" t="s">
        <v>3107</v>
      </c>
      <c r="C2951" s="17">
        <v>20230101</v>
      </c>
      <c r="D2951" s="17">
        <v>22991231</v>
      </c>
      <c r="E2951" s="25">
        <v>2584.12</v>
      </c>
    </row>
    <row r="2952" spans="1:5" ht="26" x14ac:dyDescent="0.3">
      <c r="A2952" s="17" t="str">
        <f>"47383"</f>
        <v>47383</v>
      </c>
      <c r="B2952" s="5" t="s">
        <v>3108</v>
      </c>
      <c r="C2952" s="17">
        <v>20230101</v>
      </c>
      <c r="D2952" s="17">
        <v>22991231</v>
      </c>
      <c r="E2952" s="25">
        <v>6296.31</v>
      </c>
    </row>
    <row r="2953" spans="1:5" ht="26" x14ac:dyDescent="0.3">
      <c r="A2953" s="17" t="str">
        <f>"47490"</f>
        <v>47490</v>
      </c>
      <c r="B2953" s="5" t="s">
        <v>3109</v>
      </c>
      <c r="C2953" s="17">
        <v>19900101</v>
      </c>
      <c r="D2953" s="17">
        <v>22991231</v>
      </c>
      <c r="E2953" s="24" t="s">
        <v>7128</v>
      </c>
    </row>
    <row r="2954" spans="1:5" ht="39" x14ac:dyDescent="0.3">
      <c r="A2954" s="17" t="str">
        <f>"47531"</f>
        <v>47531</v>
      </c>
      <c r="B2954" s="5" t="s">
        <v>3110</v>
      </c>
      <c r="C2954" s="17">
        <v>20230101</v>
      </c>
      <c r="D2954" s="17">
        <v>22991231</v>
      </c>
      <c r="E2954" s="25">
        <v>0</v>
      </c>
    </row>
    <row r="2955" spans="1:5" ht="39" x14ac:dyDescent="0.3">
      <c r="A2955" s="17" t="str">
        <f>"47532"</f>
        <v>47532</v>
      </c>
      <c r="B2955" s="5" t="s">
        <v>3111</v>
      </c>
      <c r="C2955" s="17">
        <v>20230101</v>
      </c>
      <c r="D2955" s="17">
        <v>22991231</v>
      </c>
      <c r="E2955" s="25">
        <v>0</v>
      </c>
    </row>
    <row r="2956" spans="1:5" ht="39" x14ac:dyDescent="0.3">
      <c r="A2956" s="17" t="str">
        <f>"47533"</f>
        <v>47533</v>
      </c>
      <c r="B2956" s="5" t="s">
        <v>3112</v>
      </c>
      <c r="C2956" s="17">
        <v>20230101</v>
      </c>
      <c r="D2956" s="17">
        <v>22991231</v>
      </c>
      <c r="E2956" s="25">
        <v>1549.07</v>
      </c>
    </row>
    <row r="2957" spans="1:5" ht="39" x14ac:dyDescent="0.3">
      <c r="A2957" s="17" t="str">
        <f>"47534"</f>
        <v>47534</v>
      </c>
      <c r="B2957" s="5" t="s">
        <v>3113</v>
      </c>
      <c r="C2957" s="17">
        <v>20230101</v>
      </c>
      <c r="D2957" s="17">
        <v>22991231</v>
      </c>
      <c r="E2957" s="25">
        <v>1549.07</v>
      </c>
    </row>
    <row r="2958" spans="1:5" ht="52" x14ac:dyDescent="0.3">
      <c r="A2958" s="17" t="str">
        <f>"47535"</f>
        <v>47535</v>
      </c>
      <c r="B2958" s="5" t="s">
        <v>3114</v>
      </c>
      <c r="C2958" s="17">
        <v>20230101</v>
      </c>
      <c r="D2958" s="17">
        <v>22991231</v>
      </c>
      <c r="E2958" s="25">
        <v>1549.07</v>
      </c>
    </row>
    <row r="2959" spans="1:5" ht="26" x14ac:dyDescent="0.3">
      <c r="A2959" s="17" t="str">
        <f>"47536"</f>
        <v>47536</v>
      </c>
      <c r="B2959" s="5" t="s">
        <v>3115</v>
      </c>
      <c r="C2959" s="17">
        <v>20230101</v>
      </c>
      <c r="D2959" s="17">
        <v>22991231</v>
      </c>
      <c r="E2959" s="25">
        <v>1549.07</v>
      </c>
    </row>
    <row r="2960" spans="1:5" ht="26" x14ac:dyDescent="0.3">
      <c r="A2960" s="17" t="str">
        <f>"47537"</f>
        <v>47537</v>
      </c>
      <c r="B2960" s="5" t="s">
        <v>3116</v>
      </c>
      <c r="C2960" s="17">
        <v>20230101</v>
      </c>
      <c r="D2960" s="17">
        <v>22991231</v>
      </c>
      <c r="E2960" s="25">
        <v>449.14</v>
      </c>
    </row>
    <row r="2961" spans="1:5" ht="39" x14ac:dyDescent="0.3">
      <c r="A2961" s="17" t="str">
        <f>"47538"</f>
        <v>47538</v>
      </c>
      <c r="B2961" s="5" t="s">
        <v>3117</v>
      </c>
      <c r="C2961" s="17">
        <v>20230101</v>
      </c>
      <c r="D2961" s="17">
        <v>22991231</v>
      </c>
      <c r="E2961" s="25">
        <v>3654.02</v>
      </c>
    </row>
    <row r="2962" spans="1:5" ht="39" x14ac:dyDescent="0.3">
      <c r="A2962" s="17" t="str">
        <f>"47539"</f>
        <v>47539</v>
      </c>
      <c r="B2962" s="5" t="s">
        <v>3118</v>
      </c>
      <c r="C2962" s="17">
        <v>20230101</v>
      </c>
      <c r="D2962" s="17">
        <v>22991231</v>
      </c>
      <c r="E2962" s="25">
        <v>2584.12</v>
      </c>
    </row>
    <row r="2963" spans="1:5" ht="39" x14ac:dyDescent="0.3">
      <c r="A2963" s="17" t="str">
        <f>"47540"</f>
        <v>47540</v>
      </c>
      <c r="B2963" s="5" t="s">
        <v>3119</v>
      </c>
      <c r="C2963" s="17">
        <v>20230101</v>
      </c>
      <c r="D2963" s="17">
        <v>22991231</v>
      </c>
      <c r="E2963" s="25">
        <v>3636.73</v>
      </c>
    </row>
    <row r="2964" spans="1:5" ht="39" x14ac:dyDescent="0.3">
      <c r="A2964" s="17" t="str">
        <f>"47541"</f>
        <v>47541</v>
      </c>
      <c r="B2964" s="5" t="s">
        <v>3120</v>
      </c>
      <c r="C2964" s="17">
        <v>20230101</v>
      </c>
      <c r="D2964" s="17">
        <v>22991231</v>
      </c>
      <c r="E2964" s="25">
        <v>4766.58</v>
      </c>
    </row>
    <row r="2965" spans="1:5" ht="26" x14ac:dyDescent="0.3">
      <c r="A2965" s="17" t="str">
        <f>"47542"</f>
        <v>47542</v>
      </c>
      <c r="B2965" s="5" t="s">
        <v>3121</v>
      </c>
      <c r="C2965" s="17">
        <v>20230101</v>
      </c>
      <c r="D2965" s="17">
        <v>22991231</v>
      </c>
      <c r="E2965" s="25">
        <v>0</v>
      </c>
    </row>
    <row r="2966" spans="1:5" ht="26" x14ac:dyDescent="0.3">
      <c r="A2966" s="17" t="str">
        <f>"47543"</f>
        <v>47543</v>
      </c>
      <c r="B2966" s="5" t="s">
        <v>3122</v>
      </c>
      <c r="C2966" s="17">
        <v>20230101</v>
      </c>
      <c r="D2966" s="17">
        <v>22991231</v>
      </c>
      <c r="E2966" s="25">
        <v>0</v>
      </c>
    </row>
    <row r="2967" spans="1:5" ht="39" x14ac:dyDescent="0.3">
      <c r="A2967" s="17" t="str">
        <f>"47544"</f>
        <v>47544</v>
      </c>
      <c r="B2967" s="5" t="s">
        <v>3123</v>
      </c>
      <c r="C2967" s="17">
        <v>20230101</v>
      </c>
      <c r="D2967" s="17">
        <v>22991231</v>
      </c>
      <c r="E2967" s="25">
        <v>0</v>
      </c>
    </row>
    <row r="2968" spans="1:5" x14ac:dyDescent="0.3">
      <c r="A2968" s="17" t="str">
        <f>"47552"</f>
        <v>47552</v>
      </c>
      <c r="B2968" s="5" t="s">
        <v>3124</v>
      </c>
      <c r="C2968" s="17">
        <v>19900101</v>
      </c>
      <c r="D2968" s="17">
        <v>22991231</v>
      </c>
      <c r="E2968" s="25">
        <v>3555.44</v>
      </c>
    </row>
    <row r="2969" spans="1:5" x14ac:dyDescent="0.3">
      <c r="A2969" s="17" t="str">
        <f>"47553"</f>
        <v>47553</v>
      </c>
      <c r="B2969" s="5" t="s">
        <v>3125</v>
      </c>
      <c r="C2969" s="17">
        <v>19900101</v>
      </c>
      <c r="D2969" s="17">
        <v>22991231</v>
      </c>
      <c r="E2969" s="25">
        <v>3555.44</v>
      </c>
    </row>
    <row r="2970" spans="1:5" x14ac:dyDescent="0.3">
      <c r="A2970" s="17" t="str">
        <f>"47554"</f>
        <v>47554</v>
      </c>
      <c r="B2970" s="5" t="s">
        <v>3126</v>
      </c>
      <c r="C2970" s="17">
        <v>19900101</v>
      </c>
      <c r="D2970" s="17">
        <v>22991231</v>
      </c>
      <c r="E2970" s="25">
        <v>4336.99</v>
      </c>
    </row>
    <row r="2971" spans="1:5" x14ac:dyDescent="0.3">
      <c r="A2971" s="17" t="str">
        <f>"47555"</f>
        <v>47555</v>
      </c>
      <c r="B2971" s="5" t="s">
        <v>3127</v>
      </c>
      <c r="C2971" s="17">
        <v>19900101</v>
      </c>
      <c r="D2971" s="17">
        <v>22991231</v>
      </c>
      <c r="E2971" s="25">
        <v>2073.12</v>
      </c>
    </row>
    <row r="2972" spans="1:5" ht="26" x14ac:dyDescent="0.3">
      <c r="A2972" s="17" t="str">
        <f>"47556"</f>
        <v>47556</v>
      </c>
      <c r="B2972" s="5" t="s">
        <v>3128</v>
      </c>
      <c r="C2972" s="17">
        <v>19920115</v>
      </c>
      <c r="D2972" s="17">
        <v>22991231</v>
      </c>
      <c r="E2972" s="25">
        <v>5818.73</v>
      </c>
    </row>
    <row r="2973" spans="1:5" x14ac:dyDescent="0.3">
      <c r="A2973" s="17" t="str">
        <f>"47562"</f>
        <v>47562</v>
      </c>
      <c r="B2973" s="5" t="s">
        <v>3129</v>
      </c>
      <c r="C2973" s="17">
        <v>20000101</v>
      </c>
      <c r="D2973" s="17">
        <v>22991231</v>
      </c>
      <c r="E2973" s="25">
        <v>2584.12</v>
      </c>
    </row>
    <row r="2974" spans="1:5" ht="26" x14ac:dyDescent="0.3">
      <c r="A2974" s="17" t="str">
        <f>"47563"</f>
        <v>47563</v>
      </c>
      <c r="B2974" s="5" t="s">
        <v>3130</v>
      </c>
      <c r="C2974" s="17">
        <v>20000101</v>
      </c>
      <c r="D2974" s="17">
        <v>22991231</v>
      </c>
      <c r="E2974" s="25">
        <v>2584.12</v>
      </c>
    </row>
    <row r="2975" spans="1:5" ht="26" x14ac:dyDescent="0.3">
      <c r="A2975" s="17" t="str">
        <f>"47564"</f>
        <v>47564</v>
      </c>
      <c r="B2975" s="5" t="s">
        <v>3131</v>
      </c>
      <c r="C2975" s="17">
        <v>20000101</v>
      </c>
      <c r="D2975" s="17">
        <v>22991231</v>
      </c>
      <c r="E2975" s="25">
        <v>4336.99</v>
      </c>
    </row>
    <row r="2976" spans="1:5" x14ac:dyDescent="0.3">
      <c r="A2976" s="17" t="str">
        <f>"47579"</f>
        <v>47579</v>
      </c>
      <c r="B2976" s="5" t="s">
        <v>3132</v>
      </c>
      <c r="C2976" s="17">
        <v>20000101</v>
      </c>
      <c r="D2976" s="17">
        <v>22991231</v>
      </c>
      <c r="E2976" s="24" t="s">
        <v>7128</v>
      </c>
    </row>
    <row r="2977" spans="1:5" x14ac:dyDescent="0.3">
      <c r="A2977" s="17" t="str">
        <f>"47600"</f>
        <v>47600</v>
      </c>
      <c r="B2977" s="5" t="s">
        <v>3133</v>
      </c>
      <c r="C2977" s="17">
        <v>19900101</v>
      </c>
      <c r="D2977" s="17">
        <v>22991231</v>
      </c>
      <c r="E2977" s="24" t="s">
        <v>7128</v>
      </c>
    </row>
    <row r="2978" spans="1:5" ht="26" x14ac:dyDescent="0.3">
      <c r="A2978" s="17" t="str">
        <f>"47605"</f>
        <v>47605</v>
      </c>
      <c r="B2978" s="5" t="s">
        <v>3134</v>
      </c>
      <c r="C2978" s="17">
        <v>19900101</v>
      </c>
      <c r="D2978" s="17">
        <v>22991231</v>
      </c>
      <c r="E2978" s="24" t="s">
        <v>7128</v>
      </c>
    </row>
    <row r="2979" spans="1:5" x14ac:dyDescent="0.3">
      <c r="A2979" s="17" t="str">
        <f>"48102"</f>
        <v>48102</v>
      </c>
      <c r="B2979" s="5" t="s">
        <v>3135</v>
      </c>
      <c r="C2979" s="17">
        <v>19900101</v>
      </c>
      <c r="D2979" s="17">
        <v>22991231</v>
      </c>
      <c r="E2979" s="25">
        <v>652.27</v>
      </c>
    </row>
    <row r="2980" spans="1:5" ht="26" x14ac:dyDescent="0.3">
      <c r="A2980" s="17" t="str">
        <f>"48160"</f>
        <v>48160</v>
      </c>
      <c r="B2980" s="5" t="s">
        <v>3136</v>
      </c>
      <c r="C2980" s="17">
        <v>19900101</v>
      </c>
      <c r="D2980" s="17">
        <v>22991231</v>
      </c>
      <c r="E2980" s="24" t="s">
        <v>7128</v>
      </c>
    </row>
    <row r="2981" spans="1:5" x14ac:dyDescent="0.3">
      <c r="A2981" s="17" t="str">
        <f>"49002"</f>
        <v>49002</v>
      </c>
      <c r="B2981" s="5" t="s">
        <v>3137</v>
      </c>
      <c r="C2981" s="17">
        <v>19900101</v>
      </c>
      <c r="D2981" s="17">
        <v>22991231</v>
      </c>
      <c r="E2981" s="24" t="s">
        <v>7128</v>
      </c>
    </row>
    <row r="2982" spans="1:5" x14ac:dyDescent="0.3">
      <c r="A2982" s="17" t="str">
        <f>"49082"</f>
        <v>49082</v>
      </c>
      <c r="B2982" s="5" t="s">
        <v>3138</v>
      </c>
      <c r="C2982" s="17">
        <v>20120101</v>
      </c>
      <c r="D2982" s="17">
        <v>22991231</v>
      </c>
      <c r="E2982" s="25">
        <v>449.14</v>
      </c>
    </row>
    <row r="2983" spans="1:5" ht="26" x14ac:dyDescent="0.3">
      <c r="A2983" s="17" t="str">
        <f>"49083"</f>
        <v>49083</v>
      </c>
      <c r="B2983" s="5" t="s">
        <v>3139</v>
      </c>
      <c r="C2983" s="17">
        <v>20120101</v>
      </c>
      <c r="D2983" s="17">
        <v>22991231</v>
      </c>
      <c r="E2983" s="25">
        <v>449.14</v>
      </c>
    </row>
    <row r="2984" spans="1:5" x14ac:dyDescent="0.3">
      <c r="A2984" s="17" t="str">
        <f>"49084"</f>
        <v>49084</v>
      </c>
      <c r="B2984" s="5" t="s">
        <v>3140</v>
      </c>
      <c r="C2984" s="17">
        <v>20120101</v>
      </c>
      <c r="D2984" s="17">
        <v>22991231</v>
      </c>
      <c r="E2984" s="25">
        <v>449.14</v>
      </c>
    </row>
    <row r="2985" spans="1:5" x14ac:dyDescent="0.3">
      <c r="A2985" s="17" t="str">
        <f>"49180"</f>
        <v>49180</v>
      </c>
      <c r="B2985" s="5" t="s">
        <v>3141</v>
      </c>
      <c r="C2985" s="17">
        <v>19900101</v>
      </c>
      <c r="D2985" s="17">
        <v>22991231</v>
      </c>
      <c r="E2985" s="25">
        <v>652.27</v>
      </c>
    </row>
    <row r="2986" spans="1:5" x14ac:dyDescent="0.3">
      <c r="A2986" s="17" t="str">
        <f>"49250"</f>
        <v>49250</v>
      </c>
      <c r="B2986" s="5" t="s">
        <v>3142</v>
      </c>
      <c r="C2986" s="17">
        <v>19900101</v>
      </c>
      <c r="D2986" s="17">
        <v>22991231</v>
      </c>
      <c r="E2986" s="25">
        <v>1549.07</v>
      </c>
    </row>
    <row r="2987" spans="1:5" x14ac:dyDescent="0.3">
      <c r="A2987" s="17" t="str">
        <f>"49320"</f>
        <v>49320</v>
      </c>
      <c r="B2987" s="5" t="s">
        <v>3143</v>
      </c>
      <c r="C2987" s="17">
        <v>20000101</v>
      </c>
      <c r="D2987" s="17">
        <v>22991231</v>
      </c>
      <c r="E2987" s="25">
        <v>2584.12</v>
      </c>
    </row>
    <row r="2988" spans="1:5" x14ac:dyDescent="0.3">
      <c r="A2988" s="17" t="str">
        <f>"49321"</f>
        <v>49321</v>
      </c>
      <c r="B2988" s="5" t="s">
        <v>3144</v>
      </c>
      <c r="C2988" s="17">
        <v>20000101</v>
      </c>
      <c r="D2988" s="17">
        <v>22991231</v>
      </c>
      <c r="E2988" s="25">
        <v>2584.12</v>
      </c>
    </row>
    <row r="2989" spans="1:5" ht="26" x14ac:dyDescent="0.3">
      <c r="A2989" s="17" t="str">
        <f>"49322"</f>
        <v>49322</v>
      </c>
      <c r="B2989" s="5" t="s">
        <v>3145</v>
      </c>
      <c r="C2989" s="17">
        <v>20000101</v>
      </c>
      <c r="D2989" s="17">
        <v>22991231</v>
      </c>
      <c r="E2989" s="25">
        <v>2584.12</v>
      </c>
    </row>
    <row r="2990" spans="1:5" ht="26" x14ac:dyDescent="0.3">
      <c r="A2990" s="17" t="str">
        <f>"49323"</f>
        <v>49323</v>
      </c>
      <c r="B2990" s="5" t="s">
        <v>3146</v>
      </c>
      <c r="C2990" s="17">
        <v>20000101</v>
      </c>
      <c r="D2990" s="17">
        <v>22991231</v>
      </c>
      <c r="E2990" s="24" t="s">
        <v>7128</v>
      </c>
    </row>
    <row r="2991" spans="1:5" ht="26" x14ac:dyDescent="0.3">
      <c r="A2991" s="17" t="str">
        <f>"49324"</f>
        <v>49324</v>
      </c>
      <c r="B2991" s="5" t="s">
        <v>3147</v>
      </c>
      <c r="C2991" s="17">
        <v>20230101</v>
      </c>
      <c r="D2991" s="17">
        <v>22991231</v>
      </c>
      <c r="E2991" s="25">
        <v>2584.12</v>
      </c>
    </row>
    <row r="2992" spans="1:5" ht="26" x14ac:dyDescent="0.3">
      <c r="A2992" s="17" t="str">
        <f>"49325"</f>
        <v>49325</v>
      </c>
      <c r="B2992" s="5" t="s">
        <v>3148</v>
      </c>
      <c r="C2992" s="17">
        <v>20230101</v>
      </c>
      <c r="D2992" s="17">
        <v>22991231</v>
      </c>
      <c r="E2992" s="25">
        <v>2584.12</v>
      </c>
    </row>
    <row r="2993" spans="1:5" ht="26" x14ac:dyDescent="0.3">
      <c r="A2993" s="17" t="str">
        <f>"49326"</f>
        <v>49326</v>
      </c>
      <c r="B2993" s="5" t="s">
        <v>3149</v>
      </c>
      <c r="C2993" s="17">
        <v>20230101</v>
      </c>
      <c r="D2993" s="17">
        <v>22991231</v>
      </c>
      <c r="E2993" s="25">
        <v>0</v>
      </c>
    </row>
    <row r="2994" spans="1:5" ht="26" x14ac:dyDescent="0.3">
      <c r="A2994" s="17" t="str">
        <f>"49327"</f>
        <v>49327</v>
      </c>
      <c r="B2994" s="5" t="s">
        <v>3150</v>
      </c>
      <c r="C2994" s="17">
        <v>20110101</v>
      </c>
      <c r="D2994" s="17">
        <v>22991231</v>
      </c>
      <c r="E2994" s="25">
        <v>0</v>
      </c>
    </row>
    <row r="2995" spans="1:5" ht="26" x14ac:dyDescent="0.3">
      <c r="A2995" s="17" t="str">
        <f>"49329"</f>
        <v>49329</v>
      </c>
      <c r="B2995" s="5" t="s">
        <v>3151</v>
      </c>
      <c r="C2995" s="17">
        <v>20020101</v>
      </c>
      <c r="D2995" s="17">
        <v>22991231</v>
      </c>
      <c r="E2995" s="24" t="s">
        <v>7128</v>
      </c>
    </row>
    <row r="2996" spans="1:5" ht="26" x14ac:dyDescent="0.3">
      <c r="A2996" s="17" t="str">
        <f>"49400"</f>
        <v>49400</v>
      </c>
      <c r="B2996" s="5" t="s">
        <v>3152</v>
      </c>
      <c r="C2996" s="17">
        <v>19900101</v>
      </c>
      <c r="D2996" s="17">
        <v>22991231</v>
      </c>
      <c r="E2996" s="25">
        <v>0</v>
      </c>
    </row>
    <row r="2997" spans="1:5" x14ac:dyDescent="0.3">
      <c r="A2997" s="17" t="str">
        <f>"49402"</f>
        <v>49402</v>
      </c>
      <c r="B2997" s="5" t="s">
        <v>3153</v>
      </c>
      <c r="C2997" s="17">
        <v>20070101</v>
      </c>
      <c r="D2997" s="17">
        <v>22991231</v>
      </c>
      <c r="E2997" s="25">
        <v>1549.07</v>
      </c>
    </row>
    <row r="2998" spans="1:5" ht="26" x14ac:dyDescent="0.3">
      <c r="A2998" s="17" t="str">
        <f>"49406"</f>
        <v>49406</v>
      </c>
      <c r="B2998" s="5" t="s">
        <v>3154</v>
      </c>
      <c r="C2998" s="17">
        <v>20230101</v>
      </c>
      <c r="D2998" s="17">
        <v>22991231</v>
      </c>
      <c r="E2998" s="25">
        <v>652.27</v>
      </c>
    </row>
    <row r="2999" spans="1:5" ht="26" x14ac:dyDescent="0.3">
      <c r="A2999" s="17" t="str">
        <f>"49407"</f>
        <v>49407</v>
      </c>
      <c r="B2999" s="5" t="s">
        <v>3155</v>
      </c>
      <c r="C2999" s="17">
        <v>20230101</v>
      </c>
      <c r="D2999" s="17">
        <v>22991231</v>
      </c>
      <c r="E2999" s="25">
        <v>652.27</v>
      </c>
    </row>
    <row r="3000" spans="1:5" ht="26" x14ac:dyDescent="0.3">
      <c r="A3000" s="17" t="str">
        <f>"49411"</f>
        <v>49411</v>
      </c>
      <c r="B3000" s="5" t="s">
        <v>3156</v>
      </c>
      <c r="C3000" s="17">
        <v>20230101</v>
      </c>
      <c r="D3000" s="17">
        <v>22991231</v>
      </c>
      <c r="E3000" s="25">
        <v>325.89</v>
      </c>
    </row>
    <row r="3001" spans="1:5" ht="26" x14ac:dyDescent="0.3">
      <c r="A3001" s="17" t="str">
        <f>"49418"</f>
        <v>49418</v>
      </c>
      <c r="B3001" s="5" t="s">
        <v>3157</v>
      </c>
      <c r="C3001" s="17">
        <v>20110101</v>
      </c>
      <c r="D3001" s="17">
        <v>22991231</v>
      </c>
      <c r="E3001" s="25">
        <v>1549.07</v>
      </c>
    </row>
    <row r="3002" spans="1:5" ht="26" x14ac:dyDescent="0.3">
      <c r="A3002" s="17" t="str">
        <f>"49419"</f>
        <v>49419</v>
      </c>
      <c r="B3002" s="5" t="s">
        <v>3158</v>
      </c>
      <c r="C3002" s="17">
        <v>20051001</v>
      </c>
      <c r="D3002" s="17">
        <v>22991231</v>
      </c>
      <c r="E3002" s="25">
        <v>2772.9</v>
      </c>
    </row>
    <row r="3003" spans="1:5" ht="26" x14ac:dyDescent="0.3">
      <c r="A3003" s="17" t="str">
        <f>"49421"</f>
        <v>49421</v>
      </c>
      <c r="B3003" s="5" t="s">
        <v>3159</v>
      </c>
      <c r="C3003" s="17">
        <v>19900101</v>
      </c>
      <c r="D3003" s="17">
        <v>22991231</v>
      </c>
      <c r="E3003" s="25">
        <v>1549.07</v>
      </c>
    </row>
    <row r="3004" spans="1:5" x14ac:dyDescent="0.3">
      <c r="A3004" s="17" t="str">
        <f>"49422"</f>
        <v>49422</v>
      </c>
      <c r="B3004" s="5" t="s">
        <v>3160</v>
      </c>
      <c r="C3004" s="17">
        <v>19950101</v>
      </c>
      <c r="D3004" s="17">
        <v>22991231</v>
      </c>
      <c r="E3004" s="25">
        <v>1478.57</v>
      </c>
    </row>
    <row r="3005" spans="1:5" ht="26" x14ac:dyDescent="0.3">
      <c r="A3005" s="17" t="str">
        <f>"49423"</f>
        <v>49423</v>
      </c>
      <c r="B3005" s="5" t="s">
        <v>3161</v>
      </c>
      <c r="C3005" s="17">
        <v>19980101</v>
      </c>
      <c r="D3005" s="17">
        <v>22991231</v>
      </c>
      <c r="E3005" s="25">
        <v>794.51</v>
      </c>
    </row>
    <row r="3006" spans="1:5" ht="26" x14ac:dyDescent="0.3">
      <c r="A3006" s="17" t="str">
        <f>"49424"</f>
        <v>49424</v>
      </c>
      <c r="B3006" s="5" t="s">
        <v>3162</v>
      </c>
      <c r="C3006" s="17">
        <v>19980101</v>
      </c>
      <c r="D3006" s="17">
        <v>22991231</v>
      </c>
      <c r="E3006" s="25">
        <v>0</v>
      </c>
    </row>
    <row r="3007" spans="1:5" ht="26" x14ac:dyDescent="0.3">
      <c r="A3007" s="17" t="str">
        <f>"49426"</f>
        <v>49426</v>
      </c>
      <c r="B3007" s="5" t="s">
        <v>3163</v>
      </c>
      <c r="C3007" s="17">
        <v>19970801</v>
      </c>
      <c r="D3007" s="17">
        <v>22991231</v>
      </c>
      <c r="E3007" s="25">
        <v>1549.07</v>
      </c>
    </row>
    <row r="3008" spans="1:5" ht="26" x14ac:dyDescent="0.3">
      <c r="A3008" s="17" t="str">
        <f>"49427"</f>
        <v>49427</v>
      </c>
      <c r="B3008" s="5" t="s">
        <v>3164</v>
      </c>
      <c r="C3008" s="17">
        <v>19930101</v>
      </c>
      <c r="D3008" s="17">
        <v>22991231</v>
      </c>
      <c r="E3008" s="25">
        <v>0</v>
      </c>
    </row>
    <row r="3009" spans="1:5" ht="26" x14ac:dyDescent="0.3">
      <c r="A3009" s="17" t="str">
        <f>"49429"</f>
        <v>49429</v>
      </c>
      <c r="B3009" s="5" t="s">
        <v>3165</v>
      </c>
      <c r="C3009" s="17">
        <v>19950101</v>
      </c>
      <c r="D3009" s="17">
        <v>22991231</v>
      </c>
      <c r="E3009" s="25">
        <v>1478.57</v>
      </c>
    </row>
    <row r="3010" spans="1:5" x14ac:dyDescent="0.3">
      <c r="A3010" s="17" t="str">
        <f>"49435"</f>
        <v>49435</v>
      </c>
      <c r="B3010" s="5" t="s">
        <v>3166</v>
      </c>
      <c r="C3010" s="17">
        <v>20230101</v>
      </c>
      <c r="D3010" s="17">
        <v>22991231</v>
      </c>
      <c r="E3010" s="25">
        <v>0</v>
      </c>
    </row>
    <row r="3011" spans="1:5" x14ac:dyDescent="0.3">
      <c r="A3011" s="17" t="str">
        <f>"49436"</f>
        <v>49436</v>
      </c>
      <c r="B3011" s="5" t="s">
        <v>3167</v>
      </c>
      <c r="C3011" s="17">
        <v>20230101</v>
      </c>
      <c r="D3011" s="17">
        <v>22991231</v>
      </c>
      <c r="E3011" s="25">
        <v>794.51</v>
      </c>
    </row>
    <row r="3012" spans="1:5" ht="26" x14ac:dyDescent="0.3">
      <c r="A3012" s="17" t="str">
        <f>"49440"</f>
        <v>49440</v>
      </c>
      <c r="B3012" s="5" t="s">
        <v>3168</v>
      </c>
      <c r="C3012" s="17">
        <v>20080101</v>
      </c>
      <c r="D3012" s="17">
        <v>22991231</v>
      </c>
      <c r="E3012" s="25">
        <v>794.51</v>
      </c>
    </row>
    <row r="3013" spans="1:5" ht="26" x14ac:dyDescent="0.3">
      <c r="A3013" s="17" t="str">
        <f>"49441"</f>
        <v>49441</v>
      </c>
      <c r="B3013" s="5" t="s">
        <v>3169</v>
      </c>
      <c r="C3013" s="17">
        <v>20080101</v>
      </c>
      <c r="D3013" s="17">
        <v>22991231</v>
      </c>
      <c r="E3013" s="25">
        <v>794.51</v>
      </c>
    </row>
    <row r="3014" spans="1:5" ht="26" x14ac:dyDescent="0.3">
      <c r="A3014" s="17" t="str">
        <f>"49442"</f>
        <v>49442</v>
      </c>
      <c r="B3014" s="5" t="s">
        <v>3170</v>
      </c>
      <c r="C3014" s="17">
        <v>20080101</v>
      </c>
      <c r="D3014" s="17">
        <v>22991231</v>
      </c>
      <c r="E3014" s="25">
        <v>584.69000000000005</v>
      </c>
    </row>
    <row r="3015" spans="1:5" ht="39" x14ac:dyDescent="0.3">
      <c r="A3015" s="17" t="str">
        <f>"49446"</f>
        <v>49446</v>
      </c>
      <c r="B3015" s="5" t="s">
        <v>3171</v>
      </c>
      <c r="C3015" s="17">
        <v>20080101</v>
      </c>
      <c r="D3015" s="17">
        <v>22991231</v>
      </c>
      <c r="E3015" s="25">
        <v>794.51</v>
      </c>
    </row>
    <row r="3016" spans="1:5" ht="26" x14ac:dyDescent="0.3">
      <c r="A3016" s="17" t="str">
        <f>"49450"</f>
        <v>49450</v>
      </c>
      <c r="B3016" s="5" t="s">
        <v>3172</v>
      </c>
      <c r="C3016" s="17">
        <v>20080101</v>
      </c>
      <c r="D3016" s="17">
        <v>22991231</v>
      </c>
      <c r="E3016" s="25">
        <v>449.14</v>
      </c>
    </row>
    <row r="3017" spans="1:5" ht="26" x14ac:dyDescent="0.3">
      <c r="A3017" s="17" t="str">
        <f>"49451"</f>
        <v>49451</v>
      </c>
      <c r="B3017" s="5" t="s">
        <v>3173</v>
      </c>
      <c r="C3017" s="17">
        <v>20080101</v>
      </c>
      <c r="D3017" s="17">
        <v>22991231</v>
      </c>
      <c r="E3017" s="25">
        <v>449.14</v>
      </c>
    </row>
    <row r="3018" spans="1:5" ht="26" x14ac:dyDescent="0.3">
      <c r="A3018" s="17" t="str">
        <f>"49452"</f>
        <v>49452</v>
      </c>
      <c r="B3018" s="5" t="s">
        <v>3174</v>
      </c>
      <c r="C3018" s="17">
        <v>20080101</v>
      </c>
      <c r="D3018" s="17">
        <v>22991231</v>
      </c>
      <c r="E3018" s="25">
        <v>449.14</v>
      </c>
    </row>
    <row r="3019" spans="1:5" ht="39" x14ac:dyDescent="0.3">
      <c r="A3019" s="17" t="str">
        <f>"49460"</f>
        <v>49460</v>
      </c>
      <c r="B3019" s="5" t="s">
        <v>3175</v>
      </c>
      <c r="C3019" s="17">
        <v>20080101</v>
      </c>
      <c r="D3019" s="17">
        <v>22991231</v>
      </c>
      <c r="E3019" s="25">
        <v>449.14</v>
      </c>
    </row>
    <row r="3020" spans="1:5" ht="39" x14ac:dyDescent="0.3">
      <c r="A3020" s="17" t="str">
        <f>"49465"</f>
        <v>49465</v>
      </c>
      <c r="B3020" s="5" t="s">
        <v>3176</v>
      </c>
      <c r="C3020" s="17">
        <v>20080101</v>
      </c>
      <c r="D3020" s="17">
        <v>22991231</v>
      </c>
      <c r="E3020" s="25">
        <v>121.41</v>
      </c>
    </row>
    <row r="3021" spans="1:5" ht="52" x14ac:dyDescent="0.3">
      <c r="A3021" s="17" t="str">
        <f>"49495"</f>
        <v>49495</v>
      </c>
      <c r="B3021" s="5" t="s">
        <v>3177</v>
      </c>
      <c r="C3021" s="17">
        <v>19940101</v>
      </c>
      <c r="D3021" s="17">
        <v>22991231</v>
      </c>
      <c r="E3021" s="25">
        <v>1549.07</v>
      </c>
    </row>
    <row r="3022" spans="1:5" ht="52" x14ac:dyDescent="0.3">
      <c r="A3022" s="17" t="str">
        <f>"49496"</f>
        <v>49496</v>
      </c>
      <c r="B3022" s="5" t="s">
        <v>3178</v>
      </c>
      <c r="C3022" s="17">
        <v>19940101</v>
      </c>
      <c r="D3022" s="17">
        <v>22991231</v>
      </c>
      <c r="E3022" s="25">
        <v>1549.07</v>
      </c>
    </row>
    <row r="3023" spans="1:5" ht="26" x14ac:dyDescent="0.3">
      <c r="A3023" s="17" t="str">
        <f>"49500"</f>
        <v>49500</v>
      </c>
      <c r="B3023" s="5" t="s">
        <v>3179</v>
      </c>
      <c r="C3023" s="17">
        <v>19900101</v>
      </c>
      <c r="D3023" s="17">
        <v>22991231</v>
      </c>
      <c r="E3023" s="25">
        <v>3555.44</v>
      </c>
    </row>
    <row r="3024" spans="1:5" ht="26" x14ac:dyDescent="0.3">
      <c r="A3024" s="17" t="str">
        <f>"49501"</f>
        <v>49501</v>
      </c>
      <c r="B3024" s="5" t="s">
        <v>3180</v>
      </c>
      <c r="C3024" s="17">
        <v>19940101</v>
      </c>
      <c r="D3024" s="17">
        <v>22991231</v>
      </c>
      <c r="E3024" s="25">
        <v>1549.07</v>
      </c>
    </row>
    <row r="3025" spans="1:5" x14ac:dyDescent="0.3">
      <c r="A3025" s="17" t="str">
        <f>"49505"</f>
        <v>49505</v>
      </c>
      <c r="B3025" s="5" t="s">
        <v>3181</v>
      </c>
      <c r="C3025" s="17">
        <v>19900101</v>
      </c>
      <c r="D3025" s="17">
        <v>22991231</v>
      </c>
      <c r="E3025" s="25">
        <v>1549.07</v>
      </c>
    </row>
    <row r="3026" spans="1:5" x14ac:dyDescent="0.3">
      <c r="A3026" s="17" t="str">
        <f>"49507"</f>
        <v>49507</v>
      </c>
      <c r="B3026" s="5" t="s">
        <v>3182</v>
      </c>
      <c r="C3026" s="17">
        <v>19940101</v>
      </c>
      <c r="D3026" s="17">
        <v>22991231</v>
      </c>
      <c r="E3026" s="25">
        <v>1549.07</v>
      </c>
    </row>
    <row r="3027" spans="1:5" x14ac:dyDescent="0.3">
      <c r="A3027" s="17" t="str">
        <f>"49520"</f>
        <v>49520</v>
      </c>
      <c r="B3027" s="5" t="s">
        <v>3183</v>
      </c>
      <c r="C3027" s="17">
        <v>19900101</v>
      </c>
      <c r="D3027" s="17">
        <v>22991231</v>
      </c>
      <c r="E3027" s="25">
        <v>1549.07</v>
      </c>
    </row>
    <row r="3028" spans="1:5" x14ac:dyDescent="0.3">
      <c r="A3028" s="17" t="str">
        <f>"49521"</f>
        <v>49521</v>
      </c>
      <c r="B3028" s="5" t="s">
        <v>3184</v>
      </c>
      <c r="C3028" s="17">
        <v>19940101</v>
      </c>
      <c r="D3028" s="17">
        <v>22991231</v>
      </c>
      <c r="E3028" s="25">
        <v>3555.44</v>
      </c>
    </row>
    <row r="3029" spans="1:5" x14ac:dyDescent="0.3">
      <c r="A3029" s="17" t="str">
        <f>"49525"</f>
        <v>49525</v>
      </c>
      <c r="B3029" s="5" t="s">
        <v>3185</v>
      </c>
      <c r="C3029" s="17">
        <v>19900101</v>
      </c>
      <c r="D3029" s="17">
        <v>22991231</v>
      </c>
      <c r="E3029" s="25">
        <v>1549.07</v>
      </c>
    </row>
    <row r="3030" spans="1:5" x14ac:dyDescent="0.3">
      <c r="A3030" s="17" t="str">
        <f>"49540"</f>
        <v>49540</v>
      </c>
      <c r="B3030" s="5" t="s">
        <v>3186</v>
      </c>
      <c r="C3030" s="17">
        <v>19900101</v>
      </c>
      <c r="D3030" s="17">
        <v>22991231</v>
      </c>
      <c r="E3030" s="25">
        <v>2584.12</v>
      </c>
    </row>
    <row r="3031" spans="1:5" x14ac:dyDescent="0.3">
      <c r="A3031" s="17" t="str">
        <f>"49550"</f>
        <v>49550</v>
      </c>
      <c r="B3031" s="5" t="s">
        <v>3187</v>
      </c>
      <c r="C3031" s="17">
        <v>19900101</v>
      </c>
      <c r="D3031" s="17">
        <v>22991231</v>
      </c>
      <c r="E3031" s="25">
        <v>1549.07</v>
      </c>
    </row>
    <row r="3032" spans="1:5" x14ac:dyDescent="0.3">
      <c r="A3032" s="17" t="str">
        <f>"49553"</f>
        <v>49553</v>
      </c>
      <c r="B3032" s="5" t="s">
        <v>3188</v>
      </c>
      <c r="C3032" s="17">
        <v>19940101</v>
      </c>
      <c r="D3032" s="17">
        <v>22991231</v>
      </c>
      <c r="E3032" s="25">
        <v>1549.07</v>
      </c>
    </row>
    <row r="3033" spans="1:5" x14ac:dyDescent="0.3">
      <c r="A3033" s="17" t="str">
        <f>"49555"</f>
        <v>49555</v>
      </c>
      <c r="B3033" s="5" t="s">
        <v>3189</v>
      </c>
      <c r="C3033" s="17">
        <v>19900101</v>
      </c>
      <c r="D3033" s="17">
        <v>22991231</v>
      </c>
      <c r="E3033" s="25">
        <v>1549.07</v>
      </c>
    </row>
    <row r="3034" spans="1:5" x14ac:dyDescent="0.3">
      <c r="A3034" s="17" t="str">
        <f>"49557"</f>
        <v>49557</v>
      </c>
      <c r="B3034" s="5" t="s">
        <v>3190</v>
      </c>
      <c r="C3034" s="17">
        <v>19940101</v>
      </c>
      <c r="D3034" s="17">
        <v>22991231</v>
      </c>
      <c r="E3034" s="25">
        <v>1549.07</v>
      </c>
    </row>
    <row r="3035" spans="1:5" ht="26" x14ac:dyDescent="0.3">
      <c r="A3035" s="17" t="str">
        <f>"49591"</f>
        <v>49591</v>
      </c>
      <c r="B3035" s="5" t="s">
        <v>3191</v>
      </c>
      <c r="C3035" s="17">
        <v>20230101</v>
      </c>
      <c r="D3035" s="17">
        <v>22991231</v>
      </c>
      <c r="E3035" s="25">
        <v>1549.07</v>
      </c>
    </row>
    <row r="3036" spans="1:5" ht="26" x14ac:dyDescent="0.3">
      <c r="A3036" s="17" t="str">
        <f>"49592"</f>
        <v>49592</v>
      </c>
      <c r="B3036" s="5" t="s">
        <v>3192</v>
      </c>
      <c r="C3036" s="17">
        <v>20230101</v>
      </c>
      <c r="D3036" s="17">
        <v>22991231</v>
      </c>
      <c r="E3036" s="25">
        <v>2584.12</v>
      </c>
    </row>
    <row r="3037" spans="1:5" ht="26" x14ac:dyDescent="0.3">
      <c r="A3037" s="17" t="str">
        <f>"49593"</f>
        <v>49593</v>
      </c>
      <c r="B3037" s="5" t="s">
        <v>3193</v>
      </c>
      <c r="C3037" s="17">
        <v>20230101</v>
      </c>
      <c r="D3037" s="17">
        <v>22991231</v>
      </c>
      <c r="E3037" s="25">
        <v>1549.07</v>
      </c>
    </row>
    <row r="3038" spans="1:5" ht="26" x14ac:dyDescent="0.3">
      <c r="A3038" s="17" t="str">
        <f>"49594"</f>
        <v>49594</v>
      </c>
      <c r="B3038" s="5" t="s">
        <v>3194</v>
      </c>
      <c r="C3038" s="17">
        <v>20230101</v>
      </c>
      <c r="D3038" s="17">
        <v>22991231</v>
      </c>
      <c r="E3038" s="25">
        <v>2584.12</v>
      </c>
    </row>
    <row r="3039" spans="1:5" ht="26" x14ac:dyDescent="0.3">
      <c r="A3039" s="17" t="str">
        <f>"49595"</f>
        <v>49595</v>
      </c>
      <c r="B3039" s="5" t="s">
        <v>3195</v>
      </c>
      <c r="C3039" s="17">
        <v>20230101</v>
      </c>
      <c r="D3039" s="17">
        <v>22991231</v>
      </c>
      <c r="E3039" s="25">
        <v>1549.07</v>
      </c>
    </row>
    <row r="3040" spans="1:5" ht="26" x14ac:dyDescent="0.3">
      <c r="A3040" s="17" t="str">
        <f>"49600"</f>
        <v>49600</v>
      </c>
      <c r="B3040" s="5" t="s">
        <v>3196</v>
      </c>
      <c r="C3040" s="17">
        <v>19900101</v>
      </c>
      <c r="D3040" s="17">
        <v>22991231</v>
      </c>
      <c r="E3040" s="25">
        <v>1549.07</v>
      </c>
    </row>
    <row r="3041" spans="1:5" ht="26" x14ac:dyDescent="0.3">
      <c r="A3041" s="17" t="str">
        <f>"49613"</f>
        <v>49613</v>
      </c>
      <c r="B3041" s="5" t="s">
        <v>3197</v>
      </c>
      <c r="C3041" s="17">
        <v>20230101</v>
      </c>
      <c r="D3041" s="17">
        <v>22991231</v>
      </c>
      <c r="E3041" s="25">
        <v>1549.07</v>
      </c>
    </row>
    <row r="3042" spans="1:5" ht="26" x14ac:dyDescent="0.3">
      <c r="A3042" s="17" t="str">
        <f>"49614"</f>
        <v>49614</v>
      </c>
      <c r="B3042" s="5" t="s">
        <v>3198</v>
      </c>
      <c r="C3042" s="17">
        <v>20230101</v>
      </c>
      <c r="D3042" s="17">
        <v>22991231</v>
      </c>
      <c r="E3042" s="25">
        <v>2584.12</v>
      </c>
    </row>
    <row r="3043" spans="1:5" ht="26" x14ac:dyDescent="0.3">
      <c r="A3043" s="17" t="str">
        <f>"49615"</f>
        <v>49615</v>
      </c>
      <c r="B3043" s="5" t="s">
        <v>3199</v>
      </c>
      <c r="C3043" s="17">
        <v>20230101</v>
      </c>
      <c r="D3043" s="17">
        <v>22991231</v>
      </c>
      <c r="E3043" s="25">
        <v>1549.07</v>
      </c>
    </row>
    <row r="3044" spans="1:5" x14ac:dyDescent="0.3">
      <c r="A3044" s="17" t="str">
        <f>"49650"</f>
        <v>49650</v>
      </c>
      <c r="B3044" s="5" t="s">
        <v>3200</v>
      </c>
      <c r="C3044" s="17">
        <v>20000101</v>
      </c>
      <c r="D3044" s="17">
        <v>22991231</v>
      </c>
      <c r="E3044" s="25">
        <v>2584.12</v>
      </c>
    </row>
    <row r="3045" spans="1:5" ht="26" x14ac:dyDescent="0.3">
      <c r="A3045" s="17" t="str">
        <f>"49651"</f>
        <v>49651</v>
      </c>
      <c r="B3045" s="5" t="s">
        <v>3201</v>
      </c>
      <c r="C3045" s="17">
        <v>20000101</v>
      </c>
      <c r="D3045" s="17">
        <v>22991231</v>
      </c>
      <c r="E3045" s="25">
        <v>2584.12</v>
      </c>
    </row>
    <row r="3046" spans="1:5" x14ac:dyDescent="0.3">
      <c r="A3046" s="17" t="str">
        <f>"50020"</f>
        <v>50020</v>
      </c>
      <c r="B3046" s="5" t="s">
        <v>3202</v>
      </c>
      <c r="C3046" s="17">
        <v>19900101</v>
      </c>
      <c r="D3046" s="17">
        <v>22991231</v>
      </c>
      <c r="E3046" s="24" t="s">
        <v>7128</v>
      </c>
    </row>
    <row r="3047" spans="1:5" ht="26" x14ac:dyDescent="0.3">
      <c r="A3047" s="17" t="str">
        <f>"50080"</f>
        <v>50080</v>
      </c>
      <c r="B3047" s="5" t="s">
        <v>3203</v>
      </c>
      <c r="C3047" s="17">
        <v>19900101</v>
      </c>
      <c r="D3047" s="17">
        <v>22991231</v>
      </c>
      <c r="E3047" s="25">
        <v>4341.6400000000003</v>
      </c>
    </row>
    <row r="3048" spans="1:5" ht="26" x14ac:dyDescent="0.3">
      <c r="A3048" s="17" t="str">
        <f>"50081"</f>
        <v>50081</v>
      </c>
      <c r="B3048" s="5" t="s">
        <v>3204</v>
      </c>
      <c r="C3048" s="17">
        <v>19900101</v>
      </c>
      <c r="D3048" s="17">
        <v>22991231</v>
      </c>
      <c r="E3048" s="25">
        <v>4341.6400000000003</v>
      </c>
    </row>
    <row r="3049" spans="1:5" x14ac:dyDescent="0.3">
      <c r="A3049" s="17" t="str">
        <f>"50200"</f>
        <v>50200</v>
      </c>
      <c r="B3049" s="5" t="s">
        <v>3205</v>
      </c>
      <c r="C3049" s="17">
        <v>19900101</v>
      </c>
      <c r="D3049" s="17">
        <v>22991231</v>
      </c>
      <c r="E3049" s="25">
        <v>652.27</v>
      </c>
    </row>
    <row r="3050" spans="1:5" ht="26" x14ac:dyDescent="0.3">
      <c r="A3050" s="17" t="str">
        <f>"50382"</f>
        <v>50382</v>
      </c>
      <c r="B3050" s="5" t="s">
        <v>3206</v>
      </c>
      <c r="C3050" s="17">
        <v>20060101</v>
      </c>
      <c r="D3050" s="17">
        <v>22991231</v>
      </c>
      <c r="E3050" s="25">
        <v>888.17</v>
      </c>
    </row>
    <row r="3051" spans="1:5" ht="26" x14ac:dyDescent="0.3">
      <c r="A3051" s="17" t="str">
        <f>"50384"</f>
        <v>50384</v>
      </c>
      <c r="B3051" s="5" t="s">
        <v>3207</v>
      </c>
      <c r="C3051" s="17">
        <v>20060101</v>
      </c>
      <c r="D3051" s="17">
        <v>22991231</v>
      </c>
      <c r="E3051" s="25">
        <v>888.17</v>
      </c>
    </row>
    <row r="3052" spans="1:5" ht="26" x14ac:dyDescent="0.3">
      <c r="A3052" s="17" t="str">
        <f>"50385"</f>
        <v>50385</v>
      </c>
      <c r="B3052" s="5" t="s">
        <v>3208</v>
      </c>
      <c r="C3052" s="17">
        <v>20080101</v>
      </c>
      <c r="D3052" s="17">
        <v>22991231</v>
      </c>
      <c r="E3052" s="25">
        <v>888.17</v>
      </c>
    </row>
    <row r="3053" spans="1:5" ht="26" x14ac:dyDescent="0.3">
      <c r="A3053" s="17" t="str">
        <f>"50386"</f>
        <v>50386</v>
      </c>
      <c r="B3053" s="5" t="s">
        <v>3209</v>
      </c>
      <c r="C3053" s="17">
        <v>20080101</v>
      </c>
      <c r="D3053" s="17">
        <v>22991231</v>
      </c>
      <c r="E3053" s="25">
        <v>591.73</v>
      </c>
    </row>
    <row r="3054" spans="1:5" ht="39" x14ac:dyDescent="0.3">
      <c r="A3054" s="17" t="str">
        <f>"50387"</f>
        <v>50387</v>
      </c>
      <c r="B3054" s="5" t="s">
        <v>3210</v>
      </c>
      <c r="C3054" s="17">
        <v>20060101</v>
      </c>
      <c r="D3054" s="17">
        <v>22991231</v>
      </c>
      <c r="E3054" s="25">
        <v>888.17</v>
      </c>
    </row>
    <row r="3055" spans="1:5" ht="26" x14ac:dyDescent="0.3">
      <c r="A3055" s="17" t="str">
        <f>"50389"</f>
        <v>50389</v>
      </c>
      <c r="B3055" s="5" t="s">
        <v>3211</v>
      </c>
      <c r="C3055" s="17">
        <v>20060101</v>
      </c>
      <c r="D3055" s="17">
        <v>22991231</v>
      </c>
      <c r="E3055" s="25">
        <v>299.17</v>
      </c>
    </row>
    <row r="3056" spans="1:5" x14ac:dyDescent="0.3">
      <c r="A3056" s="17" t="str">
        <f>"50390"</f>
        <v>50390</v>
      </c>
      <c r="B3056" s="5" t="s">
        <v>3212</v>
      </c>
      <c r="C3056" s="17">
        <v>19970801</v>
      </c>
      <c r="D3056" s="17">
        <v>22991231</v>
      </c>
      <c r="E3056" s="25">
        <v>348.6</v>
      </c>
    </row>
    <row r="3057" spans="1:5" x14ac:dyDescent="0.3">
      <c r="A3057" s="17" t="str">
        <f>"50391"</f>
        <v>50391</v>
      </c>
      <c r="B3057" s="5" t="s">
        <v>3213</v>
      </c>
      <c r="C3057" s="17">
        <v>20230101</v>
      </c>
      <c r="D3057" s="17">
        <v>22991231</v>
      </c>
      <c r="E3057" s="25">
        <v>48.47</v>
      </c>
    </row>
    <row r="3058" spans="1:5" ht="26" x14ac:dyDescent="0.3">
      <c r="A3058" s="17" t="str">
        <f>"50396"</f>
        <v>50396</v>
      </c>
      <c r="B3058" s="5" t="s">
        <v>3214</v>
      </c>
      <c r="C3058" s="17">
        <v>19970801</v>
      </c>
      <c r="D3058" s="17">
        <v>22991231</v>
      </c>
      <c r="E3058" s="25">
        <v>299.17</v>
      </c>
    </row>
    <row r="3059" spans="1:5" ht="39" x14ac:dyDescent="0.3">
      <c r="A3059" s="17" t="str">
        <f>"50430"</f>
        <v>50430</v>
      </c>
      <c r="B3059" s="5" t="s">
        <v>3215</v>
      </c>
      <c r="C3059" s="17">
        <v>20230101</v>
      </c>
      <c r="D3059" s="17">
        <v>22991231</v>
      </c>
      <c r="E3059" s="25">
        <v>0</v>
      </c>
    </row>
    <row r="3060" spans="1:5" ht="39" x14ac:dyDescent="0.3">
      <c r="A3060" s="17" t="str">
        <f>"50431"</f>
        <v>50431</v>
      </c>
      <c r="B3060" s="5" t="s">
        <v>3216</v>
      </c>
      <c r="C3060" s="17">
        <v>20230101</v>
      </c>
      <c r="D3060" s="17">
        <v>22991231</v>
      </c>
      <c r="E3060" s="25">
        <v>0</v>
      </c>
    </row>
    <row r="3061" spans="1:5" ht="26" x14ac:dyDescent="0.3">
      <c r="A3061" s="17" t="str">
        <f>"50432"</f>
        <v>50432</v>
      </c>
      <c r="B3061" s="5" t="s">
        <v>3217</v>
      </c>
      <c r="C3061" s="17">
        <v>20230101</v>
      </c>
      <c r="D3061" s="17">
        <v>22991231</v>
      </c>
      <c r="E3061" s="25">
        <v>888.17</v>
      </c>
    </row>
    <row r="3062" spans="1:5" ht="39" x14ac:dyDescent="0.3">
      <c r="A3062" s="17" t="str">
        <f>"50433"</f>
        <v>50433</v>
      </c>
      <c r="B3062" s="5" t="s">
        <v>3218</v>
      </c>
      <c r="C3062" s="17">
        <v>20230101</v>
      </c>
      <c r="D3062" s="17">
        <v>22991231</v>
      </c>
      <c r="E3062" s="25">
        <v>1553.18</v>
      </c>
    </row>
    <row r="3063" spans="1:5" ht="39" x14ac:dyDescent="0.3">
      <c r="A3063" s="17" t="str">
        <f>"50434"</f>
        <v>50434</v>
      </c>
      <c r="B3063" s="5" t="s">
        <v>3219</v>
      </c>
      <c r="C3063" s="17">
        <v>20230101</v>
      </c>
      <c r="D3063" s="17">
        <v>22991231</v>
      </c>
      <c r="E3063" s="25">
        <v>888.17</v>
      </c>
    </row>
    <row r="3064" spans="1:5" ht="26" x14ac:dyDescent="0.3">
      <c r="A3064" s="17" t="str">
        <f>"50435"</f>
        <v>50435</v>
      </c>
      <c r="B3064" s="5" t="s">
        <v>3220</v>
      </c>
      <c r="C3064" s="17">
        <v>20230101</v>
      </c>
      <c r="D3064" s="17">
        <v>22991231</v>
      </c>
      <c r="E3064" s="25">
        <v>888.17</v>
      </c>
    </row>
    <row r="3065" spans="1:5" ht="26" x14ac:dyDescent="0.3">
      <c r="A3065" s="17" t="str">
        <f>"50436"</f>
        <v>50436</v>
      </c>
      <c r="B3065" s="5" t="s">
        <v>3221</v>
      </c>
      <c r="C3065" s="17">
        <v>20190101</v>
      </c>
      <c r="D3065" s="17">
        <v>22991231</v>
      </c>
      <c r="E3065" s="25">
        <v>1553.18</v>
      </c>
    </row>
    <row r="3066" spans="1:5" ht="39" x14ac:dyDescent="0.3">
      <c r="A3066" s="17" t="str">
        <f>"50437"</f>
        <v>50437</v>
      </c>
      <c r="B3066" s="5" t="s">
        <v>3222</v>
      </c>
      <c r="C3066" s="17">
        <v>20190101</v>
      </c>
      <c r="D3066" s="17">
        <v>22991231</v>
      </c>
      <c r="E3066" s="25">
        <v>1553.18</v>
      </c>
    </row>
    <row r="3067" spans="1:5" x14ac:dyDescent="0.3">
      <c r="A3067" s="17" t="str">
        <f>"50541"</f>
        <v>50541</v>
      </c>
      <c r="B3067" s="5" t="s">
        <v>3223</v>
      </c>
      <c r="C3067" s="17">
        <v>20000101</v>
      </c>
      <c r="D3067" s="17">
        <v>22991231</v>
      </c>
      <c r="E3067" s="24" t="s">
        <v>7128</v>
      </c>
    </row>
    <row r="3068" spans="1:5" x14ac:dyDescent="0.3">
      <c r="A3068" s="17" t="str">
        <f>"50544"</f>
        <v>50544</v>
      </c>
      <c r="B3068" s="5" t="s">
        <v>3224</v>
      </c>
      <c r="C3068" s="17">
        <v>20000101</v>
      </c>
      <c r="D3068" s="17">
        <v>22991231</v>
      </c>
      <c r="E3068" s="24" t="s">
        <v>7128</v>
      </c>
    </row>
    <row r="3069" spans="1:5" ht="39" x14ac:dyDescent="0.3">
      <c r="A3069" s="17" t="str">
        <f>"50551"</f>
        <v>50551</v>
      </c>
      <c r="B3069" s="5" t="s">
        <v>3225</v>
      </c>
      <c r="C3069" s="17">
        <v>19900101</v>
      </c>
      <c r="D3069" s="17">
        <v>22991231</v>
      </c>
      <c r="E3069" s="25">
        <v>2360.33</v>
      </c>
    </row>
    <row r="3070" spans="1:5" ht="39" x14ac:dyDescent="0.3">
      <c r="A3070" s="17" t="str">
        <f>"50553"</f>
        <v>50553</v>
      </c>
      <c r="B3070" s="5" t="s">
        <v>3226</v>
      </c>
      <c r="C3070" s="17">
        <v>19900101</v>
      </c>
      <c r="D3070" s="17">
        <v>22991231</v>
      </c>
      <c r="E3070" s="25">
        <v>2360.33</v>
      </c>
    </row>
    <row r="3071" spans="1:5" ht="39" x14ac:dyDescent="0.3">
      <c r="A3071" s="17" t="str">
        <f>"50555"</f>
        <v>50555</v>
      </c>
      <c r="B3071" s="5" t="s">
        <v>3227</v>
      </c>
      <c r="C3071" s="17">
        <v>19900101</v>
      </c>
      <c r="D3071" s="17">
        <v>22991231</v>
      </c>
      <c r="E3071" s="25">
        <v>4341.6400000000003</v>
      </c>
    </row>
    <row r="3072" spans="1:5" ht="39" x14ac:dyDescent="0.3">
      <c r="A3072" s="17" t="str">
        <f>"50557"</f>
        <v>50557</v>
      </c>
      <c r="B3072" s="5" t="s">
        <v>3228</v>
      </c>
      <c r="C3072" s="17">
        <v>19900101</v>
      </c>
      <c r="D3072" s="17">
        <v>22991231</v>
      </c>
      <c r="E3072" s="25">
        <v>4341.6400000000003</v>
      </c>
    </row>
    <row r="3073" spans="1:5" ht="39" x14ac:dyDescent="0.3">
      <c r="A3073" s="17" t="str">
        <f>"50561"</f>
        <v>50561</v>
      </c>
      <c r="B3073" s="5" t="s">
        <v>3229</v>
      </c>
      <c r="C3073" s="17">
        <v>19900101</v>
      </c>
      <c r="D3073" s="17">
        <v>22991231</v>
      </c>
      <c r="E3073" s="25">
        <v>2360.33</v>
      </c>
    </row>
    <row r="3074" spans="1:5" ht="39" x14ac:dyDescent="0.3">
      <c r="A3074" s="17" t="str">
        <f>"50562"</f>
        <v>50562</v>
      </c>
      <c r="B3074" s="5" t="s">
        <v>3230</v>
      </c>
      <c r="C3074" s="17">
        <v>20230101</v>
      </c>
      <c r="D3074" s="17">
        <v>22991231</v>
      </c>
      <c r="E3074" s="25">
        <v>4341.6400000000003</v>
      </c>
    </row>
    <row r="3075" spans="1:5" x14ac:dyDescent="0.3">
      <c r="A3075" s="17" t="str">
        <f>"50570"</f>
        <v>50570</v>
      </c>
      <c r="B3075" s="5" t="s">
        <v>3231</v>
      </c>
      <c r="C3075" s="17">
        <v>19900101</v>
      </c>
      <c r="D3075" s="17">
        <v>22991231</v>
      </c>
      <c r="E3075" s="25">
        <v>1553.18</v>
      </c>
    </row>
    <row r="3076" spans="1:5" ht="26" x14ac:dyDescent="0.3">
      <c r="A3076" s="17" t="str">
        <f>"50572"</f>
        <v>50572</v>
      </c>
      <c r="B3076" s="5" t="s">
        <v>3232</v>
      </c>
      <c r="C3076" s="17">
        <v>19900101</v>
      </c>
      <c r="D3076" s="17">
        <v>22991231</v>
      </c>
      <c r="E3076" s="25">
        <v>299.17</v>
      </c>
    </row>
    <row r="3077" spans="1:5" x14ac:dyDescent="0.3">
      <c r="A3077" s="17" t="str">
        <f>"50574"</f>
        <v>50574</v>
      </c>
      <c r="B3077" s="5" t="s">
        <v>3233</v>
      </c>
      <c r="C3077" s="17">
        <v>19900101</v>
      </c>
      <c r="D3077" s="17">
        <v>22991231</v>
      </c>
      <c r="E3077" s="25">
        <v>1553.18</v>
      </c>
    </row>
    <row r="3078" spans="1:5" ht="26" x14ac:dyDescent="0.3">
      <c r="A3078" s="17" t="str">
        <f>"50575"</f>
        <v>50575</v>
      </c>
      <c r="B3078" s="5" t="s">
        <v>3234</v>
      </c>
      <c r="C3078" s="17">
        <v>19940101</v>
      </c>
      <c r="D3078" s="17">
        <v>22991231</v>
      </c>
      <c r="E3078" s="25">
        <v>2360.33</v>
      </c>
    </row>
    <row r="3079" spans="1:5" ht="26" x14ac:dyDescent="0.3">
      <c r="A3079" s="17" t="str">
        <f>"50576"</f>
        <v>50576</v>
      </c>
      <c r="B3079" s="5" t="s">
        <v>3235</v>
      </c>
      <c r="C3079" s="17">
        <v>19900101</v>
      </c>
      <c r="D3079" s="17">
        <v>22991231</v>
      </c>
      <c r="E3079" s="25">
        <v>4341.6400000000003</v>
      </c>
    </row>
    <row r="3080" spans="1:5" ht="26" x14ac:dyDescent="0.3">
      <c r="A3080" s="17" t="str">
        <f>"50580"</f>
        <v>50580</v>
      </c>
      <c r="B3080" s="5" t="s">
        <v>3236</v>
      </c>
      <c r="C3080" s="17">
        <v>19900101</v>
      </c>
      <c r="D3080" s="17">
        <v>22991231</v>
      </c>
      <c r="E3080" s="25">
        <v>2360.33</v>
      </c>
    </row>
    <row r="3081" spans="1:5" x14ac:dyDescent="0.3">
      <c r="A3081" s="17" t="str">
        <f>"50590"</f>
        <v>50590</v>
      </c>
      <c r="B3081" s="5" t="s">
        <v>3237</v>
      </c>
      <c r="C3081" s="17">
        <v>19900101</v>
      </c>
      <c r="D3081" s="17">
        <v>22991231</v>
      </c>
      <c r="E3081" s="25">
        <v>1553.18</v>
      </c>
    </row>
    <row r="3082" spans="1:5" ht="26" x14ac:dyDescent="0.3">
      <c r="A3082" s="17" t="str">
        <f>"50592"</f>
        <v>50592</v>
      </c>
      <c r="B3082" s="5" t="s">
        <v>3238</v>
      </c>
      <c r="C3082" s="17">
        <v>20060101</v>
      </c>
      <c r="D3082" s="17">
        <v>22991231</v>
      </c>
      <c r="E3082" s="25">
        <v>2584.12</v>
      </c>
    </row>
    <row r="3083" spans="1:5" x14ac:dyDescent="0.3">
      <c r="A3083" s="17" t="str">
        <f>"50593"</f>
        <v>50593</v>
      </c>
      <c r="B3083" s="5" t="s">
        <v>3239</v>
      </c>
      <c r="C3083" s="17">
        <v>20080101</v>
      </c>
      <c r="D3083" s="17">
        <v>22991231</v>
      </c>
      <c r="E3083" s="25">
        <v>6139.17</v>
      </c>
    </row>
    <row r="3084" spans="1:5" ht="26" x14ac:dyDescent="0.3">
      <c r="A3084" s="17" t="str">
        <f>"50606"</f>
        <v>50606</v>
      </c>
      <c r="B3084" s="5" t="s">
        <v>3240</v>
      </c>
      <c r="C3084" s="17">
        <v>20230101</v>
      </c>
      <c r="D3084" s="17">
        <v>22991231</v>
      </c>
      <c r="E3084" s="25">
        <v>0</v>
      </c>
    </row>
    <row r="3085" spans="1:5" x14ac:dyDescent="0.3">
      <c r="A3085" s="17" t="str">
        <f>"50684"</f>
        <v>50684</v>
      </c>
      <c r="B3085" s="5" t="s">
        <v>3241</v>
      </c>
      <c r="C3085" s="17">
        <v>19900101</v>
      </c>
      <c r="D3085" s="17">
        <v>22991231</v>
      </c>
      <c r="E3085" s="25">
        <v>0</v>
      </c>
    </row>
    <row r="3086" spans="1:5" x14ac:dyDescent="0.3">
      <c r="A3086" s="17" t="str">
        <f>"50686"</f>
        <v>50686</v>
      </c>
      <c r="B3086" s="5" t="s">
        <v>3242</v>
      </c>
      <c r="C3086" s="17">
        <v>19900101</v>
      </c>
      <c r="D3086" s="17">
        <v>22991231</v>
      </c>
      <c r="E3086" s="25">
        <v>77.400000000000006</v>
      </c>
    </row>
    <row r="3087" spans="1:5" x14ac:dyDescent="0.3">
      <c r="A3087" s="17" t="str">
        <f>"50688"</f>
        <v>50688</v>
      </c>
      <c r="B3087" s="5" t="s">
        <v>3243</v>
      </c>
      <c r="C3087" s="17">
        <v>19900101</v>
      </c>
      <c r="D3087" s="17">
        <v>22991231</v>
      </c>
      <c r="E3087" s="25">
        <v>888.17</v>
      </c>
    </row>
    <row r="3088" spans="1:5" x14ac:dyDescent="0.3">
      <c r="A3088" s="17" t="str">
        <f>"50690"</f>
        <v>50690</v>
      </c>
      <c r="B3088" s="5" t="s">
        <v>3244</v>
      </c>
      <c r="C3088" s="17">
        <v>19900101</v>
      </c>
      <c r="D3088" s="17">
        <v>22991231</v>
      </c>
      <c r="E3088" s="25">
        <v>0</v>
      </c>
    </row>
    <row r="3089" spans="1:5" ht="39" x14ac:dyDescent="0.3">
      <c r="A3089" s="17" t="str">
        <f>"50693"</f>
        <v>50693</v>
      </c>
      <c r="B3089" s="5" t="s">
        <v>3245</v>
      </c>
      <c r="C3089" s="17">
        <v>20160101</v>
      </c>
      <c r="D3089" s="17">
        <v>22991231</v>
      </c>
      <c r="E3089" s="25">
        <v>1553.18</v>
      </c>
    </row>
    <row r="3090" spans="1:5" ht="39" x14ac:dyDescent="0.3">
      <c r="A3090" s="17" t="str">
        <f>"50694"</f>
        <v>50694</v>
      </c>
      <c r="B3090" s="5" t="s">
        <v>3246</v>
      </c>
      <c r="C3090" s="17">
        <v>20160101</v>
      </c>
      <c r="D3090" s="17">
        <v>22991231</v>
      </c>
      <c r="E3090" s="25">
        <v>1553.18</v>
      </c>
    </row>
    <row r="3091" spans="1:5" ht="39" x14ac:dyDescent="0.3">
      <c r="A3091" s="17" t="str">
        <f>"50695"</f>
        <v>50695</v>
      </c>
      <c r="B3091" s="5" t="s">
        <v>3247</v>
      </c>
      <c r="C3091" s="17">
        <v>20160101</v>
      </c>
      <c r="D3091" s="17">
        <v>22991231</v>
      </c>
      <c r="E3091" s="25">
        <v>1553.18</v>
      </c>
    </row>
    <row r="3092" spans="1:5" ht="26" x14ac:dyDescent="0.3">
      <c r="A3092" s="17" t="str">
        <f>"50705"</f>
        <v>50705</v>
      </c>
      <c r="B3092" s="5" t="s">
        <v>3248</v>
      </c>
      <c r="C3092" s="17">
        <v>20160101</v>
      </c>
      <c r="D3092" s="17">
        <v>22991231</v>
      </c>
      <c r="E3092" s="25">
        <v>0</v>
      </c>
    </row>
    <row r="3093" spans="1:5" ht="39" x14ac:dyDescent="0.3">
      <c r="A3093" s="17" t="str">
        <f>"50706"</f>
        <v>50706</v>
      </c>
      <c r="B3093" s="5" t="s">
        <v>3249</v>
      </c>
      <c r="C3093" s="17">
        <v>20160101</v>
      </c>
      <c r="D3093" s="17">
        <v>22991231</v>
      </c>
      <c r="E3093" s="25">
        <v>0</v>
      </c>
    </row>
    <row r="3094" spans="1:5" x14ac:dyDescent="0.3">
      <c r="A3094" s="17" t="str">
        <f>"50727"</f>
        <v>50727</v>
      </c>
      <c r="B3094" s="5" t="s">
        <v>3250</v>
      </c>
      <c r="C3094" s="17">
        <v>20230101</v>
      </c>
      <c r="D3094" s="17">
        <v>22991231</v>
      </c>
      <c r="E3094" s="25">
        <v>1553.18</v>
      </c>
    </row>
    <row r="3095" spans="1:5" ht="26" x14ac:dyDescent="0.3">
      <c r="A3095" s="17" t="str">
        <f>"50945"</f>
        <v>50945</v>
      </c>
      <c r="B3095" s="5" t="s">
        <v>3251</v>
      </c>
      <c r="C3095" s="17">
        <v>20000101</v>
      </c>
      <c r="D3095" s="17">
        <v>22991231</v>
      </c>
      <c r="E3095" s="24" t="s">
        <v>7128</v>
      </c>
    </row>
    <row r="3096" spans="1:5" ht="26" x14ac:dyDescent="0.3">
      <c r="A3096" s="17" t="str">
        <f>"50947"</f>
        <v>50947</v>
      </c>
      <c r="B3096" s="5" t="s">
        <v>3252</v>
      </c>
      <c r="C3096" s="17">
        <v>20010101</v>
      </c>
      <c r="D3096" s="17">
        <v>22991231</v>
      </c>
      <c r="E3096" s="25">
        <v>4336.99</v>
      </c>
    </row>
    <row r="3097" spans="1:5" x14ac:dyDescent="0.3">
      <c r="A3097" s="17" t="str">
        <f>"50948"</f>
        <v>50948</v>
      </c>
      <c r="B3097" s="5" t="s">
        <v>3253</v>
      </c>
      <c r="C3097" s="17">
        <v>20010101</v>
      </c>
      <c r="D3097" s="17">
        <v>22991231</v>
      </c>
      <c r="E3097" s="25">
        <v>4336.99</v>
      </c>
    </row>
    <row r="3098" spans="1:5" ht="39" x14ac:dyDescent="0.3">
      <c r="A3098" s="17" t="str">
        <f>"50951"</f>
        <v>50951</v>
      </c>
      <c r="B3098" s="5" t="s">
        <v>3254</v>
      </c>
      <c r="C3098" s="17">
        <v>19900101</v>
      </c>
      <c r="D3098" s="17">
        <v>22991231</v>
      </c>
      <c r="E3098" s="25">
        <v>1553.18</v>
      </c>
    </row>
    <row r="3099" spans="1:5" ht="39" x14ac:dyDescent="0.3">
      <c r="A3099" s="17" t="str">
        <f>"50953"</f>
        <v>50953</v>
      </c>
      <c r="B3099" s="5" t="s">
        <v>3255</v>
      </c>
      <c r="C3099" s="17">
        <v>19900101</v>
      </c>
      <c r="D3099" s="17">
        <v>22991231</v>
      </c>
      <c r="E3099" s="25">
        <v>1553.18</v>
      </c>
    </row>
    <row r="3100" spans="1:5" ht="39" x14ac:dyDescent="0.3">
      <c r="A3100" s="17" t="str">
        <f>"50955"</f>
        <v>50955</v>
      </c>
      <c r="B3100" s="5" t="s">
        <v>3256</v>
      </c>
      <c r="C3100" s="17">
        <v>19900101</v>
      </c>
      <c r="D3100" s="17">
        <v>22991231</v>
      </c>
      <c r="E3100" s="25">
        <v>2360.33</v>
      </c>
    </row>
    <row r="3101" spans="1:5" ht="39" x14ac:dyDescent="0.3">
      <c r="A3101" s="17" t="str">
        <f>"50957"</f>
        <v>50957</v>
      </c>
      <c r="B3101" s="5" t="s">
        <v>3257</v>
      </c>
      <c r="C3101" s="17">
        <v>19900101</v>
      </c>
      <c r="D3101" s="17">
        <v>22991231</v>
      </c>
      <c r="E3101" s="25">
        <v>2360.33</v>
      </c>
    </row>
    <row r="3102" spans="1:5" ht="39" x14ac:dyDescent="0.3">
      <c r="A3102" s="17" t="str">
        <f>"50961"</f>
        <v>50961</v>
      </c>
      <c r="B3102" s="5" t="s">
        <v>3258</v>
      </c>
      <c r="C3102" s="17">
        <v>19900101</v>
      </c>
      <c r="D3102" s="17">
        <v>22991231</v>
      </c>
      <c r="E3102" s="25">
        <v>2360.33</v>
      </c>
    </row>
    <row r="3103" spans="1:5" x14ac:dyDescent="0.3">
      <c r="A3103" s="17" t="str">
        <f>"50970"</f>
        <v>50970</v>
      </c>
      <c r="B3103" s="5" t="s">
        <v>3259</v>
      </c>
      <c r="C3103" s="17">
        <v>19900101</v>
      </c>
      <c r="D3103" s="17">
        <v>22991231</v>
      </c>
      <c r="E3103" s="25">
        <v>1553.18</v>
      </c>
    </row>
    <row r="3104" spans="1:5" x14ac:dyDescent="0.3">
      <c r="A3104" s="17" t="str">
        <f>"50972"</f>
        <v>50972</v>
      </c>
      <c r="B3104" s="5" t="s">
        <v>3260</v>
      </c>
      <c r="C3104" s="17">
        <v>19900101</v>
      </c>
      <c r="D3104" s="17">
        <v>22991231</v>
      </c>
      <c r="E3104" s="25">
        <v>1553.18</v>
      </c>
    </row>
    <row r="3105" spans="1:5" x14ac:dyDescent="0.3">
      <c r="A3105" s="17" t="str">
        <f>"50974"</f>
        <v>50974</v>
      </c>
      <c r="B3105" s="5" t="s">
        <v>3261</v>
      </c>
      <c r="C3105" s="17">
        <v>19900101</v>
      </c>
      <c r="D3105" s="17">
        <v>22991231</v>
      </c>
      <c r="E3105" s="25">
        <v>2360.33</v>
      </c>
    </row>
    <row r="3106" spans="1:5" ht="26" x14ac:dyDescent="0.3">
      <c r="A3106" s="17" t="str">
        <f>"50976"</f>
        <v>50976</v>
      </c>
      <c r="B3106" s="5" t="s">
        <v>3262</v>
      </c>
      <c r="C3106" s="17">
        <v>19900101</v>
      </c>
      <c r="D3106" s="17">
        <v>22991231</v>
      </c>
      <c r="E3106" s="25">
        <v>2360.33</v>
      </c>
    </row>
    <row r="3107" spans="1:5" ht="26" x14ac:dyDescent="0.3">
      <c r="A3107" s="17" t="str">
        <f>"50980"</f>
        <v>50980</v>
      </c>
      <c r="B3107" s="5" t="s">
        <v>3263</v>
      </c>
      <c r="C3107" s="17">
        <v>19900101</v>
      </c>
      <c r="D3107" s="17">
        <v>22991231</v>
      </c>
      <c r="E3107" s="25">
        <v>2360.33</v>
      </c>
    </row>
    <row r="3108" spans="1:5" ht="26" x14ac:dyDescent="0.3">
      <c r="A3108" s="17" t="str">
        <f>"51020"</f>
        <v>51020</v>
      </c>
      <c r="B3108" s="5" t="s">
        <v>3264</v>
      </c>
      <c r="C3108" s="17">
        <v>19900101</v>
      </c>
      <c r="D3108" s="17">
        <v>22991231</v>
      </c>
      <c r="E3108" s="25">
        <v>1553.18</v>
      </c>
    </row>
    <row r="3109" spans="1:5" ht="26" x14ac:dyDescent="0.3">
      <c r="A3109" s="17" t="str">
        <f>"51030"</f>
        <v>51030</v>
      </c>
      <c r="B3109" s="5" t="s">
        <v>3265</v>
      </c>
      <c r="C3109" s="17">
        <v>19900101</v>
      </c>
      <c r="D3109" s="17">
        <v>22991231</v>
      </c>
      <c r="E3109" s="25">
        <v>1553.18</v>
      </c>
    </row>
    <row r="3110" spans="1:5" x14ac:dyDescent="0.3">
      <c r="A3110" s="17" t="str">
        <f>"51040"</f>
        <v>51040</v>
      </c>
      <c r="B3110" s="5" t="s">
        <v>3266</v>
      </c>
      <c r="C3110" s="17">
        <v>19900101</v>
      </c>
      <c r="D3110" s="17">
        <v>22991231</v>
      </c>
      <c r="E3110" s="25">
        <v>888.17</v>
      </c>
    </row>
    <row r="3111" spans="1:5" ht="26" x14ac:dyDescent="0.3">
      <c r="A3111" s="17" t="str">
        <f>"51045"</f>
        <v>51045</v>
      </c>
      <c r="B3111" s="5" t="s">
        <v>3267</v>
      </c>
      <c r="C3111" s="17">
        <v>19900101</v>
      </c>
      <c r="D3111" s="17">
        <v>22991231</v>
      </c>
      <c r="E3111" s="25">
        <v>888.17</v>
      </c>
    </row>
    <row r="3112" spans="1:5" ht="26" x14ac:dyDescent="0.3">
      <c r="A3112" s="17" t="str">
        <f>"51050"</f>
        <v>51050</v>
      </c>
      <c r="B3112" s="5" t="s">
        <v>3268</v>
      </c>
      <c r="C3112" s="17">
        <v>19900101</v>
      </c>
      <c r="D3112" s="17">
        <v>22991231</v>
      </c>
      <c r="E3112" s="25">
        <v>2360.33</v>
      </c>
    </row>
    <row r="3113" spans="1:5" ht="26" x14ac:dyDescent="0.3">
      <c r="A3113" s="17" t="str">
        <f>"51060"</f>
        <v>51060</v>
      </c>
      <c r="B3113" s="5" t="s">
        <v>3269</v>
      </c>
      <c r="C3113" s="17">
        <v>19900101</v>
      </c>
      <c r="D3113" s="17">
        <v>22991231</v>
      </c>
      <c r="E3113" s="24" t="s">
        <v>7128</v>
      </c>
    </row>
    <row r="3114" spans="1:5" ht="26" x14ac:dyDescent="0.3">
      <c r="A3114" s="17" t="str">
        <f>"51065"</f>
        <v>51065</v>
      </c>
      <c r="B3114" s="5" t="s">
        <v>3270</v>
      </c>
      <c r="C3114" s="17">
        <v>19900101</v>
      </c>
      <c r="D3114" s="17">
        <v>22991231</v>
      </c>
      <c r="E3114" s="25">
        <v>1553.18</v>
      </c>
    </row>
    <row r="3115" spans="1:5" x14ac:dyDescent="0.3">
      <c r="A3115" s="17" t="str">
        <f>"51080"</f>
        <v>51080</v>
      </c>
      <c r="B3115" s="5" t="s">
        <v>3271</v>
      </c>
      <c r="C3115" s="17">
        <v>19900101</v>
      </c>
      <c r="D3115" s="17">
        <v>22991231</v>
      </c>
      <c r="E3115" s="25">
        <v>1105.24</v>
      </c>
    </row>
    <row r="3116" spans="1:5" x14ac:dyDescent="0.3">
      <c r="A3116" s="17" t="str">
        <f>"51100"</f>
        <v>51100</v>
      </c>
      <c r="B3116" s="5" t="s">
        <v>3272</v>
      </c>
      <c r="C3116" s="17">
        <v>20080101</v>
      </c>
      <c r="D3116" s="17">
        <v>22991231</v>
      </c>
      <c r="E3116" s="25">
        <v>41.91</v>
      </c>
    </row>
    <row r="3117" spans="1:5" x14ac:dyDescent="0.3">
      <c r="A3117" s="17" t="str">
        <f>"51101"</f>
        <v>51101</v>
      </c>
      <c r="B3117" s="5" t="s">
        <v>3273</v>
      </c>
      <c r="C3117" s="17">
        <v>20080101</v>
      </c>
      <c r="D3117" s="17">
        <v>22991231</v>
      </c>
      <c r="E3117" s="25">
        <v>108.52</v>
      </c>
    </row>
    <row r="3118" spans="1:5" ht="26" x14ac:dyDescent="0.3">
      <c r="A3118" s="17" t="str">
        <f>"51102"</f>
        <v>51102</v>
      </c>
      <c r="B3118" s="5" t="s">
        <v>3274</v>
      </c>
      <c r="C3118" s="17">
        <v>20080101</v>
      </c>
      <c r="D3118" s="17">
        <v>22991231</v>
      </c>
      <c r="E3118" s="25">
        <v>888.17</v>
      </c>
    </row>
    <row r="3119" spans="1:5" x14ac:dyDescent="0.3">
      <c r="A3119" s="17" t="str">
        <f>"51500"</f>
        <v>51500</v>
      </c>
      <c r="B3119" s="5" t="s">
        <v>3275</v>
      </c>
      <c r="C3119" s="17">
        <v>19900101</v>
      </c>
      <c r="D3119" s="17">
        <v>22991231</v>
      </c>
      <c r="E3119" s="25">
        <v>2584.12</v>
      </c>
    </row>
    <row r="3120" spans="1:5" x14ac:dyDescent="0.3">
      <c r="A3120" s="17" t="str">
        <f>"51520"</f>
        <v>51520</v>
      </c>
      <c r="B3120" s="5" t="s">
        <v>3276</v>
      </c>
      <c r="C3120" s="17">
        <v>19900101</v>
      </c>
      <c r="D3120" s="17">
        <v>22991231</v>
      </c>
      <c r="E3120" s="25">
        <v>1553.18</v>
      </c>
    </row>
    <row r="3121" spans="1:5" ht="26" x14ac:dyDescent="0.3">
      <c r="A3121" s="17" t="str">
        <f>"51535"</f>
        <v>51535</v>
      </c>
      <c r="B3121" s="5" t="s">
        <v>3277</v>
      </c>
      <c r="C3121" s="17">
        <v>19900101</v>
      </c>
      <c r="D3121" s="17">
        <v>22991231</v>
      </c>
      <c r="E3121" s="25">
        <v>1553.18</v>
      </c>
    </row>
    <row r="3122" spans="1:5" ht="26" x14ac:dyDescent="0.3">
      <c r="A3122" s="17" t="str">
        <f>"51600"</f>
        <v>51600</v>
      </c>
      <c r="B3122" s="5" t="s">
        <v>3278</v>
      </c>
      <c r="C3122" s="17">
        <v>19900101</v>
      </c>
      <c r="D3122" s="17">
        <v>22991231</v>
      </c>
      <c r="E3122" s="25">
        <v>0</v>
      </c>
    </row>
    <row r="3123" spans="1:5" ht="26" x14ac:dyDescent="0.3">
      <c r="A3123" s="17" t="str">
        <f>"51605"</f>
        <v>51605</v>
      </c>
      <c r="B3123" s="5" t="s">
        <v>3279</v>
      </c>
      <c r="C3123" s="17">
        <v>19900101</v>
      </c>
      <c r="D3123" s="17">
        <v>22991231</v>
      </c>
      <c r="E3123" s="25">
        <v>0</v>
      </c>
    </row>
    <row r="3124" spans="1:5" ht="26" x14ac:dyDescent="0.3">
      <c r="A3124" s="17" t="str">
        <f>"51610"</f>
        <v>51610</v>
      </c>
      <c r="B3124" s="5" t="s">
        <v>3280</v>
      </c>
      <c r="C3124" s="17">
        <v>19900101</v>
      </c>
      <c r="D3124" s="17">
        <v>22991231</v>
      </c>
      <c r="E3124" s="25">
        <v>0</v>
      </c>
    </row>
    <row r="3125" spans="1:5" x14ac:dyDescent="0.3">
      <c r="A3125" s="17" t="str">
        <f>"51700"</f>
        <v>51700</v>
      </c>
      <c r="B3125" s="5" t="s">
        <v>3281</v>
      </c>
      <c r="C3125" s="17">
        <v>19900101</v>
      </c>
      <c r="D3125" s="17">
        <v>22991231</v>
      </c>
      <c r="E3125" s="25">
        <v>50.67</v>
      </c>
    </row>
    <row r="3126" spans="1:5" x14ac:dyDescent="0.3">
      <c r="A3126" s="17" t="str">
        <f>"51701"</f>
        <v>51701</v>
      </c>
      <c r="B3126" s="5" t="s">
        <v>3282</v>
      </c>
      <c r="C3126" s="17">
        <v>20230101</v>
      </c>
      <c r="D3126" s="17">
        <v>22991231</v>
      </c>
      <c r="E3126" s="25">
        <v>0</v>
      </c>
    </row>
    <row r="3127" spans="1:5" x14ac:dyDescent="0.3">
      <c r="A3127" s="17" t="str">
        <f>"51702"</f>
        <v>51702</v>
      </c>
      <c r="B3127" s="5" t="s">
        <v>3283</v>
      </c>
      <c r="C3127" s="17">
        <v>20230101</v>
      </c>
      <c r="D3127" s="17">
        <v>22991231</v>
      </c>
      <c r="E3127" s="25">
        <v>0</v>
      </c>
    </row>
    <row r="3128" spans="1:5" x14ac:dyDescent="0.3">
      <c r="A3128" s="17" t="str">
        <f>"51703"</f>
        <v>51703</v>
      </c>
      <c r="B3128" s="5" t="s">
        <v>3284</v>
      </c>
      <c r="C3128" s="17">
        <v>20230101</v>
      </c>
      <c r="D3128" s="17">
        <v>22991231</v>
      </c>
      <c r="E3128" s="25">
        <v>77.400000000000006</v>
      </c>
    </row>
    <row r="3129" spans="1:5" x14ac:dyDescent="0.3">
      <c r="A3129" s="17" t="str">
        <f>"51705"</f>
        <v>51705</v>
      </c>
      <c r="B3129" s="5" t="s">
        <v>3285</v>
      </c>
      <c r="C3129" s="17">
        <v>19900101</v>
      </c>
      <c r="D3129" s="17">
        <v>22991231</v>
      </c>
      <c r="E3129" s="25">
        <v>60.05</v>
      </c>
    </row>
    <row r="3130" spans="1:5" x14ac:dyDescent="0.3">
      <c r="A3130" s="17" t="str">
        <f>"51710"</f>
        <v>51710</v>
      </c>
      <c r="B3130" s="5" t="s">
        <v>3286</v>
      </c>
      <c r="C3130" s="17">
        <v>19900101</v>
      </c>
      <c r="D3130" s="17">
        <v>22991231</v>
      </c>
      <c r="E3130" s="25">
        <v>299.17</v>
      </c>
    </row>
    <row r="3131" spans="1:5" ht="26" x14ac:dyDescent="0.3">
      <c r="A3131" s="17" t="str">
        <f>"51715"</f>
        <v>51715</v>
      </c>
      <c r="B3131" s="5" t="s">
        <v>3287</v>
      </c>
      <c r="C3131" s="17">
        <v>19940101</v>
      </c>
      <c r="D3131" s="17">
        <v>22991231</v>
      </c>
      <c r="E3131" s="25">
        <v>2147.37</v>
      </c>
    </row>
    <row r="3132" spans="1:5" x14ac:dyDescent="0.3">
      <c r="A3132" s="17" t="str">
        <f>"51720"</f>
        <v>51720</v>
      </c>
      <c r="B3132" s="5" t="s">
        <v>3288</v>
      </c>
      <c r="C3132" s="17">
        <v>19900101</v>
      </c>
      <c r="D3132" s="17">
        <v>22991231</v>
      </c>
      <c r="E3132" s="25">
        <v>52.54</v>
      </c>
    </row>
    <row r="3133" spans="1:5" ht="26" x14ac:dyDescent="0.3">
      <c r="A3133" s="17" t="str">
        <f>"51725"</f>
        <v>51725</v>
      </c>
      <c r="B3133" s="5" t="s">
        <v>3289</v>
      </c>
      <c r="C3133" s="17">
        <v>19900101</v>
      </c>
      <c r="D3133" s="17">
        <v>22991231</v>
      </c>
      <c r="E3133" s="25">
        <v>122.45</v>
      </c>
    </row>
    <row r="3134" spans="1:5" ht="26" x14ac:dyDescent="0.3">
      <c r="A3134" s="17" t="str">
        <f>"51726"</f>
        <v>51726</v>
      </c>
      <c r="B3134" s="5" t="s">
        <v>3290</v>
      </c>
      <c r="C3134" s="17">
        <v>19900101</v>
      </c>
      <c r="D3134" s="17">
        <v>22991231</v>
      </c>
      <c r="E3134" s="25">
        <v>122.45</v>
      </c>
    </row>
    <row r="3135" spans="1:5" ht="26" x14ac:dyDescent="0.3">
      <c r="A3135" s="17" t="str">
        <f>"51727"</f>
        <v>51727</v>
      </c>
      <c r="B3135" s="5" t="s">
        <v>3291</v>
      </c>
      <c r="C3135" s="17">
        <v>20230101</v>
      </c>
      <c r="D3135" s="17">
        <v>22991231</v>
      </c>
      <c r="E3135" s="25">
        <v>269.60000000000002</v>
      </c>
    </row>
    <row r="3136" spans="1:5" ht="26" x14ac:dyDescent="0.3">
      <c r="A3136" s="17" t="str">
        <f>"51728"</f>
        <v>51728</v>
      </c>
      <c r="B3136" s="5" t="s">
        <v>3292</v>
      </c>
      <c r="C3136" s="17">
        <v>20230101</v>
      </c>
      <c r="D3136" s="17">
        <v>22991231</v>
      </c>
      <c r="E3136" s="25">
        <v>268.66000000000003</v>
      </c>
    </row>
    <row r="3137" spans="1:5" ht="39" x14ac:dyDescent="0.3">
      <c r="A3137" s="17" t="str">
        <f>"51729"</f>
        <v>51729</v>
      </c>
      <c r="B3137" s="5" t="s">
        <v>3293</v>
      </c>
      <c r="C3137" s="17">
        <v>20230101</v>
      </c>
      <c r="D3137" s="17">
        <v>22991231</v>
      </c>
      <c r="E3137" s="25">
        <v>272.41000000000003</v>
      </c>
    </row>
    <row r="3138" spans="1:5" x14ac:dyDescent="0.3">
      <c r="A3138" s="17" t="str">
        <f>"51736"</f>
        <v>51736</v>
      </c>
      <c r="B3138" s="5" t="s">
        <v>3294</v>
      </c>
      <c r="C3138" s="17">
        <v>19900101</v>
      </c>
      <c r="D3138" s="17">
        <v>22991231</v>
      </c>
      <c r="E3138" s="25">
        <v>0</v>
      </c>
    </row>
    <row r="3139" spans="1:5" x14ac:dyDescent="0.3">
      <c r="A3139" s="17" t="str">
        <f>"51741"</f>
        <v>51741</v>
      </c>
      <c r="B3139" s="5" t="s">
        <v>3295</v>
      </c>
      <c r="C3139" s="17">
        <v>19900101</v>
      </c>
      <c r="D3139" s="17">
        <v>22991231</v>
      </c>
      <c r="E3139" s="25">
        <v>0</v>
      </c>
    </row>
    <row r="3140" spans="1:5" ht="39" x14ac:dyDescent="0.3">
      <c r="A3140" s="17" t="str">
        <f>"51784"</f>
        <v>51784</v>
      </c>
      <c r="B3140" s="5" t="s">
        <v>3296</v>
      </c>
      <c r="C3140" s="17">
        <v>20230101</v>
      </c>
      <c r="D3140" s="17">
        <v>22991231</v>
      </c>
      <c r="E3140" s="25">
        <v>34.4</v>
      </c>
    </row>
    <row r="3141" spans="1:5" ht="39" x14ac:dyDescent="0.3">
      <c r="A3141" s="17" t="str">
        <f>"51785"</f>
        <v>51785</v>
      </c>
      <c r="B3141" s="5" t="s">
        <v>3297</v>
      </c>
      <c r="C3141" s="17">
        <v>19900101</v>
      </c>
      <c r="D3141" s="17">
        <v>22991231</v>
      </c>
      <c r="E3141" s="25">
        <v>122.45</v>
      </c>
    </row>
    <row r="3142" spans="1:5" x14ac:dyDescent="0.3">
      <c r="A3142" s="17" t="str">
        <f>"51792"</f>
        <v>51792</v>
      </c>
      <c r="B3142" s="5" t="s">
        <v>3298</v>
      </c>
      <c r="C3142" s="17">
        <v>19900101</v>
      </c>
      <c r="D3142" s="17">
        <v>22991231</v>
      </c>
      <c r="E3142" s="25">
        <v>0</v>
      </c>
    </row>
    <row r="3143" spans="1:5" ht="26" x14ac:dyDescent="0.3">
      <c r="A3143" s="17" t="str">
        <f>"51797"</f>
        <v>51797</v>
      </c>
      <c r="B3143" s="5" t="s">
        <v>3299</v>
      </c>
      <c r="C3143" s="17">
        <v>19900101</v>
      </c>
      <c r="D3143" s="17">
        <v>22991231</v>
      </c>
      <c r="E3143" s="25">
        <v>0</v>
      </c>
    </row>
    <row r="3144" spans="1:5" ht="26" x14ac:dyDescent="0.3">
      <c r="A3144" s="17" t="str">
        <f>"51798"</f>
        <v>51798</v>
      </c>
      <c r="B3144" s="5" t="s">
        <v>3300</v>
      </c>
      <c r="C3144" s="17">
        <v>20230101</v>
      </c>
      <c r="D3144" s="17">
        <v>22991231</v>
      </c>
      <c r="E3144" s="25">
        <v>0</v>
      </c>
    </row>
    <row r="3145" spans="1:5" x14ac:dyDescent="0.3">
      <c r="A3145" s="17" t="str">
        <f>"51845"</f>
        <v>51845</v>
      </c>
      <c r="B3145" s="5" t="s">
        <v>3301</v>
      </c>
      <c r="C3145" s="17">
        <v>19900101</v>
      </c>
      <c r="D3145" s="17">
        <v>22991231</v>
      </c>
      <c r="E3145" s="24" t="s">
        <v>7128</v>
      </c>
    </row>
    <row r="3146" spans="1:5" ht="26" x14ac:dyDescent="0.3">
      <c r="A3146" s="17" t="str">
        <f>"51860"</f>
        <v>51860</v>
      </c>
      <c r="B3146" s="5" t="s">
        <v>3302</v>
      </c>
      <c r="C3146" s="17">
        <v>19900101</v>
      </c>
      <c r="D3146" s="17">
        <v>22991231</v>
      </c>
      <c r="E3146" s="24" t="s">
        <v>7128</v>
      </c>
    </row>
    <row r="3147" spans="1:5" ht="26" x14ac:dyDescent="0.3">
      <c r="A3147" s="17" t="str">
        <f>"51880"</f>
        <v>51880</v>
      </c>
      <c r="B3147" s="5" t="s">
        <v>3303</v>
      </c>
      <c r="C3147" s="17">
        <v>19900101</v>
      </c>
      <c r="D3147" s="17">
        <v>22991231</v>
      </c>
      <c r="E3147" s="25">
        <v>1553.18</v>
      </c>
    </row>
    <row r="3148" spans="1:5" ht="26" x14ac:dyDescent="0.3">
      <c r="A3148" s="17" t="str">
        <f>"51990"</f>
        <v>51990</v>
      </c>
      <c r="B3148" s="5" t="s">
        <v>3304</v>
      </c>
      <c r="C3148" s="17">
        <v>20000101</v>
      </c>
      <c r="D3148" s="17">
        <v>22991231</v>
      </c>
      <c r="E3148" s="24" t="s">
        <v>7128</v>
      </c>
    </row>
    <row r="3149" spans="1:5" ht="26" x14ac:dyDescent="0.3">
      <c r="A3149" s="17" t="str">
        <f>"51992"</f>
        <v>51992</v>
      </c>
      <c r="B3149" s="5" t="s">
        <v>3305</v>
      </c>
      <c r="C3149" s="17">
        <v>20000101</v>
      </c>
      <c r="D3149" s="17">
        <v>22991231</v>
      </c>
      <c r="E3149" s="25">
        <v>3500.51</v>
      </c>
    </row>
    <row r="3150" spans="1:5" ht="26" x14ac:dyDescent="0.3">
      <c r="A3150" s="17" t="str">
        <f>"52000"</f>
        <v>52000</v>
      </c>
      <c r="B3150" s="5" t="s">
        <v>3306</v>
      </c>
      <c r="C3150" s="17">
        <v>19900101</v>
      </c>
      <c r="D3150" s="17">
        <v>22991231</v>
      </c>
      <c r="E3150" s="25">
        <v>299.17</v>
      </c>
    </row>
    <row r="3151" spans="1:5" ht="26" x14ac:dyDescent="0.3">
      <c r="A3151" s="17" t="str">
        <f>"52001"</f>
        <v>52001</v>
      </c>
      <c r="B3151" s="5" t="s">
        <v>3307</v>
      </c>
      <c r="C3151" s="17">
        <v>20230101</v>
      </c>
      <c r="D3151" s="17">
        <v>22991231</v>
      </c>
      <c r="E3151" s="25">
        <v>1553.18</v>
      </c>
    </row>
    <row r="3152" spans="1:5" ht="26" x14ac:dyDescent="0.3">
      <c r="A3152" s="17" t="str">
        <f>"52005"</f>
        <v>52005</v>
      </c>
      <c r="B3152" s="5" t="s">
        <v>3308</v>
      </c>
      <c r="C3152" s="17">
        <v>19900101</v>
      </c>
      <c r="D3152" s="17">
        <v>22991231</v>
      </c>
      <c r="E3152" s="25">
        <v>888.17</v>
      </c>
    </row>
    <row r="3153" spans="1:5" ht="26" x14ac:dyDescent="0.3">
      <c r="A3153" s="17" t="str">
        <f>"52007"</f>
        <v>52007</v>
      </c>
      <c r="B3153" s="5" t="s">
        <v>3309</v>
      </c>
      <c r="C3153" s="17">
        <v>19900101</v>
      </c>
      <c r="D3153" s="17">
        <v>22991231</v>
      </c>
      <c r="E3153" s="25">
        <v>1553.18</v>
      </c>
    </row>
    <row r="3154" spans="1:5" ht="26" x14ac:dyDescent="0.3">
      <c r="A3154" s="17" t="str">
        <f>"52010"</f>
        <v>52010</v>
      </c>
      <c r="B3154" s="5" t="s">
        <v>3310</v>
      </c>
      <c r="C3154" s="17">
        <v>19900101</v>
      </c>
      <c r="D3154" s="17">
        <v>22991231</v>
      </c>
      <c r="E3154" s="25">
        <v>299.17</v>
      </c>
    </row>
    <row r="3155" spans="1:5" x14ac:dyDescent="0.3">
      <c r="A3155" s="17" t="str">
        <f>"52204"</f>
        <v>52204</v>
      </c>
      <c r="B3155" s="5" t="s">
        <v>3311</v>
      </c>
      <c r="C3155" s="17">
        <v>19900101</v>
      </c>
      <c r="D3155" s="17">
        <v>22991231</v>
      </c>
      <c r="E3155" s="25">
        <v>888.17</v>
      </c>
    </row>
    <row r="3156" spans="1:5" ht="26" x14ac:dyDescent="0.3">
      <c r="A3156" s="17" t="str">
        <f>"52214"</f>
        <v>52214</v>
      </c>
      <c r="B3156" s="5" t="s">
        <v>3312</v>
      </c>
      <c r="C3156" s="17">
        <v>19900101</v>
      </c>
      <c r="D3156" s="17">
        <v>22991231</v>
      </c>
      <c r="E3156" s="25">
        <v>1553.18</v>
      </c>
    </row>
    <row r="3157" spans="1:5" ht="26" x14ac:dyDescent="0.3">
      <c r="A3157" s="17" t="str">
        <f>"52224"</f>
        <v>52224</v>
      </c>
      <c r="B3157" s="5" t="s">
        <v>3313</v>
      </c>
      <c r="C3157" s="17">
        <v>19900101</v>
      </c>
      <c r="D3157" s="17">
        <v>22991231</v>
      </c>
      <c r="E3157" s="25">
        <v>1553.18</v>
      </c>
    </row>
    <row r="3158" spans="1:5" ht="26" x14ac:dyDescent="0.3">
      <c r="A3158" s="17" t="str">
        <f>"52234"</f>
        <v>52234</v>
      </c>
      <c r="B3158" s="5" t="s">
        <v>3314</v>
      </c>
      <c r="C3158" s="17">
        <v>19900101</v>
      </c>
      <c r="D3158" s="17">
        <v>22991231</v>
      </c>
      <c r="E3158" s="25">
        <v>1553.18</v>
      </c>
    </row>
    <row r="3159" spans="1:5" ht="26" x14ac:dyDescent="0.3">
      <c r="A3159" s="17" t="str">
        <f>"52235"</f>
        <v>52235</v>
      </c>
      <c r="B3159" s="5" t="s">
        <v>3315</v>
      </c>
      <c r="C3159" s="17">
        <v>19900101</v>
      </c>
      <c r="D3159" s="17">
        <v>22991231</v>
      </c>
      <c r="E3159" s="25">
        <v>1553.18</v>
      </c>
    </row>
    <row r="3160" spans="1:5" ht="26" x14ac:dyDescent="0.3">
      <c r="A3160" s="17" t="str">
        <f>"52240"</f>
        <v>52240</v>
      </c>
      <c r="B3160" s="5" t="s">
        <v>3316</v>
      </c>
      <c r="C3160" s="17">
        <v>19900101</v>
      </c>
      <c r="D3160" s="17">
        <v>22991231</v>
      </c>
      <c r="E3160" s="25">
        <v>2360.33</v>
      </c>
    </row>
    <row r="3161" spans="1:5" ht="26" x14ac:dyDescent="0.3">
      <c r="A3161" s="17" t="str">
        <f>"52250"</f>
        <v>52250</v>
      </c>
      <c r="B3161" s="5" t="s">
        <v>3317</v>
      </c>
      <c r="C3161" s="17">
        <v>19900101</v>
      </c>
      <c r="D3161" s="17">
        <v>22991231</v>
      </c>
      <c r="E3161" s="25">
        <v>1553.18</v>
      </c>
    </row>
    <row r="3162" spans="1:5" ht="26" x14ac:dyDescent="0.3">
      <c r="A3162" s="17" t="str">
        <f>"52260"</f>
        <v>52260</v>
      </c>
      <c r="B3162" s="5" t="s">
        <v>3318</v>
      </c>
      <c r="C3162" s="17">
        <v>19900101</v>
      </c>
      <c r="D3162" s="17">
        <v>22991231</v>
      </c>
      <c r="E3162" s="25">
        <v>888.17</v>
      </c>
    </row>
    <row r="3163" spans="1:5" x14ac:dyDescent="0.3">
      <c r="A3163" s="17" t="str">
        <f>"52265"</f>
        <v>52265</v>
      </c>
      <c r="B3163" s="5" t="s">
        <v>3319</v>
      </c>
      <c r="C3163" s="17">
        <v>19900101</v>
      </c>
      <c r="D3163" s="17">
        <v>22991231</v>
      </c>
      <c r="E3163" s="25">
        <v>244.89</v>
      </c>
    </row>
    <row r="3164" spans="1:5" x14ac:dyDescent="0.3">
      <c r="A3164" s="17" t="str">
        <f>"52270"</f>
        <v>52270</v>
      </c>
      <c r="B3164" s="5" t="s">
        <v>3320</v>
      </c>
      <c r="C3164" s="17">
        <v>19900101</v>
      </c>
      <c r="D3164" s="17">
        <v>22991231</v>
      </c>
      <c r="E3164" s="25">
        <v>888.17</v>
      </c>
    </row>
    <row r="3165" spans="1:5" x14ac:dyDescent="0.3">
      <c r="A3165" s="17" t="str">
        <f>"52275"</f>
        <v>52275</v>
      </c>
      <c r="B3165" s="5" t="s">
        <v>3321</v>
      </c>
      <c r="C3165" s="17">
        <v>19900101</v>
      </c>
      <c r="D3165" s="17">
        <v>22991231</v>
      </c>
      <c r="E3165" s="25">
        <v>888.17</v>
      </c>
    </row>
    <row r="3166" spans="1:5" x14ac:dyDescent="0.3">
      <c r="A3166" s="17" t="str">
        <f>"52276"</f>
        <v>52276</v>
      </c>
      <c r="B3166" s="5" t="s">
        <v>3322</v>
      </c>
      <c r="C3166" s="17">
        <v>19900101</v>
      </c>
      <c r="D3166" s="17">
        <v>22991231</v>
      </c>
      <c r="E3166" s="25">
        <v>888.17</v>
      </c>
    </row>
    <row r="3167" spans="1:5" ht="26" x14ac:dyDescent="0.3">
      <c r="A3167" s="17" t="str">
        <f>"52277"</f>
        <v>52277</v>
      </c>
      <c r="B3167" s="5" t="s">
        <v>3323</v>
      </c>
      <c r="C3167" s="17">
        <v>19900101</v>
      </c>
      <c r="D3167" s="17">
        <v>22991231</v>
      </c>
      <c r="E3167" s="25">
        <v>1553.18</v>
      </c>
    </row>
    <row r="3168" spans="1:5" x14ac:dyDescent="0.3">
      <c r="A3168" s="17" t="str">
        <f>"52281"</f>
        <v>52281</v>
      </c>
      <c r="B3168" s="5" t="s">
        <v>3324</v>
      </c>
      <c r="C3168" s="17">
        <v>19900101</v>
      </c>
      <c r="D3168" s="17">
        <v>22991231</v>
      </c>
      <c r="E3168" s="25">
        <v>888.17</v>
      </c>
    </row>
    <row r="3169" spans="1:5" ht="26" x14ac:dyDescent="0.3">
      <c r="A3169" s="17" t="str">
        <f>"52282"</f>
        <v>52282</v>
      </c>
      <c r="B3169" s="5" t="s">
        <v>3325</v>
      </c>
      <c r="C3169" s="17">
        <v>19980101</v>
      </c>
      <c r="D3169" s="17">
        <v>22991231</v>
      </c>
      <c r="E3169" s="25">
        <v>1553.18</v>
      </c>
    </row>
    <row r="3170" spans="1:5" ht="26" x14ac:dyDescent="0.3">
      <c r="A3170" s="17" t="str">
        <f>"52283"</f>
        <v>52283</v>
      </c>
      <c r="B3170" s="5" t="s">
        <v>3326</v>
      </c>
      <c r="C3170" s="17">
        <v>20230101</v>
      </c>
      <c r="D3170" s="17">
        <v>22991231</v>
      </c>
      <c r="E3170" s="25">
        <v>888.17</v>
      </c>
    </row>
    <row r="3171" spans="1:5" ht="39" x14ac:dyDescent="0.3">
      <c r="A3171" s="17" t="str">
        <f>"52284"</f>
        <v>52284</v>
      </c>
      <c r="B3171" s="5" t="s">
        <v>3327</v>
      </c>
      <c r="C3171" s="17">
        <v>20240101</v>
      </c>
      <c r="D3171" s="17">
        <v>22991231</v>
      </c>
      <c r="E3171" s="25">
        <v>2360.33</v>
      </c>
    </row>
    <row r="3172" spans="1:5" ht="26" x14ac:dyDescent="0.3">
      <c r="A3172" s="17" t="str">
        <f>"52285"</f>
        <v>52285</v>
      </c>
      <c r="B3172" s="5" t="s">
        <v>3328</v>
      </c>
      <c r="C3172" s="17">
        <v>19900101</v>
      </c>
      <c r="D3172" s="17">
        <v>22991231</v>
      </c>
      <c r="E3172" s="25">
        <v>299.17</v>
      </c>
    </row>
    <row r="3173" spans="1:5" ht="26" x14ac:dyDescent="0.3">
      <c r="A3173" s="17" t="str">
        <f>"52287"</f>
        <v>52287</v>
      </c>
      <c r="B3173" s="5" t="s">
        <v>3329</v>
      </c>
      <c r="C3173" s="17">
        <v>20130101</v>
      </c>
      <c r="D3173" s="17">
        <v>22991231</v>
      </c>
      <c r="E3173" s="25">
        <v>888.17</v>
      </c>
    </row>
    <row r="3174" spans="1:5" x14ac:dyDescent="0.3">
      <c r="A3174" s="17" t="str">
        <f>"52290"</f>
        <v>52290</v>
      </c>
      <c r="B3174" s="5" t="s">
        <v>3330</v>
      </c>
      <c r="C3174" s="17">
        <v>19900101</v>
      </c>
      <c r="D3174" s="17">
        <v>22991231</v>
      </c>
      <c r="E3174" s="25">
        <v>888.17</v>
      </c>
    </row>
    <row r="3175" spans="1:5" ht="26" x14ac:dyDescent="0.3">
      <c r="A3175" s="17" t="str">
        <f>"52300"</f>
        <v>52300</v>
      </c>
      <c r="B3175" s="5" t="s">
        <v>3331</v>
      </c>
      <c r="C3175" s="17">
        <v>19900101</v>
      </c>
      <c r="D3175" s="17">
        <v>22991231</v>
      </c>
      <c r="E3175" s="25">
        <v>1553.18</v>
      </c>
    </row>
    <row r="3176" spans="1:5" ht="39" x14ac:dyDescent="0.3">
      <c r="A3176" s="17" t="str">
        <f>"52301"</f>
        <v>52301</v>
      </c>
      <c r="B3176" s="5" t="s">
        <v>3332</v>
      </c>
      <c r="C3176" s="17">
        <v>19970101</v>
      </c>
      <c r="D3176" s="17">
        <v>22991231</v>
      </c>
      <c r="E3176" s="25">
        <v>1553.18</v>
      </c>
    </row>
    <row r="3177" spans="1:5" x14ac:dyDescent="0.3">
      <c r="A3177" s="17" t="str">
        <f>"52305"</f>
        <v>52305</v>
      </c>
      <c r="B3177" s="5" t="s">
        <v>3333</v>
      </c>
      <c r="C3177" s="17">
        <v>19900101</v>
      </c>
      <c r="D3177" s="17">
        <v>22991231</v>
      </c>
      <c r="E3177" s="25">
        <v>2360.33</v>
      </c>
    </row>
    <row r="3178" spans="1:5" ht="26" x14ac:dyDescent="0.3">
      <c r="A3178" s="17" t="str">
        <f>"52310"</f>
        <v>52310</v>
      </c>
      <c r="B3178" s="5" t="s">
        <v>3334</v>
      </c>
      <c r="C3178" s="17">
        <v>19900101</v>
      </c>
      <c r="D3178" s="17">
        <v>22991231</v>
      </c>
      <c r="E3178" s="25">
        <v>888.17</v>
      </c>
    </row>
    <row r="3179" spans="1:5" ht="26" x14ac:dyDescent="0.3">
      <c r="A3179" s="17" t="str">
        <f>"52315"</f>
        <v>52315</v>
      </c>
      <c r="B3179" s="5" t="s">
        <v>3335</v>
      </c>
      <c r="C3179" s="17">
        <v>19900101</v>
      </c>
      <c r="D3179" s="17">
        <v>22991231</v>
      </c>
      <c r="E3179" s="25">
        <v>888.17</v>
      </c>
    </row>
    <row r="3180" spans="1:5" ht="26" x14ac:dyDescent="0.3">
      <c r="A3180" s="17" t="str">
        <f>"52317"</f>
        <v>52317</v>
      </c>
      <c r="B3180" s="5" t="s">
        <v>3336</v>
      </c>
      <c r="C3180" s="17">
        <v>19900101</v>
      </c>
      <c r="D3180" s="17">
        <v>22991231</v>
      </c>
      <c r="E3180" s="25">
        <v>1553.18</v>
      </c>
    </row>
    <row r="3181" spans="1:5" ht="26" x14ac:dyDescent="0.3">
      <c r="A3181" s="17" t="str">
        <f>"52318"</f>
        <v>52318</v>
      </c>
      <c r="B3181" s="5" t="s">
        <v>3337</v>
      </c>
      <c r="C3181" s="17">
        <v>19900101</v>
      </c>
      <c r="D3181" s="17">
        <v>22991231</v>
      </c>
      <c r="E3181" s="25">
        <v>1553.18</v>
      </c>
    </row>
    <row r="3182" spans="1:5" x14ac:dyDescent="0.3">
      <c r="A3182" s="17" t="str">
        <f>"52320"</f>
        <v>52320</v>
      </c>
      <c r="B3182" s="5" t="s">
        <v>3338</v>
      </c>
      <c r="C3182" s="17">
        <v>19900101</v>
      </c>
      <c r="D3182" s="17">
        <v>22991231</v>
      </c>
      <c r="E3182" s="25">
        <v>1553.18</v>
      </c>
    </row>
    <row r="3183" spans="1:5" ht="26" x14ac:dyDescent="0.3">
      <c r="A3183" s="17" t="str">
        <f>"52325"</f>
        <v>52325</v>
      </c>
      <c r="B3183" s="5" t="s">
        <v>3339</v>
      </c>
      <c r="C3183" s="17">
        <v>19900101</v>
      </c>
      <c r="D3183" s="17">
        <v>22991231</v>
      </c>
      <c r="E3183" s="25">
        <v>2360.33</v>
      </c>
    </row>
    <row r="3184" spans="1:5" ht="26" x14ac:dyDescent="0.3">
      <c r="A3184" s="17" t="str">
        <f>"52327"</f>
        <v>52327</v>
      </c>
      <c r="B3184" s="5" t="s">
        <v>3340</v>
      </c>
      <c r="C3184" s="17">
        <v>19950101</v>
      </c>
      <c r="D3184" s="17">
        <v>22991231</v>
      </c>
      <c r="E3184" s="25">
        <v>3309.93</v>
      </c>
    </row>
    <row r="3185" spans="1:5" ht="26" x14ac:dyDescent="0.3">
      <c r="A3185" s="17" t="str">
        <f>"52330"</f>
        <v>52330</v>
      </c>
      <c r="B3185" s="5" t="s">
        <v>3341</v>
      </c>
      <c r="C3185" s="17">
        <v>19900101</v>
      </c>
      <c r="D3185" s="17">
        <v>22991231</v>
      </c>
      <c r="E3185" s="25">
        <v>1553.18</v>
      </c>
    </row>
    <row r="3186" spans="1:5" x14ac:dyDescent="0.3">
      <c r="A3186" s="17" t="str">
        <f>"52332"</f>
        <v>52332</v>
      </c>
      <c r="B3186" s="5" t="s">
        <v>3342</v>
      </c>
      <c r="C3186" s="17">
        <v>19900101</v>
      </c>
      <c r="D3186" s="17">
        <v>22991231</v>
      </c>
      <c r="E3186" s="25">
        <v>1553.18</v>
      </c>
    </row>
    <row r="3187" spans="1:5" ht="26" x14ac:dyDescent="0.3">
      <c r="A3187" s="17" t="str">
        <f>"52334"</f>
        <v>52334</v>
      </c>
      <c r="B3187" s="5" t="s">
        <v>3343</v>
      </c>
      <c r="C3187" s="17">
        <v>19900101</v>
      </c>
      <c r="D3187" s="17">
        <v>22991231</v>
      </c>
      <c r="E3187" s="25">
        <v>1553.18</v>
      </c>
    </row>
    <row r="3188" spans="1:5" ht="26" x14ac:dyDescent="0.3">
      <c r="A3188" s="17" t="str">
        <f>"52341"</f>
        <v>52341</v>
      </c>
      <c r="B3188" s="5" t="s">
        <v>3344</v>
      </c>
      <c r="C3188" s="17">
        <v>20010101</v>
      </c>
      <c r="D3188" s="17">
        <v>22991231</v>
      </c>
      <c r="E3188" s="25">
        <v>1553.18</v>
      </c>
    </row>
    <row r="3189" spans="1:5" ht="26" x14ac:dyDescent="0.3">
      <c r="A3189" s="17" t="str">
        <f>"52342"</f>
        <v>52342</v>
      </c>
      <c r="B3189" s="5" t="s">
        <v>3345</v>
      </c>
      <c r="C3189" s="17">
        <v>20010101</v>
      </c>
      <c r="D3189" s="17">
        <v>22991231</v>
      </c>
      <c r="E3189" s="25">
        <v>1553.18</v>
      </c>
    </row>
    <row r="3190" spans="1:5" x14ac:dyDescent="0.3">
      <c r="A3190" s="17" t="str">
        <f>"52343"</f>
        <v>52343</v>
      </c>
      <c r="B3190" s="5" t="s">
        <v>3346</v>
      </c>
      <c r="C3190" s="17">
        <v>20010101</v>
      </c>
      <c r="D3190" s="17">
        <v>22991231</v>
      </c>
      <c r="E3190" s="25">
        <v>1553.18</v>
      </c>
    </row>
    <row r="3191" spans="1:5" x14ac:dyDescent="0.3">
      <c r="A3191" s="17" t="str">
        <f>"52344"</f>
        <v>52344</v>
      </c>
      <c r="B3191" s="5" t="s">
        <v>3347</v>
      </c>
      <c r="C3191" s="17">
        <v>20010101</v>
      </c>
      <c r="D3191" s="17">
        <v>22991231</v>
      </c>
      <c r="E3191" s="25">
        <v>1553.18</v>
      </c>
    </row>
    <row r="3192" spans="1:5" ht="26" x14ac:dyDescent="0.3">
      <c r="A3192" s="17" t="str">
        <f>"52345"</f>
        <v>52345</v>
      </c>
      <c r="B3192" s="5" t="s">
        <v>3348</v>
      </c>
      <c r="C3192" s="17">
        <v>20010101</v>
      </c>
      <c r="D3192" s="17">
        <v>22991231</v>
      </c>
      <c r="E3192" s="25">
        <v>1553.18</v>
      </c>
    </row>
    <row r="3193" spans="1:5" ht="26" x14ac:dyDescent="0.3">
      <c r="A3193" s="17" t="str">
        <f>"52346"</f>
        <v>52346</v>
      </c>
      <c r="B3193" s="5" t="s">
        <v>3349</v>
      </c>
      <c r="C3193" s="17">
        <v>20010101</v>
      </c>
      <c r="D3193" s="17">
        <v>22991231</v>
      </c>
      <c r="E3193" s="25">
        <v>2360.33</v>
      </c>
    </row>
    <row r="3194" spans="1:5" ht="26" x14ac:dyDescent="0.3">
      <c r="A3194" s="17" t="str">
        <f>"52351"</f>
        <v>52351</v>
      </c>
      <c r="B3194" s="5" t="s">
        <v>3350</v>
      </c>
      <c r="C3194" s="17">
        <v>20010101</v>
      </c>
      <c r="D3194" s="17">
        <v>22991231</v>
      </c>
      <c r="E3194" s="25">
        <v>1553.18</v>
      </c>
    </row>
    <row r="3195" spans="1:5" ht="26" x14ac:dyDescent="0.3">
      <c r="A3195" s="17" t="str">
        <f>"52352"</f>
        <v>52352</v>
      </c>
      <c r="B3195" s="5" t="s">
        <v>3351</v>
      </c>
      <c r="C3195" s="17">
        <v>20010101</v>
      </c>
      <c r="D3195" s="17">
        <v>22991231</v>
      </c>
      <c r="E3195" s="25">
        <v>1553.18</v>
      </c>
    </row>
    <row r="3196" spans="1:5" x14ac:dyDescent="0.3">
      <c r="A3196" s="17" t="str">
        <f>"52353"</f>
        <v>52353</v>
      </c>
      <c r="B3196" s="5" t="s">
        <v>3352</v>
      </c>
      <c r="C3196" s="17">
        <v>20010101</v>
      </c>
      <c r="D3196" s="17">
        <v>22991231</v>
      </c>
      <c r="E3196" s="25">
        <v>2360.33</v>
      </c>
    </row>
    <row r="3197" spans="1:5" ht="26" x14ac:dyDescent="0.3">
      <c r="A3197" s="17" t="str">
        <f>"52354"</f>
        <v>52354</v>
      </c>
      <c r="B3197" s="5" t="s">
        <v>3353</v>
      </c>
      <c r="C3197" s="17">
        <v>20010101</v>
      </c>
      <c r="D3197" s="17">
        <v>22991231</v>
      </c>
      <c r="E3197" s="25">
        <v>2360.33</v>
      </c>
    </row>
    <row r="3198" spans="1:5" ht="26" x14ac:dyDescent="0.3">
      <c r="A3198" s="17" t="str">
        <f>"52355"</f>
        <v>52355</v>
      </c>
      <c r="B3198" s="5" t="s">
        <v>3354</v>
      </c>
      <c r="C3198" s="17">
        <v>20010101</v>
      </c>
      <c r="D3198" s="17">
        <v>22991231</v>
      </c>
      <c r="E3198" s="25">
        <v>2360.33</v>
      </c>
    </row>
    <row r="3199" spans="1:5" ht="26" x14ac:dyDescent="0.3">
      <c r="A3199" s="17" t="str">
        <f>"52356"</f>
        <v>52356</v>
      </c>
      <c r="B3199" s="5" t="s">
        <v>3355</v>
      </c>
      <c r="C3199" s="17">
        <v>20230101</v>
      </c>
      <c r="D3199" s="17">
        <v>22991231</v>
      </c>
      <c r="E3199" s="25">
        <v>2360.33</v>
      </c>
    </row>
    <row r="3200" spans="1:5" ht="39" x14ac:dyDescent="0.3">
      <c r="A3200" s="17" t="str">
        <f>"52400"</f>
        <v>52400</v>
      </c>
      <c r="B3200" s="5" t="s">
        <v>3356</v>
      </c>
      <c r="C3200" s="17">
        <v>20010101</v>
      </c>
      <c r="D3200" s="17">
        <v>22991231</v>
      </c>
      <c r="E3200" s="25">
        <v>1553.18</v>
      </c>
    </row>
    <row r="3201" spans="1:5" ht="26" x14ac:dyDescent="0.3">
      <c r="A3201" s="17" t="str">
        <f>"52402"</f>
        <v>52402</v>
      </c>
      <c r="B3201" s="5" t="s">
        <v>3357</v>
      </c>
      <c r="C3201" s="17">
        <v>20051001</v>
      </c>
      <c r="D3201" s="17">
        <v>22991231</v>
      </c>
      <c r="E3201" s="25">
        <v>1553.18</v>
      </c>
    </row>
    <row r="3202" spans="1:5" x14ac:dyDescent="0.3">
      <c r="A3202" s="17" t="str">
        <f>"52450"</f>
        <v>52450</v>
      </c>
      <c r="B3202" s="5" t="s">
        <v>3358</v>
      </c>
      <c r="C3202" s="17">
        <v>19920115</v>
      </c>
      <c r="D3202" s="17">
        <v>22991231</v>
      </c>
      <c r="E3202" s="25">
        <v>1553.18</v>
      </c>
    </row>
    <row r="3203" spans="1:5" x14ac:dyDescent="0.3">
      <c r="A3203" s="17" t="str">
        <f>"52500"</f>
        <v>52500</v>
      </c>
      <c r="B3203" s="5" t="s">
        <v>3359</v>
      </c>
      <c r="C3203" s="17">
        <v>19900101</v>
      </c>
      <c r="D3203" s="17">
        <v>22991231</v>
      </c>
      <c r="E3203" s="25">
        <v>1553.18</v>
      </c>
    </row>
    <row r="3204" spans="1:5" ht="39" x14ac:dyDescent="0.3">
      <c r="A3204" s="17" t="str">
        <f>"52601"</f>
        <v>52601</v>
      </c>
      <c r="B3204" s="5" t="s">
        <v>3360</v>
      </c>
      <c r="C3204" s="17">
        <v>19900101</v>
      </c>
      <c r="D3204" s="17">
        <v>22991231</v>
      </c>
      <c r="E3204" s="25">
        <v>2360.33</v>
      </c>
    </row>
    <row r="3205" spans="1:5" ht="39" x14ac:dyDescent="0.3">
      <c r="A3205" s="17" t="str">
        <f>"52630"</f>
        <v>52630</v>
      </c>
      <c r="B3205" s="5" t="s">
        <v>3361</v>
      </c>
      <c r="C3205" s="17">
        <v>19900101</v>
      </c>
      <c r="D3205" s="17">
        <v>22991231</v>
      </c>
      <c r="E3205" s="25">
        <v>2360.33</v>
      </c>
    </row>
    <row r="3206" spans="1:5" ht="26" x14ac:dyDescent="0.3">
      <c r="A3206" s="17" t="str">
        <f>"52640"</f>
        <v>52640</v>
      </c>
      <c r="B3206" s="5" t="s">
        <v>3362</v>
      </c>
      <c r="C3206" s="17">
        <v>19900101</v>
      </c>
      <c r="D3206" s="17">
        <v>22991231</v>
      </c>
      <c r="E3206" s="25">
        <v>1553.18</v>
      </c>
    </row>
    <row r="3207" spans="1:5" ht="26" x14ac:dyDescent="0.3">
      <c r="A3207" s="17" t="str">
        <f>"52647"</f>
        <v>52647</v>
      </c>
      <c r="B3207" s="5" t="s">
        <v>3363</v>
      </c>
      <c r="C3207" s="17">
        <v>20230101</v>
      </c>
      <c r="D3207" s="17">
        <v>22991231</v>
      </c>
      <c r="E3207" s="25">
        <v>2360.33</v>
      </c>
    </row>
    <row r="3208" spans="1:5" ht="26" x14ac:dyDescent="0.3">
      <c r="A3208" s="17" t="str">
        <f>"52648"</f>
        <v>52648</v>
      </c>
      <c r="B3208" s="5" t="s">
        <v>3364</v>
      </c>
      <c r="C3208" s="17">
        <v>20230101</v>
      </c>
      <c r="D3208" s="17">
        <v>22991231</v>
      </c>
      <c r="E3208" s="25">
        <v>2360.33</v>
      </c>
    </row>
    <row r="3209" spans="1:5" ht="26" x14ac:dyDescent="0.3">
      <c r="A3209" s="17" t="str">
        <f>"52649"</f>
        <v>52649</v>
      </c>
      <c r="B3209" s="5" t="s">
        <v>3365</v>
      </c>
      <c r="C3209" s="17">
        <v>20080101</v>
      </c>
      <c r="D3209" s="17">
        <v>22991231</v>
      </c>
      <c r="E3209" s="25">
        <v>2360.33</v>
      </c>
    </row>
    <row r="3210" spans="1:5" x14ac:dyDescent="0.3">
      <c r="A3210" s="17" t="str">
        <f>"52700"</f>
        <v>52700</v>
      </c>
      <c r="B3210" s="5" t="s">
        <v>3366</v>
      </c>
      <c r="C3210" s="17">
        <v>19900101</v>
      </c>
      <c r="D3210" s="17">
        <v>22991231</v>
      </c>
      <c r="E3210" s="25">
        <v>1553.18</v>
      </c>
    </row>
    <row r="3211" spans="1:5" x14ac:dyDescent="0.3">
      <c r="A3211" s="17" t="str">
        <f>"53000"</f>
        <v>53000</v>
      </c>
      <c r="B3211" s="5" t="s">
        <v>3367</v>
      </c>
      <c r="C3211" s="17">
        <v>19900101</v>
      </c>
      <c r="D3211" s="17">
        <v>22991231</v>
      </c>
      <c r="E3211" s="25">
        <v>888.17</v>
      </c>
    </row>
    <row r="3212" spans="1:5" x14ac:dyDescent="0.3">
      <c r="A3212" s="17" t="str">
        <f>"53010"</f>
        <v>53010</v>
      </c>
      <c r="B3212" s="5" t="s">
        <v>3368</v>
      </c>
      <c r="C3212" s="17">
        <v>19900101</v>
      </c>
      <c r="D3212" s="17">
        <v>22991231</v>
      </c>
      <c r="E3212" s="25">
        <v>2360.33</v>
      </c>
    </row>
    <row r="3213" spans="1:5" x14ac:dyDescent="0.3">
      <c r="A3213" s="17" t="str">
        <f>"53020"</f>
        <v>53020</v>
      </c>
      <c r="B3213" s="5" t="s">
        <v>3369</v>
      </c>
      <c r="C3213" s="17">
        <v>19900101</v>
      </c>
      <c r="D3213" s="17">
        <v>22991231</v>
      </c>
      <c r="E3213" s="25">
        <v>888.17</v>
      </c>
    </row>
    <row r="3214" spans="1:5" x14ac:dyDescent="0.3">
      <c r="A3214" s="17" t="str">
        <f>"53025"</f>
        <v>53025</v>
      </c>
      <c r="B3214" s="5" t="s">
        <v>3370</v>
      </c>
      <c r="C3214" s="17">
        <v>19900101</v>
      </c>
      <c r="D3214" s="17">
        <v>22991231</v>
      </c>
      <c r="E3214" s="25">
        <v>888.17</v>
      </c>
    </row>
    <row r="3215" spans="1:5" x14ac:dyDescent="0.3">
      <c r="A3215" s="17" t="str">
        <f>"53040"</f>
        <v>53040</v>
      </c>
      <c r="B3215" s="5" t="s">
        <v>3371</v>
      </c>
      <c r="C3215" s="17">
        <v>19900101</v>
      </c>
      <c r="D3215" s="17">
        <v>22991231</v>
      </c>
      <c r="E3215" s="25">
        <v>1553.18</v>
      </c>
    </row>
    <row r="3216" spans="1:5" x14ac:dyDescent="0.3">
      <c r="A3216" s="17" t="str">
        <f>"53060"</f>
        <v>53060</v>
      </c>
      <c r="B3216" s="5" t="s">
        <v>3372</v>
      </c>
      <c r="C3216" s="17">
        <v>19900101</v>
      </c>
      <c r="D3216" s="17">
        <v>22991231</v>
      </c>
      <c r="E3216" s="25">
        <v>81.010000000000005</v>
      </c>
    </row>
    <row r="3217" spans="1:5" ht="26" x14ac:dyDescent="0.3">
      <c r="A3217" s="17" t="str">
        <f>"53080"</f>
        <v>53080</v>
      </c>
      <c r="B3217" s="5" t="s">
        <v>3373</v>
      </c>
      <c r="C3217" s="17">
        <v>19900101</v>
      </c>
      <c r="D3217" s="17">
        <v>22991231</v>
      </c>
      <c r="E3217" s="25">
        <v>299.17</v>
      </c>
    </row>
    <row r="3218" spans="1:5" ht="26" x14ac:dyDescent="0.3">
      <c r="A3218" s="17" t="str">
        <f>"53085"</f>
        <v>53085</v>
      </c>
      <c r="B3218" s="5" t="s">
        <v>3374</v>
      </c>
      <c r="C3218" s="17">
        <v>19900101</v>
      </c>
      <c r="D3218" s="17">
        <v>22991231</v>
      </c>
      <c r="E3218" s="25">
        <v>888.17</v>
      </c>
    </row>
    <row r="3219" spans="1:5" x14ac:dyDescent="0.3">
      <c r="A3219" s="17" t="str">
        <f>"53200"</f>
        <v>53200</v>
      </c>
      <c r="B3219" s="5" t="s">
        <v>3375</v>
      </c>
      <c r="C3219" s="17">
        <v>19900101</v>
      </c>
      <c r="D3219" s="17">
        <v>22991231</v>
      </c>
      <c r="E3219" s="25">
        <v>888.17</v>
      </c>
    </row>
    <row r="3220" spans="1:5" x14ac:dyDescent="0.3">
      <c r="A3220" s="17" t="str">
        <f>"53210"</f>
        <v>53210</v>
      </c>
      <c r="B3220" s="5" t="s">
        <v>3376</v>
      </c>
      <c r="C3220" s="17">
        <v>19900101</v>
      </c>
      <c r="D3220" s="17">
        <v>22991231</v>
      </c>
      <c r="E3220" s="25">
        <v>1553.18</v>
      </c>
    </row>
    <row r="3221" spans="1:5" x14ac:dyDescent="0.3">
      <c r="A3221" s="17" t="str">
        <f>"53215"</f>
        <v>53215</v>
      </c>
      <c r="B3221" s="5" t="s">
        <v>3377</v>
      </c>
      <c r="C3221" s="17">
        <v>19900101</v>
      </c>
      <c r="D3221" s="17">
        <v>22991231</v>
      </c>
      <c r="E3221" s="25">
        <v>2360.33</v>
      </c>
    </row>
    <row r="3222" spans="1:5" x14ac:dyDescent="0.3">
      <c r="A3222" s="17" t="str">
        <f>"53220"</f>
        <v>53220</v>
      </c>
      <c r="B3222" s="5" t="s">
        <v>3378</v>
      </c>
      <c r="C3222" s="17">
        <v>19900101</v>
      </c>
      <c r="D3222" s="17">
        <v>22991231</v>
      </c>
      <c r="E3222" s="25">
        <v>1553.18</v>
      </c>
    </row>
    <row r="3223" spans="1:5" x14ac:dyDescent="0.3">
      <c r="A3223" s="17" t="str">
        <f>"53230"</f>
        <v>53230</v>
      </c>
      <c r="B3223" s="5" t="s">
        <v>3379</v>
      </c>
      <c r="C3223" s="17">
        <v>19900101</v>
      </c>
      <c r="D3223" s="17">
        <v>22991231</v>
      </c>
      <c r="E3223" s="25">
        <v>2360.33</v>
      </c>
    </row>
    <row r="3224" spans="1:5" x14ac:dyDescent="0.3">
      <c r="A3224" s="17" t="str">
        <f>"53235"</f>
        <v>53235</v>
      </c>
      <c r="B3224" s="5" t="s">
        <v>3380</v>
      </c>
      <c r="C3224" s="17">
        <v>19900101</v>
      </c>
      <c r="D3224" s="17">
        <v>22991231</v>
      </c>
      <c r="E3224" s="25">
        <v>2360.33</v>
      </c>
    </row>
    <row r="3225" spans="1:5" x14ac:dyDescent="0.3">
      <c r="A3225" s="17" t="str">
        <f>"53240"</f>
        <v>53240</v>
      </c>
      <c r="B3225" s="5" t="s">
        <v>3381</v>
      </c>
      <c r="C3225" s="17">
        <v>19900101</v>
      </c>
      <c r="D3225" s="17">
        <v>22991231</v>
      </c>
      <c r="E3225" s="25">
        <v>1553.18</v>
      </c>
    </row>
    <row r="3226" spans="1:5" x14ac:dyDescent="0.3">
      <c r="A3226" s="17" t="str">
        <f>"53250"</f>
        <v>53250</v>
      </c>
      <c r="B3226" s="5" t="s">
        <v>3382</v>
      </c>
      <c r="C3226" s="17">
        <v>19900101</v>
      </c>
      <c r="D3226" s="17">
        <v>22991231</v>
      </c>
      <c r="E3226" s="25">
        <v>1553.18</v>
      </c>
    </row>
    <row r="3227" spans="1:5" x14ac:dyDescent="0.3">
      <c r="A3227" s="17" t="str">
        <f>"53260"</f>
        <v>53260</v>
      </c>
      <c r="B3227" s="5" t="s">
        <v>3383</v>
      </c>
      <c r="C3227" s="17">
        <v>19900101</v>
      </c>
      <c r="D3227" s="17">
        <v>22991231</v>
      </c>
      <c r="E3227" s="25">
        <v>1553.18</v>
      </c>
    </row>
    <row r="3228" spans="1:5" x14ac:dyDescent="0.3">
      <c r="A3228" s="17" t="str">
        <f>"53265"</f>
        <v>53265</v>
      </c>
      <c r="B3228" s="5" t="s">
        <v>3384</v>
      </c>
      <c r="C3228" s="17">
        <v>19900101</v>
      </c>
      <c r="D3228" s="17">
        <v>22991231</v>
      </c>
      <c r="E3228" s="25">
        <v>888.17</v>
      </c>
    </row>
    <row r="3229" spans="1:5" ht="26" x14ac:dyDescent="0.3">
      <c r="A3229" s="17" t="str">
        <f>"53270"</f>
        <v>53270</v>
      </c>
      <c r="B3229" s="5" t="s">
        <v>3385</v>
      </c>
      <c r="C3229" s="17">
        <v>19900101</v>
      </c>
      <c r="D3229" s="17">
        <v>22991231</v>
      </c>
      <c r="E3229" s="25">
        <v>1553.18</v>
      </c>
    </row>
    <row r="3230" spans="1:5" x14ac:dyDescent="0.3">
      <c r="A3230" s="17" t="str">
        <f>"53275"</f>
        <v>53275</v>
      </c>
      <c r="B3230" s="5" t="s">
        <v>3386</v>
      </c>
      <c r="C3230" s="17">
        <v>19900101</v>
      </c>
      <c r="D3230" s="17">
        <v>22991231</v>
      </c>
      <c r="E3230" s="25">
        <v>1553.18</v>
      </c>
    </row>
    <row r="3231" spans="1:5" ht="26" x14ac:dyDescent="0.3">
      <c r="A3231" s="17" t="str">
        <f>"53400"</f>
        <v>53400</v>
      </c>
      <c r="B3231" s="5" t="s">
        <v>3387</v>
      </c>
      <c r="C3231" s="17">
        <v>19900101</v>
      </c>
      <c r="D3231" s="17">
        <v>22991231</v>
      </c>
      <c r="E3231" s="25">
        <v>2360.33</v>
      </c>
    </row>
    <row r="3232" spans="1:5" ht="26" x14ac:dyDescent="0.3">
      <c r="A3232" s="17" t="str">
        <f>"53405"</f>
        <v>53405</v>
      </c>
      <c r="B3232" s="5" t="s">
        <v>3388</v>
      </c>
      <c r="C3232" s="17">
        <v>19900101</v>
      </c>
      <c r="D3232" s="17">
        <v>22991231</v>
      </c>
      <c r="E3232" s="25">
        <v>2360.33</v>
      </c>
    </row>
    <row r="3233" spans="1:5" x14ac:dyDescent="0.3">
      <c r="A3233" s="17" t="str">
        <f>"53410"</f>
        <v>53410</v>
      </c>
      <c r="B3233" s="5" t="s">
        <v>3389</v>
      </c>
      <c r="C3233" s="17">
        <v>19900101</v>
      </c>
      <c r="D3233" s="17">
        <v>22991231</v>
      </c>
      <c r="E3233" s="25">
        <v>2360.33</v>
      </c>
    </row>
    <row r="3234" spans="1:5" x14ac:dyDescent="0.3">
      <c r="A3234" s="17" t="str">
        <f>"53420"</f>
        <v>53420</v>
      </c>
      <c r="B3234" s="5" t="s">
        <v>3390</v>
      </c>
      <c r="C3234" s="17">
        <v>19900101</v>
      </c>
      <c r="D3234" s="17">
        <v>22991231</v>
      </c>
      <c r="E3234" s="25">
        <v>2360.33</v>
      </c>
    </row>
    <row r="3235" spans="1:5" x14ac:dyDescent="0.3">
      <c r="A3235" s="17" t="str">
        <f>"53425"</f>
        <v>53425</v>
      </c>
      <c r="B3235" s="5" t="s">
        <v>3391</v>
      </c>
      <c r="C3235" s="17">
        <v>19900101</v>
      </c>
      <c r="D3235" s="17">
        <v>22991231</v>
      </c>
      <c r="E3235" s="25">
        <v>2360.33</v>
      </c>
    </row>
    <row r="3236" spans="1:5" x14ac:dyDescent="0.3">
      <c r="A3236" s="17" t="str">
        <f>"53430"</f>
        <v>53430</v>
      </c>
      <c r="B3236" s="5" t="s">
        <v>3392</v>
      </c>
      <c r="C3236" s="17">
        <v>19900101</v>
      </c>
      <c r="D3236" s="17">
        <v>22991231</v>
      </c>
      <c r="E3236" s="25">
        <v>2360.33</v>
      </c>
    </row>
    <row r="3237" spans="1:5" ht="26" x14ac:dyDescent="0.3">
      <c r="A3237" s="17" t="str">
        <f>"53431"</f>
        <v>53431</v>
      </c>
      <c r="B3237" s="5" t="s">
        <v>3393</v>
      </c>
      <c r="C3237" s="17">
        <v>20030401</v>
      </c>
      <c r="D3237" s="17">
        <v>22991231</v>
      </c>
      <c r="E3237" s="25">
        <v>2360.33</v>
      </c>
    </row>
    <row r="3238" spans="1:5" ht="26" x14ac:dyDescent="0.3">
      <c r="A3238" s="17" t="str">
        <f>"53440"</f>
        <v>53440</v>
      </c>
      <c r="B3238" s="5" t="s">
        <v>3394</v>
      </c>
      <c r="C3238" s="17">
        <v>19900101</v>
      </c>
      <c r="D3238" s="17">
        <v>22991231</v>
      </c>
      <c r="E3238" s="25">
        <v>9629.5400000000009</v>
      </c>
    </row>
    <row r="3239" spans="1:5" ht="26" x14ac:dyDescent="0.3">
      <c r="A3239" s="17" t="str">
        <f>"53442"</f>
        <v>53442</v>
      </c>
      <c r="B3239" s="5" t="s">
        <v>3395</v>
      </c>
      <c r="C3239" s="17">
        <v>19900101</v>
      </c>
      <c r="D3239" s="17">
        <v>22991231</v>
      </c>
      <c r="E3239" s="25">
        <v>2360.33</v>
      </c>
    </row>
    <row r="3240" spans="1:5" x14ac:dyDescent="0.3">
      <c r="A3240" s="17" t="str">
        <f>"53444"</f>
        <v>53444</v>
      </c>
      <c r="B3240" s="5" t="s">
        <v>3396</v>
      </c>
      <c r="C3240" s="17">
        <v>20030401</v>
      </c>
      <c r="D3240" s="17">
        <v>22991231</v>
      </c>
      <c r="E3240" s="25">
        <v>15097.13</v>
      </c>
    </row>
    <row r="3241" spans="1:5" ht="26" x14ac:dyDescent="0.3">
      <c r="A3241" s="17" t="str">
        <f>"53445"</f>
        <v>53445</v>
      </c>
      <c r="B3241" s="5" t="s">
        <v>3397</v>
      </c>
      <c r="C3241" s="17">
        <v>19900101</v>
      </c>
      <c r="D3241" s="17">
        <v>22991231</v>
      </c>
      <c r="E3241" s="25">
        <v>15980.75</v>
      </c>
    </row>
    <row r="3242" spans="1:5" ht="26" x14ac:dyDescent="0.3">
      <c r="A3242" s="17" t="str">
        <f>"53446"</f>
        <v>53446</v>
      </c>
      <c r="B3242" s="5" t="s">
        <v>3398</v>
      </c>
      <c r="C3242" s="17">
        <v>20030401</v>
      </c>
      <c r="D3242" s="17">
        <v>22991231</v>
      </c>
      <c r="E3242" s="25">
        <v>2360.33</v>
      </c>
    </row>
    <row r="3243" spans="1:5" ht="26" x14ac:dyDescent="0.3">
      <c r="A3243" s="17" t="str">
        <f>"53447"</f>
        <v>53447</v>
      </c>
      <c r="B3243" s="5" t="s">
        <v>3399</v>
      </c>
      <c r="C3243" s="17">
        <v>19900101</v>
      </c>
      <c r="D3243" s="17">
        <v>22991231</v>
      </c>
      <c r="E3243" s="25">
        <v>15566.45</v>
      </c>
    </row>
    <row r="3244" spans="1:5" ht="26" x14ac:dyDescent="0.3">
      <c r="A3244" s="17" t="str">
        <f>"53449"</f>
        <v>53449</v>
      </c>
      <c r="B3244" s="5" t="s">
        <v>3400</v>
      </c>
      <c r="C3244" s="17">
        <v>19900101</v>
      </c>
      <c r="D3244" s="17">
        <v>22991231</v>
      </c>
      <c r="E3244" s="25">
        <v>4341.6400000000003</v>
      </c>
    </row>
    <row r="3245" spans="1:5" x14ac:dyDescent="0.3">
      <c r="A3245" s="17" t="str">
        <f>"53450"</f>
        <v>53450</v>
      </c>
      <c r="B3245" s="5" t="s">
        <v>3401</v>
      </c>
      <c r="C3245" s="17">
        <v>19900101</v>
      </c>
      <c r="D3245" s="17">
        <v>22991231</v>
      </c>
      <c r="E3245" s="25">
        <v>1553.18</v>
      </c>
    </row>
    <row r="3246" spans="1:5" ht="39" x14ac:dyDescent="0.3">
      <c r="A3246" s="17" t="str">
        <f>"53451"</f>
        <v>53451</v>
      </c>
      <c r="B3246" s="5" t="s">
        <v>3402</v>
      </c>
      <c r="C3246" s="17">
        <v>20220101</v>
      </c>
      <c r="D3246" s="17">
        <v>22991231</v>
      </c>
      <c r="E3246" s="25">
        <v>9845.25</v>
      </c>
    </row>
    <row r="3247" spans="1:5" ht="39" x14ac:dyDescent="0.3">
      <c r="A3247" s="17" t="str">
        <f>"53452"</f>
        <v>53452</v>
      </c>
      <c r="B3247" s="5" t="s">
        <v>3403</v>
      </c>
      <c r="C3247" s="17">
        <v>20220101</v>
      </c>
      <c r="D3247" s="17">
        <v>22991231</v>
      </c>
      <c r="E3247" s="25">
        <v>6494.87</v>
      </c>
    </row>
    <row r="3248" spans="1:5" ht="26" x14ac:dyDescent="0.3">
      <c r="A3248" s="17" t="str">
        <f>"53453"</f>
        <v>53453</v>
      </c>
      <c r="B3248" s="5" t="s">
        <v>3404</v>
      </c>
      <c r="C3248" s="17">
        <v>20220101</v>
      </c>
      <c r="D3248" s="17">
        <v>22991231</v>
      </c>
      <c r="E3248" s="25">
        <v>1553.18</v>
      </c>
    </row>
    <row r="3249" spans="1:5" ht="26" x14ac:dyDescent="0.3">
      <c r="A3249" s="17" t="str">
        <f>"53454"</f>
        <v>53454</v>
      </c>
      <c r="B3249" s="5" t="s">
        <v>3405</v>
      </c>
      <c r="C3249" s="17">
        <v>20220101</v>
      </c>
      <c r="D3249" s="17">
        <v>22991231</v>
      </c>
      <c r="E3249" s="25">
        <v>122.45</v>
      </c>
    </row>
    <row r="3250" spans="1:5" ht="26" x14ac:dyDescent="0.3">
      <c r="A3250" s="17" t="str">
        <f>"53460"</f>
        <v>53460</v>
      </c>
      <c r="B3250" s="5" t="s">
        <v>3406</v>
      </c>
      <c r="C3250" s="17">
        <v>19900101</v>
      </c>
      <c r="D3250" s="17">
        <v>22991231</v>
      </c>
      <c r="E3250" s="25">
        <v>1553.18</v>
      </c>
    </row>
    <row r="3251" spans="1:5" x14ac:dyDescent="0.3">
      <c r="A3251" s="17" t="str">
        <f>"53502"</f>
        <v>53502</v>
      </c>
      <c r="B3251" s="5" t="s">
        <v>3407</v>
      </c>
      <c r="C3251" s="17">
        <v>19900101</v>
      </c>
      <c r="D3251" s="17">
        <v>22991231</v>
      </c>
      <c r="E3251" s="25">
        <v>1553.18</v>
      </c>
    </row>
    <row r="3252" spans="1:5" x14ac:dyDescent="0.3">
      <c r="A3252" s="17" t="str">
        <f>"53505"</f>
        <v>53505</v>
      </c>
      <c r="B3252" s="5" t="s">
        <v>3408</v>
      </c>
      <c r="C3252" s="17">
        <v>19900101</v>
      </c>
      <c r="D3252" s="17">
        <v>22991231</v>
      </c>
      <c r="E3252" s="25">
        <v>2360.33</v>
      </c>
    </row>
    <row r="3253" spans="1:5" x14ac:dyDescent="0.3">
      <c r="A3253" s="17" t="str">
        <f>"53510"</f>
        <v>53510</v>
      </c>
      <c r="B3253" s="5" t="s">
        <v>3409</v>
      </c>
      <c r="C3253" s="17">
        <v>19900101</v>
      </c>
      <c r="D3253" s="17">
        <v>22991231</v>
      </c>
      <c r="E3253" s="25">
        <v>2360.33</v>
      </c>
    </row>
    <row r="3254" spans="1:5" ht="26" x14ac:dyDescent="0.3">
      <c r="A3254" s="17" t="str">
        <f>"53515"</f>
        <v>53515</v>
      </c>
      <c r="B3254" s="5" t="s">
        <v>3410</v>
      </c>
      <c r="C3254" s="17">
        <v>19900101</v>
      </c>
      <c r="D3254" s="17">
        <v>22991231</v>
      </c>
      <c r="E3254" s="25">
        <v>2360.33</v>
      </c>
    </row>
    <row r="3255" spans="1:5" ht="26" x14ac:dyDescent="0.3">
      <c r="A3255" s="17" t="str">
        <f>"53520"</f>
        <v>53520</v>
      </c>
      <c r="B3255" s="5" t="s">
        <v>3411</v>
      </c>
      <c r="C3255" s="17">
        <v>19900101</v>
      </c>
      <c r="D3255" s="17">
        <v>22991231</v>
      </c>
      <c r="E3255" s="25">
        <v>2360.33</v>
      </c>
    </row>
    <row r="3256" spans="1:5" x14ac:dyDescent="0.3">
      <c r="A3256" s="17" t="str">
        <f>"53600"</f>
        <v>53600</v>
      </c>
      <c r="B3256" s="5" t="s">
        <v>3412</v>
      </c>
      <c r="C3256" s="17">
        <v>19900101</v>
      </c>
      <c r="D3256" s="17">
        <v>22991231</v>
      </c>
      <c r="E3256" s="25">
        <v>40.659999999999997</v>
      </c>
    </row>
    <row r="3257" spans="1:5" ht="26" x14ac:dyDescent="0.3">
      <c r="A3257" s="17" t="str">
        <f>"53601"</f>
        <v>53601</v>
      </c>
      <c r="B3257" s="5" t="s">
        <v>3413</v>
      </c>
      <c r="C3257" s="17">
        <v>19900101</v>
      </c>
      <c r="D3257" s="17">
        <v>22991231</v>
      </c>
      <c r="E3257" s="25">
        <v>0</v>
      </c>
    </row>
    <row r="3258" spans="1:5" ht="26" x14ac:dyDescent="0.3">
      <c r="A3258" s="17" t="str">
        <f>"53605"</f>
        <v>53605</v>
      </c>
      <c r="B3258" s="5" t="s">
        <v>3414</v>
      </c>
      <c r="C3258" s="17">
        <v>19900101</v>
      </c>
      <c r="D3258" s="17">
        <v>22991231</v>
      </c>
      <c r="E3258" s="25">
        <v>1553.18</v>
      </c>
    </row>
    <row r="3259" spans="1:5" ht="26" x14ac:dyDescent="0.3">
      <c r="A3259" s="17" t="str">
        <f>"53620"</f>
        <v>53620</v>
      </c>
      <c r="B3259" s="5" t="s">
        <v>3415</v>
      </c>
      <c r="C3259" s="17">
        <v>19900101</v>
      </c>
      <c r="D3259" s="17">
        <v>22991231</v>
      </c>
      <c r="E3259" s="25">
        <v>102.58</v>
      </c>
    </row>
    <row r="3260" spans="1:5" ht="26" x14ac:dyDescent="0.3">
      <c r="A3260" s="17" t="str">
        <f>"53621"</f>
        <v>53621</v>
      </c>
      <c r="B3260" s="5" t="s">
        <v>3416</v>
      </c>
      <c r="C3260" s="17">
        <v>19900101</v>
      </c>
      <c r="D3260" s="17">
        <v>22991231</v>
      </c>
      <c r="E3260" s="25">
        <v>105.09</v>
      </c>
    </row>
    <row r="3261" spans="1:5" x14ac:dyDescent="0.3">
      <c r="A3261" s="17" t="str">
        <f>"53660"</f>
        <v>53660</v>
      </c>
      <c r="B3261" s="5" t="s">
        <v>3417</v>
      </c>
      <c r="C3261" s="17">
        <v>19900101</v>
      </c>
      <c r="D3261" s="17">
        <v>22991231</v>
      </c>
      <c r="E3261" s="25">
        <v>46.6</v>
      </c>
    </row>
    <row r="3262" spans="1:5" x14ac:dyDescent="0.3">
      <c r="A3262" s="17" t="str">
        <f>"53661"</f>
        <v>53661</v>
      </c>
      <c r="B3262" s="5" t="s">
        <v>3418</v>
      </c>
      <c r="C3262" s="17">
        <v>19900101</v>
      </c>
      <c r="D3262" s="17">
        <v>22991231</v>
      </c>
      <c r="E3262" s="25">
        <v>0</v>
      </c>
    </row>
    <row r="3263" spans="1:5" ht="26" x14ac:dyDescent="0.3">
      <c r="A3263" s="17" t="str">
        <f>"53665"</f>
        <v>53665</v>
      </c>
      <c r="B3263" s="5" t="s">
        <v>3419</v>
      </c>
      <c r="C3263" s="17">
        <v>19900101</v>
      </c>
      <c r="D3263" s="17">
        <v>22991231</v>
      </c>
      <c r="E3263" s="25">
        <v>888.17</v>
      </c>
    </row>
    <row r="3264" spans="1:5" ht="26" x14ac:dyDescent="0.3">
      <c r="A3264" s="17" t="str">
        <f>"53850"</f>
        <v>53850</v>
      </c>
      <c r="B3264" s="5" t="s">
        <v>3420</v>
      </c>
      <c r="C3264" s="17">
        <v>19980101</v>
      </c>
      <c r="D3264" s="17">
        <v>22991231</v>
      </c>
      <c r="E3264" s="25">
        <v>1129.05</v>
      </c>
    </row>
    <row r="3265" spans="1:5" ht="26" x14ac:dyDescent="0.3">
      <c r="A3265" s="17" t="str">
        <f>"53852"</f>
        <v>53852</v>
      </c>
      <c r="B3265" s="5" t="s">
        <v>3421</v>
      </c>
      <c r="C3265" s="17">
        <v>19980101</v>
      </c>
      <c r="D3265" s="17">
        <v>22991231</v>
      </c>
      <c r="E3265" s="25">
        <v>1079.6300000000001</v>
      </c>
    </row>
    <row r="3266" spans="1:5" ht="26" x14ac:dyDescent="0.3">
      <c r="A3266" s="17" t="str">
        <f>"53854"</f>
        <v>53854</v>
      </c>
      <c r="B3266" s="5" t="s">
        <v>3422</v>
      </c>
      <c r="C3266" s="17">
        <v>20190101</v>
      </c>
      <c r="D3266" s="17">
        <v>22991231</v>
      </c>
      <c r="E3266" s="25">
        <v>1345.79</v>
      </c>
    </row>
    <row r="3267" spans="1:5" ht="26" x14ac:dyDescent="0.3">
      <c r="A3267" s="17" t="str">
        <f>"53855"</f>
        <v>53855</v>
      </c>
      <c r="B3267" s="5" t="s">
        <v>3423</v>
      </c>
      <c r="C3267" s="17">
        <v>20100101</v>
      </c>
      <c r="D3267" s="17">
        <v>22991231</v>
      </c>
      <c r="E3267" s="25">
        <v>549.20000000000005</v>
      </c>
    </row>
    <row r="3268" spans="1:5" ht="26" x14ac:dyDescent="0.3">
      <c r="A3268" s="17" t="str">
        <f>"53860"</f>
        <v>53860</v>
      </c>
      <c r="B3268" s="5" t="s">
        <v>3424</v>
      </c>
      <c r="C3268" s="17">
        <v>20110101</v>
      </c>
      <c r="D3268" s="17">
        <v>22991231</v>
      </c>
      <c r="E3268" s="25">
        <v>888.17</v>
      </c>
    </row>
    <row r="3269" spans="1:5" x14ac:dyDescent="0.3">
      <c r="A3269" s="17" t="str">
        <f>"54000"</f>
        <v>54000</v>
      </c>
      <c r="B3269" s="5" t="s">
        <v>3425</v>
      </c>
      <c r="C3269" s="17">
        <v>19900101</v>
      </c>
      <c r="D3269" s="17">
        <v>22991231</v>
      </c>
      <c r="E3269" s="25">
        <v>1553.18</v>
      </c>
    </row>
    <row r="3270" spans="1:5" x14ac:dyDescent="0.3">
      <c r="A3270" s="17" t="str">
        <f>"54001"</f>
        <v>54001</v>
      </c>
      <c r="B3270" s="5" t="s">
        <v>3426</v>
      </c>
      <c r="C3270" s="17">
        <v>19900101</v>
      </c>
      <c r="D3270" s="17">
        <v>22991231</v>
      </c>
      <c r="E3270" s="25">
        <v>888.17</v>
      </c>
    </row>
    <row r="3271" spans="1:5" x14ac:dyDescent="0.3">
      <c r="A3271" s="17" t="str">
        <f>"54015"</f>
        <v>54015</v>
      </c>
      <c r="B3271" s="5" t="s">
        <v>3427</v>
      </c>
      <c r="C3271" s="17">
        <v>19900101</v>
      </c>
      <c r="D3271" s="17">
        <v>22991231</v>
      </c>
      <c r="E3271" s="25">
        <v>652.27</v>
      </c>
    </row>
    <row r="3272" spans="1:5" ht="26" x14ac:dyDescent="0.3">
      <c r="A3272" s="17" t="str">
        <f>"54050"</f>
        <v>54050</v>
      </c>
      <c r="B3272" s="5" t="s">
        <v>3428</v>
      </c>
      <c r="C3272" s="17">
        <v>19950101</v>
      </c>
      <c r="D3272" s="17">
        <v>22991231</v>
      </c>
      <c r="E3272" s="25">
        <v>0</v>
      </c>
    </row>
    <row r="3273" spans="1:5" ht="26" x14ac:dyDescent="0.3">
      <c r="A3273" s="17" t="str">
        <f>"54055"</f>
        <v>54055</v>
      </c>
      <c r="B3273" s="5" t="s">
        <v>3429</v>
      </c>
      <c r="C3273" s="17">
        <v>19900101</v>
      </c>
      <c r="D3273" s="17">
        <v>22991231</v>
      </c>
      <c r="E3273" s="25">
        <v>86.63</v>
      </c>
    </row>
    <row r="3274" spans="1:5" ht="26" x14ac:dyDescent="0.3">
      <c r="A3274" s="17" t="str">
        <f>"54056"</f>
        <v>54056</v>
      </c>
      <c r="B3274" s="5" t="s">
        <v>3430</v>
      </c>
      <c r="C3274" s="17">
        <v>19900101</v>
      </c>
      <c r="D3274" s="17">
        <v>22991231</v>
      </c>
      <c r="E3274" s="25">
        <v>0</v>
      </c>
    </row>
    <row r="3275" spans="1:5" ht="26" x14ac:dyDescent="0.3">
      <c r="A3275" s="17" t="str">
        <f>"54057"</f>
        <v>54057</v>
      </c>
      <c r="B3275" s="5" t="s">
        <v>3431</v>
      </c>
      <c r="C3275" s="17">
        <v>19900101</v>
      </c>
      <c r="D3275" s="17">
        <v>22991231</v>
      </c>
      <c r="E3275" s="25">
        <v>903.54</v>
      </c>
    </row>
    <row r="3276" spans="1:5" x14ac:dyDescent="0.3">
      <c r="A3276" s="17" t="str">
        <f>"54060"</f>
        <v>54060</v>
      </c>
      <c r="B3276" s="5" t="s">
        <v>3432</v>
      </c>
      <c r="C3276" s="17">
        <v>19900101</v>
      </c>
      <c r="D3276" s="17">
        <v>22991231</v>
      </c>
      <c r="E3276" s="25">
        <v>903.54</v>
      </c>
    </row>
    <row r="3277" spans="1:5" x14ac:dyDescent="0.3">
      <c r="A3277" s="17" t="str">
        <f>"54065"</f>
        <v>54065</v>
      </c>
      <c r="B3277" s="5" t="s">
        <v>3433</v>
      </c>
      <c r="C3277" s="17">
        <v>19900101</v>
      </c>
      <c r="D3277" s="17">
        <v>22991231</v>
      </c>
      <c r="E3277" s="25">
        <v>903.54</v>
      </c>
    </row>
    <row r="3278" spans="1:5" x14ac:dyDescent="0.3">
      <c r="A3278" s="17" t="str">
        <f>"54100"</f>
        <v>54100</v>
      </c>
      <c r="B3278" s="5" t="s">
        <v>3434</v>
      </c>
      <c r="C3278" s="17">
        <v>19900101</v>
      </c>
      <c r="D3278" s="17">
        <v>22991231</v>
      </c>
      <c r="E3278" s="25">
        <v>652.27</v>
      </c>
    </row>
    <row r="3279" spans="1:5" x14ac:dyDescent="0.3">
      <c r="A3279" s="17" t="str">
        <f>"54105"</f>
        <v>54105</v>
      </c>
      <c r="B3279" s="5" t="s">
        <v>3435</v>
      </c>
      <c r="C3279" s="17">
        <v>19900101</v>
      </c>
      <c r="D3279" s="17">
        <v>22991231</v>
      </c>
      <c r="E3279" s="25">
        <v>1105.24</v>
      </c>
    </row>
    <row r="3280" spans="1:5" x14ac:dyDescent="0.3">
      <c r="A3280" s="17" t="str">
        <f>"54110"</f>
        <v>54110</v>
      </c>
      <c r="B3280" s="5" t="s">
        <v>3436</v>
      </c>
      <c r="C3280" s="17">
        <v>19900101</v>
      </c>
      <c r="D3280" s="17">
        <v>22991231</v>
      </c>
      <c r="E3280" s="25">
        <v>1553.18</v>
      </c>
    </row>
    <row r="3281" spans="1:5" ht="26" x14ac:dyDescent="0.3">
      <c r="A3281" s="17" t="str">
        <f>"54111"</f>
        <v>54111</v>
      </c>
      <c r="B3281" s="5" t="s">
        <v>3437</v>
      </c>
      <c r="C3281" s="17">
        <v>19900101</v>
      </c>
      <c r="D3281" s="17">
        <v>22991231</v>
      </c>
      <c r="E3281" s="25">
        <v>2360.33</v>
      </c>
    </row>
    <row r="3282" spans="1:5" ht="26" x14ac:dyDescent="0.3">
      <c r="A3282" s="17" t="str">
        <f>"54112"</f>
        <v>54112</v>
      </c>
      <c r="B3282" s="5" t="s">
        <v>3438</v>
      </c>
      <c r="C3282" s="17">
        <v>19900101</v>
      </c>
      <c r="D3282" s="17">
        <v>22991231</v>
      </c>
      <c r="E3282" s="25">
        <v>5533.59</v>
      </c>
    </row>
    <row r="3283" spans="1:5" x14ac:dyDescent="0.3">
      <c r="A3283" s="17" t="str">
        <f>"54115"</f>
        <v>54115</v>
      </c>
      <c r="B3283" s="5" t="s">
        <v>3439</v>
      </c>
      <c r="C3283" s="17">
        <v>19900101</v>
      </c>
      <c r="D3283" s="17">
        <v>22991231</v>
      </c>
      <c r="E3283" s="25">
        <v>1105.24</v>
      </c>
    </row>
    <row r="3284" spans="1:5" x14ac:dyDescent="0.3">
      <c r="A3284" s="17" t="str">
        <f>"54120"</f>
        <v>54120</v>
      </c>
      <c r="B3284" s="5" t="s">
        <v>3440</v>
      </c>
      <c r="C3284" s="17">
        <v>19900101</v>
      </c>
      <c r="D3284" s="17">
        <v>22991231</v>
      </c>
      <c r="E3284" s="25">
        <v>1553.18</v>
      </c>
    </row>
    <row r="3285" spans="1:5" x14ac:dyDescent="0.3">
      <c r="A3285" s="17" t="str">
        <f>"54150"</f>
        <v>54150</v>
      </c>
      <c r="B3285" s="5" t="s">
        <v>3441</v>
      </c>
      <c r="C3285" s="17">
        <v>19900101</v>
      </c>
      <c r="D3285" s="17">
        <v>22991231</v>
      </c>
      <c r="E3285" s="25">
        <v>888.17</v>
      </c>
    </row>
    <row r="3286" spans="1:5" x14ac:dyDescent="0.3">
      <c r="A3286" s="17" t="str">
        <f>"54160"</f>
        <v>54160</v>
      </c>
      <c r="B3286" s="5" t="s">
        <v>3442</v>
      </c>
      <c r="C3286" s="17">
        <v>19900101</v>
      </c>
      <c r="D3286" s="17">
        <v>22991231</v>
      </c>
      <c r="E3286" s="25">
        <v>299.17</v>
      </c>
    </row>
    <row r="3287" spans="1:5" x14ac:dyDescent="0.3">
      <c r="A3287" s="17" t="str">
        <f>"54161"</f>
        <v>54161</v>
      </c>
      <c r="B3287" s="5" t="s">
        <v>3443</v>
      </c>
      <c r="C3287" s="17">
        <v>19900101</v>
      </c>
      <c r="D3287" s="17">
        <v>22991231</v>
      </c>
      <c r="E3287" s="25">
        <v>888.17</v>
      </c>
    </row>
    <row r="3288" spans="1:5" x14ac:dyDescent="0.3">
      <c r="A3288" s="17" t="str">
        <f>"54162"</f>
        <v>54162</v>
      </c>
      <c r="B3288" s="5" t="s">
        <v>3444</v>
      </c>
      <c r="C3288" s="17">
        <v>20030801</v>
      </c>
      <c r="D3288" s="17">
        <v>22991231</v>
      </c>
      <c r="E3288" s="25">
        <v>888.17</v>
      </c>
    </row>
    <row r="3289" spans="1:5" x14ac:dyDescent="0.3">
      <c r="A3289" s="17" t="str">
        <f>"54163"</f>
        <v>54163</v>
      </c>
      <c r="B3289" s="5" t="s">
        <v>3445</v>
      </c>
      <c r="C3289" s="17">
        <v>20030801</v>
      </c>
      <c r="D3289" s="17">
        <v>22991231</v>
      </c>
      <c r="E3289" s="25">
        <v>888.17</v>
      </c>
    </row>
    <row r="3290" spans="1:5" ht="26" x14ac:dyDescent="0.3">
      <c r="A3290" s="17" t="str">
        <f>"54164"</f>
        <v>54164</v>
      </c>
      <c r="B3290" s="5" t="s">
        <v>3446</v>
      </c>
      <c r="C3290" s="17">
        <v>20030801</v>
      </c>
      <c r="D3290" s="17">
        <v>22991231</v>
      </c>
      <c r="E3290" s="25">
        <v>888.17</v>
      </c>
    </row>
    <row r="3291" spans="1:5" ht="26" x14ac:dyDescent="0.3">
      <c r="A3291" s="17" t="str">
        <f>"54200"</f>
        <v>54200</v>
      </c>
      <c r="B3291" s="5" t="s">
        <v>3447</v>
      </c>
      <c r="C3291" s="17">
        <v>19900101</v>
      </c>
      <c r="D3291" s="17">
        <v>22991231</v>
      </c>
      <c r="E3291" s="25">
        <v>71.31</v>
      </c>
    </row>
    <row r="3292" spans="1:5" ht="26" x14ac:dyDescent="0.3">
      <c r="A3292" s="17">
        <v>54205</v>
      </c>
      <c r="B3292" s="5" t="s">
        <v>7129</v>
      </c>
      <c r="C3292" s="26">
        <v>20230101</v>
      </c>
      <c r="D3292" s="26">
        <v>22991231</v>
      </c>
      <c r="E3292" s="25">
        <v>2360.33</v>
      </c>
    </row>
    <row r="3293" spans="1:5" ht="26" x14ac:dyDescent="0.3">
      <c r="A3293" s="17" t="str">
        <f>"54220"</f>
        <v>54220</v>
      </c>
      <c r="B3293" s="5" t="s">
        <v>3448</v>
      </c>
      <c r="C3293" s="17">
        <v>19900101</v>
      </c>
      <c r="D3293" s="17">
        <v>22991231</v>
      </c>
      <c r="E3293" s="25">
        <v>122.45</v>
      </c>
    </row>
    <row r="3294" spans="1:5" ht="26" x14ac:dyDescent="0.3">
      <c r="A3294" s="17" t="str">
        <f>"54230"</f>
        <v>54230</v>
      </c>
      <c r="B3294" s="5" t="s">
        <v>3449</v>
      </c>
      <c r="C3294" s="17">
        <v>19900101</v>
      </c>
      <c r="D3294" s="17">
        <v>22991231</v>
      </c>
      <c r="E3294" s="25">
        <v>0</v>
      </c>
    </row>
    <row r="3295" spans="1:5" ht="26" x14ac:dyDescent="0.3">
      <c r="A3295" s="17" t="str">
        <f>"54231"</f>
        <v>54231</v>
      </c>
      <c r="B3295" s="5" t="s">
        <v>3450</v>
      </c>
      <c r="C3295" s="17">
        <v>19940101</v>
      </c>
      <c r="D3295" s="17">
        <v>22991231</v>
      </c>
      <c r="E3295" s="25">
        <v>63.8</v>
      </c>
    </row>
    <row r="3296" spans="1:5" x14ac:dyDescent="0.3">
      <c r="A3296" s="17" t="str">
        <f>"54235"</f>
        <v>54235</v>
      </c>
      <c r="B3296" s="5" t="s">
        <v>3451</v>
      </c>
      <c r="C3296" s="17">
        <v>20230101</v>
      </c>
      <c r="D3296" s="17">
        <v>22991231</v>
      </c>
      <c r="E3296" s="25">
        <v>43.16</v>
      </c>
    </row>
    <row r="3297" spans="1:5" x14ac:dyDescent="0.3">
      <c r="A3297" s="17" t="str">
        <f>"54240"</f>
        <v>54240</v>
      </c>
      <c r="B3297" s="5" t="s">
        <v>3452</v>
      </c>
      <c r="C3297" s="17">
        <v>19900101</v>
      </c>
      <c r="D3297" s="17">
        <v>22991231</v>
      </c>
      <c r="E3297" s="25">
        <v>55.05</v>
      </c>
    </row>
    <row r="3298" spans="1:5" x14ac:dyDescent="0.3">
      <c r="A3298" s="17" t="str">
        <f>"54250"</f>
        <v>54250</v>
      </c>
      <c r="B3298" s="5" t="s">
        <v>3453</v>
      </c>
      <c r="C3298" s="17">
        <v>19900101</v>
      </c>
      <c r="D3298" s="17">
        <v>22991231</v>
      </c>
      <c r="E3298" s="25">
        <v>37.840000000000003</v>
      </c>
    </row>
    <row r="3299" spans="1:5" x14ac:dyDescent="0.3">
      <c r="A3299" s="17" t="str">
        <f>"54300"</f>
        <v>54300</v>
      </c>
      <c r="B3299" s="5" t="s">
        <v>3454</v>
      </c>
      <c r="C3299" s="17">
        <v>19900101</v>
      </c>
      <c r="D3299" s="17">
        <v>22991231</v>
      </c>
      <c r="E3299" s="25">
        <v>1553.18</v>
      </c>
    </row>
    <row r="3300" spans="1:5" x14ac:dyDescent="0.3">
      <c r="A3300" s="17" t="str">
        <f>"54304"</f>
        <v>54304</v>
      </c>
      <c r="B3300" s="5" t="s">
        <v>3455</v>
      </c>
      <c r="C3300" s="17">
        <v>19900101</v>
      </c>
      <c r="D3300" s="17">
        <v>22991231</v>
      </c>
      <c r="E3300" s="25">
        <v>1553.18</v>
      </c>
    </row>
    <row r="3301" spans="1:5" ht="26" x14ac:dyDescent="0.3">
      <c r="A3301" s="17" t="str">
        <f>"54308"</f>
        <v>54308</v>
      </c>
      <c r="B3301" s="5" t="s">
        <v>3456</v>
      </c>
      <c r="C3301" s="17">
        <v>19900101</v>
      </c>
      <c r="D3301" s="17">
        <v>22991231</v>
      </c>
      <c r="E3301" s="25">
        <v>2360.33</v>
      </c>
    </row>
    <row r="3302" spans="1:5" ht="26" x14ac:dyDescent="0.3">
      <c r="A3302" s="17" t="str">
        <f>"54312"</f>
        <v>54312</v>
      </c>
      <c r="B3302" s="5" t="s">
        <v>3457</v>
      </c>
      <c r="C3302" s="17">
        <v>19900101</v>
      </c>
      <c r="D3302" s="17">
        <v>22991231</v>
      </c>
      <c r="E3302" s="25">
        <v>1553.18</v>
      </c>
    </row>
    <row r="3303" spans="1:5" ht="26" x14ac:dyDescent="0.3">
      <c r="A3303" s="17" t="str">
        <f>"54316"</f>
        <v>54316</v>
      </c>
      <c r="B3303" s="5" t="s">
        <v>3458</v>
      </c>
      <c r="C3303" s="17">
        <v>19900101</v>
      </c>
      <c r="D3303" s="17">
        <v>22991231</v>
      </c>
      <c r="E3303" s="25">
        <v>4341.6400000000003</v>
      </c>
    </row>
    <row r="3304" spans="1:5" ht="26" x14ac:dyDescent="0.3">
      <c r="A3304" s="17" t="str">
        <f>"54318"</f>
        <v>54318</v>
      </c>
      <c r="B3304" s="5" t="s">
        <v>3459</v>
      </c>
      <c r="C3304" s="17">
        <v>19900101</v>
      </c>
      <c r="D3304" s="17">
        <v>22991231</v>
      </c>
      <c r="E3304" s="25">
        <v>1553.18</v>
      </c>
    </row>
    <row r="3305" spans="1:5" ht="26" x14ac:dyDescent="0.3">
      <c r="A3305" s="17" t="str">
        <f>"54322"</f>
        <v>54322</v>
      </c>
      <c r="B3305" s="5" t="s">
        <v>3460</v>
      </c>
      <c r="C3305" s="17">
        <v>19900101</v>
      </c>
      <c r="D3305" s="17">
        <v>22991231</v>
      </c>
      <c r="E3305" s="25">
        <v>1553.18</v>
      </c>
    </row>
    <row r="3306" spans="1:5" x14ac:dyDescent="0.3">
      <c r="A3306" s="17" t="str">
        <f>"54324"</f>
        <v>54324</v>
      </c>
      <c r="B3306" s="5" t="s">
        <v>3461</v>
      </c>
      <c r="C3306" s="17">
        <v>19900101</v>
      </c>
      <c r="D3306" s="17">
        <v>22991231</v>
      </c>
      <c r="E3306" s="25">
        <v>1553.18</v>
      </c>
    </row>
    <row r="3307" spans="1:5" ht="26" x14ac:dyDescent="0.3">
      <c r="A3307" s="17" t="str">
        <f>"54326"</f>
        <v>54326</v>
      </c>
      <c r="B3307" s="5" t="s">
        <v>3462</v>
      </c>
      <c r="C3307" s="17">
        <v>19900101</v>
      </c>
      <c r="D3307" s="17">
        <v>22991231</v>
      </c>
      <c r="E3307" s="25">
        <v>1553.18</v>
      </c>
    </row>
    <row r="3308" spans="1:5" ht="39" x14ac:dyDescent="0.3">
      <c r="A3308" s="17" t="str">
        <f>"54328"</f>
        <v>54328</v>
      </c>
      <c r="B3308" s="5" t="s">
        <v>3463</v>
      </c>
      <c r="C3308" s="17">
        <v>19900101</v>
      </c>
      <c r="D3308" s="17">
        <v>22991231</v>
      </c>
      <c r="E3308" s="25">
        <v>1553.18</v>
      </c>
    </row>
    <row r="3309" spans="1:5" ht="26" x14ac:dyDescent="0.3">
      <c r="A3309" s="17" t="str">
        <f>"54332"</f>
        <v>54332</v>
      </c>
      <c r="B3309" s="5" t="s">
        <v>3464</v>
      </c>
      <c r="C3309" s="17">
        <v>19900101</v>
      </c>
      <c r="D3309" s="17">
        <v>22991231</v>
      </c>
      <c r="E3309" s="24" t="s">
        <v>7128</v>
      </c>
    </row>
    <row r="3310" spans="1:5" ht="26" x14ac:dyDescent="0.3">
      <c r="A3310" s="17" t="str">
        <f>"54336"</f>
        <v>54336</v>
      </c>
      <c r="B3310" s="5" t="s">
        <v>3465</v>
      </c>
      <c r="C3310" s="17">
        <v>19900101</v>
      </c>
      <c r="D3310" s="17">
        <v>22991231</v>
      </c>
      <c r="E3310" s="24" t="s">
        <v>7128</v>
      </c>
    </row>
    <row r="3311" spans="1:5" ht="26" x14ac:dyDescent="0.3">
      <c r="A3311" s="17" t="str">
        <f>"54340"</f>
        <v>54340</v>
      </c>
      <c r="B3311" s="5" t="s">
        <v>3466</v>
      </c>
      <c r="C3311" s="17">
        <v>19900101</v>
      </c>
      <c r="D3311" s="17">
        <v>22991231</v>
      </c>
      <c r="E3311" s="25">
        <v>1553.18</v>
      </c>
    </row>
    <row r="3312" spans="1:5" ht="39" x14ac:dyDescent="0.3">
      <c r="A3312" s="17" t="str">
        <f>"54344"</f>
        <v>54344</v>
      </c>
      <c r="B3312" s="5" t="s">
        <v>3467</v>
      </c>
      <c r="C3312" s="17">
        <v>19900101</v>
      </c>
      <c r="D3312" s="17">
        <v>22991231</v>
      </c>
      <c r="E3312" s="25">
        <v>4341.6400000000003</v>
      </c>
    </row>
    <row r="3313" spans="1:5" ht="26" x14ac:dyDescent="0.3">
      <c r="A3313" s="17" t="str">
        <f>"54348"</f>
        <v>54348</v>
      </c>
      <c r="B3313" s="5" t="s">
        <v>3468</v>
      </c>
      <c r="C3313" s="17">
        <v>19900101</v>
      </c>
      <c r="D3313" s="17">
        <v>22991231</v>
      </c>
      <c r="E3313" s="25">
        <v>2360.33</v>
      </c>
    </row>
    <row r="3314" spans="1:5" ht="39" x14ac:dyDescent="0.3">
      <c r="A3314" s="17" t="str">
        <f>"54352"</f>
        <v>54352</v>
      </c>
      <c r="B3314" s="5" t="s">
        <v>3469</v>
      </c>
      <c r="C3314" s="17">
        <v>19900101</v>
      </c>
      <c r="D3314" s="17">
        <v>22991231</v>
      </c>
      <c r="E3314" s="25">
        <v>2360.33</v>
      </c>
    </row>
    <row r="3315" spans="1:5" x14ac:dyDescent="0.3">
      <c r="A3315" s="17" t="str">
        <f>"54360"</f>
        <v>54360</v>
      </c>
      <c r="B3315" s="5" t="s">
        <v>3470</v>
      </c>
      <c r="C3315" s="17">
        <v>19900101</v>
      </c>
      <c r="D3315" s="17">
        <v>22991231</v>
      </c>
      <c r="E3315" s="25">
        <v>1553.18</v>
      </c>
    </row>
    <row r="3316" spans="1:5" x14ac:dyDescent="0.3">
      <c r="A3316" s="17" t="str">
        <f>"54380"</f>
        <v>54380</v>
      </c>
      <c r="B3316" s="5" t="s">
        <v>3471</v>
      </c>
      <c r="C3316" s="17">
        <v>19900101</v>
      </c>
      <c r="D3316" s="17">
        <v>22991231</v>
      </c>
      <c r="E3316" s="25">
        <v>888.17</v>
      </c>
    </row>
    <row r="3317" spans="1:5" ht="26" x14ac:dyDescent="0.3">
      <c r="A3317" s="17" t="str">
        <f>"54385"</f>
        <v>54385</v>
      </c>
      <c r="B3317" s="5" t="s">
        <v>3472</v>
      </c>
      <c r="C3317" s="17">
        <v>19900101</v>
      </c>
      <c r="D3317" s="17">
        <v>22991231</v>
      </c>
      <c r="E3317" s="25">
        <v>888.17</v>
      </c>
    </row>
    <row r="3318" spans="1:5" x14ac:dyDescent="0.3">
      <c r="A3318" s="17" t="str">
        <f>"54400"</f>
        <v>54400</v>
      </c>
      <c r="B3318" s="5" t="s">
        <v>3473</v>
      </c>
      <c r="C3318" s="17">
        <v>19900701</v>
      </c>
      <c r="D3318" s="17">
        <v>22991231</v>
      </c>
      <c r="E3318" s="25">
        <v>10028.34</v>
      </c>
    </row>
    <row r="3319" spans="1:5" x14ac:dyDescent="0.3">
      <c r="A3319" s="17" t="str">
        <f>"54401"</f>
        <v>54401</v>
      </c>
      <c r="B3319" s="5" t="s">
        <v>3474</v>
      </c>
      <c r="C3319" s="17">
        <v>19900101</v>
      </c>
      <c r="D3319" s="17">
        <v>22991231</v>
      </c>
      <c r="E3319" s="25">
        <v>15886.55</v>
      </c>
    </row>
    <row r="3320" spans="1:5" ht="26" x14ac:dyDescent="0.3">
      <c r="A3320" s="17" t="str">
        <f>"54405"</f>
        <v>54405</v>
      </c>
      <c r="B3320" s="5" t="s">
        <v>3475</v>
      </c>
      <c r="C3320" s="17">
        <v>19900101</v>
      </c>
      <c r="D3320" s="17">
        <v>22991231</v>
      </c>
      <c r="E3320" s="25">
        <v>15850.7</v>
      </c>
    </row>
    <row r="3321" spans="1:5" ht="26" x14ac:dyDescent="0.3">
      <c r="A3321" s="17" t="str">
        <f>"54406"</f>
        <v>54406</v>
      </c>
      <c r="B3321" s="5" t="s">
        <v>3476</v>
      </c>
      <c r="C3321" s="17">
        <v>20030401</v>
      </c>
      <c r="D3321" s="17">
        <v>22991231</v>
      </c>
      <c r="E3321" s="25">
        <v>1553.18</v>
      </c>
    </row>
    <row r="3322" spans="1:5" ht="26" x14ac:dyDescent="0.3">
      <c r="A3322" s="17" t="str">
        <f>"54408"</f>
        <v>54408</v>
      </c>
      <c r="B3322" s="5" t="s">
        <v>3477</v>
      </c>
      <c r="C3322" s="17">
        <v>20030401</v>
      </c>
      <c r="D3322" s="17">
        <v>22991231</v>
      </c>
      <c r="E3322" s="25">
        <v>2360.33</v>
      </c>
    </row>
    <row r="3323" spans="1:5" ht="26" x14ac:dyDescent="0.3">
      <c r="A3323" s="17" t="str">
        <f>"54410"</f>
        <v>54410</v>
      </c>
      <c r="B3323" s="5" t="s">
        <v>3478</v>
      </c>
      <c r="C3323" s="17">
        <v>20030401</v>
      </c>
      <c r="D3323" s="17">
        <v>22991231</v>
      </c>
      <c r="E3323" s="25">
        <v>15549.78</v>
      </c>
    </row>
    <row r="3324" spans="1:5" ht="26" x14ac:dyDescent="0.3">
      <c r="A3324" s="17" t="str">
        <f>"54415"</f>
        <v>54415</v>
      </c>
      <c r="B3324" s="5" t="s">
        <v>3479</v>
      </c>
      <c r="C3324" s="17">
        <v>20030401</v>
      </c>
      <c r="D3324" s="17">
        <v>22991231</v>
      </c>
      <c r="E3324" s="25">
        <v>1553.18</v>
      </c>
    </row>
    <row r="3325" spans="1:5" ht="26" x14ac:dyDescent="0.3">
      <c r="A3325" s="17" t="str">
        <f>"54416"</f>
        <v>54416</v>
      </c>
      <c r="B3325" s="5" t="s">
        <v>3480</v>
      </c>
      <c r="C3325" s="17">
        <v>20030401</v>
      </c>
      <c r="D3325" s="17">
        <v>22991231</v>
      </c>
      <c r="E3325" s="25">
        <v>15588.96</v>
      </c>
    </row>
    <row r="3326" spans="1:5" x14ac:dyDescent="0.3">
      <c r="A3326" s="17" t="str">
        <f>"54420"</f>
        <v>54420</v>
      </c>
      <c r="B3326" s="5" t="s">
        <v>3481</v>
      </c>
      <c r="C3326" s="17">
        <v>19900101</v>
      </c>
      <c r="D3326" s="17">
        <v>22991231</v>
      </c>
      <c r="E3326" s="25">
        <v>1553.18</v>
      </c>
    </row>
    <row r="3327" spans="1:5" ht="26" x14ac:dyDescent="0.3">
      <c r="A3327" s="17" t="str">
        <f>"54435"</f>
        <v>54435</v>
      </c>
      <c r="B3327" s="5" t="s">
        <v>3482</v>
      </c>
      <c r="C3327" s="17">
        <v>19900101</v>
      </c>
      <c r="D3327" s="17">
        <v>22991231</v>
      </c>
      <c r="E3327" s="25">
        <v>1553.18</v>
      </c>
    </row>
    <row r="3328" spans="1:5" x14ac:dyDescent="0.3">
      <c r="A3328" s="17" t="str">
        <f>"54437"</f>
        <v>54437</v>
      </c>
      <c r="B3328" s="5" t="s">
        <v>3483</v>
      </c>
      <c r="C3328" s="17">
        <v>20230101</v>
      </c>
      <c r="D3328" s="17">
        <v>22991231</v>
      </c>
      <c r="E3328" s="25">
        <v>1553.18</v>
      </c>
    </row>
    <row r="3329" spans="1:5" x14ac:dyDescent="0.3">
      <c r="A3329" s="17" t="str">
        <f>"54440"</f>
        <v>54440</v>
      </c>
      <c r="B3329" s="5" t="s">
        <v>3484</v>
      </c>
      <c r="C3329" s="17">
        <v>19900101</v>
      </c>
      <c r="D3329" s="17">
        <v>22991231</v>
      </c>
      <c r="E3329" s="25">
        <v>1553.18</v>
      </c>
    </row>
    <row r="3330" spans="1:5" ht="26" x14ac:dyDescent="0.3">
      <c r="A3330" s="17" t="str">
        <f>"54450"</f>
        <v>54450</v>
      </c>
      <c r="B3330" s="5" t="s">
        <v>3485</v>
      </c>
      <c r="C3330" s="17">
        <v>19900101</v>
      </c>
      <c r="D3330" s="17">
        <v>22991231</v>
      </c>
      <c r="E3330" s="25">
        <v>122.45</v>
      </c>
    </row>
    <row r="3331" spans="1:5" x14ac:dyDescent="0.3">
      <c r="A3331" s="17" t="str">
        <f>"54500"</f>
        <v>54500</v>
      </c>
      <c r="B3331" s="5" t="s">
        <v>3486</v>
      </c>
      <c r="C3331" s="17">
        <v>19900101</v>
      </c>
      <c r="D3331" s="17">
        <v>22991231</v>
      </c>
      <c r="E3331" s="25">
        <v>1105.24</v>
      </c>
    </row>
    <row r="3332" spans="1:5" x14ac:dyDescent="0.3">
      <c r="A3332" s="17" t="str">
        <f>"54505"</f>
        <v>54505</v>
      </c>
      <c r="B3332" s="5" t="s">
        <v>3487</v>
      </c>
      <c r="C3332" s="17">
        <v>19900101</v>
      </c>
      <c r="D3332" s="17">
        <v>22991231</v>
      </c>
      <c r="E3332" s="25">
        <v>1553.18</v>
      </c>
    </row>
    <row r="3333" spans="1:5" x14ac:dyDescent="0.3">
      <c r="A3333" s="17" t="str">
        <f>"54512"</f>
        <v>54512</v>
      </c>
      <c r="B3333" s="5" t="s">
        <v>3488</v>
      </c>
      <c r="C3333" s="17">
        <v>20010101</v>
      </c>
      <c r="D3333" s="17">
        <v>22991231</v>
      </c>
      <c r="E3333" s="25">
        <v>1553.18</v>
      </c>
    </row>
    <row r="3334" spans="1:5" x14ac:dyDescent="0.3">
      <c r="A3334" s="17" t="str">
        <f>"54520"</f>
        <v>54520</v>
      </c>
      <c r="B3334" s="5" t="s">
        <v>3489</v>
      </c>
      <c r="C3334" s="17">
        <v>19900101</v>
      </c>
      <c r="D3334" s="17">
        <v>22991231</v>
      </c>
      <c r="E3334" s="25">
        <v>1553.18</v>
      </c>
    </row>
    <row r="3335" spans="1:5" x14ac:dyDescent="0.3">
      <c r="A3335" s="17" t="str">
        <f>"54522"</f>
        <v>54522</v>
      </c>
      <c r="B3335" s="5" t="s">
        <v>3490</v>
      </c>
      <c r="C3335" s="17">
        <v>20010101</v>
      </c>
      <c r="D3335" s="17">
        <v>22991231</v>
      </c>
      <c r="E3335" s="25">
        <v>1553.18</v>
      </c>
    </row>
    <row r="3336" spans="1:5" x14ac:dyDescent="0.3">
      <c r="A3336" s="17" t="str">
        <f>"54530"</f>
        <v>54530</v>
      </c>
      <c r="B3336" s="5" t="s">
        <v>3491</v>
      </c>
      <c r="C3336" s="17">
        <v>19900101</v>
      </c>
      <c r="D3336" s="17">
        <v>22991231</v>
      </c>
      <c r="E3336" s="25">
        <v>1549.07</v>
      </c>
    </row>
    <row r="3337" spans="1:5" x14ac:dyDescent="0.3">
      <c r="A3337" s="17" t="str">
        <f>"54535"</f>
        <v>54535</v>
      </c>
      <c r="B3337" s="5" t="s">
        <v>3492</v>
      </c>
      <c r="C3337" s="17">
        <v>19900101</v>
      </c>
      <c r="D3337" s="17">
        <v>22991231</v>
      </c>
      <c r="E3337" s="24" t="s">
        <v>7128</v>
      </c>
    </row>
    <row r="3338" spans="1:5" ht="26" x14ac:dyDescent="0.3">
      <c r="A3338" s="17" t="str">
        <f>"54550"</f>
        <v>54550</v>
      </c>
      <c r="B3338" s="5" t="s">
        <v>3493</v>
      </c>
      <c r="C3338" s="17">
        <v>19900101</v>
      </c>
      <c r="D3338" s="17">
        <v>22991231</v>
      </c>
      <c r="E3338" s="25">
        <v>1549.07</v>
      </c>
    </row>
    <row r="3339" spans="1:5" x14ac:dyDescent="0.3">
      <c r="A3339" s="17" t="str">
        <f>"54560"</f>
        <v>54560</v>
      </c>
      <c r="B3339" s="5" t="s">
        <v>3494</v>
      </c>
      <c r="C3339" s="17">
        <v>19900101</v>
      </c>
      <c r="D3339" s="17">
        <v>22991231</v>
      </c>
      <c r="E3339" s="25">
        <v>888.17</v>
      </c>
    </row>
    <row r="3340" spans="1:5" x14ac:dyDescent="0.3">
      <c r="A3340" s="17" t="str">
        <f>"54600"</f>
        <v>54600</v>
      </c>
      <c r="B3340" s="5" t="s">
        <v>3495</v>
      </c>
      <c r="C3340" s="17">
        <v>19900101</v>
      </c>
      <c r="D3340" s="17">
        <v>22991231</v>
      </c>
      <c r="E3340" s="25">
        <v>1553.18</v>
      </c>
    </row>
    <row r="3341" spans="1:5" x14ac:dyDescent="0.3">
      <c r="A3341" s="17" t="str">
        <f>"54620"</f>
        <v>54620</v>
      </c>
      <c r="B3341" s="5" t="s">
        <v>3496</v>
      </c>
      <c r="C3341" s="17">
        <v>19900101</v>
      </c>
      <c r="D3341" s="17">
        <v>22991231</v>
      </c>
      <c r="E3341" s="25">
        <v>1553.18</v>
      </c>
    </row>
    <row r="3342" spans="1:5" x14ac:dyDescent="0.3">
      <c r="A3342" s="17" t="str">
        <f>"54640"</f>
        <v>54640</v>
      </c>
      <c r="B3342" s="5" t="s">
        <v>3497</v>
      </c>
      <c r="C3342" s="17">
        <v>19900101</v>
      </c>
      <c r="D3342" s="17">
        <v>22991231</v>
      </c>
      <c r="E3342" s="25">
        <v>1549.07</v>
      </c>
    </row>
    <row r="3343" spans="1:5" x14ac:dyDescent="0.3">
      <c r="A3343" s="17" t="str">
        <f>"54650"</f>
        <v>54650</v>
      </c>
      <c r="B3343" s="5" t="s">
        <v>3498</v>
      </c>
      <c r="C3343" s="17">
        <v>19940101</v>
      </c>
      <c r="D3343" s="17">
        <v>22991231</v>
      </c>
      <c r="E3343" s="25">
        <v>1549.07</v>
      </c>
    </row>
    <row r="3344" spans="1:5" x14ac:dyDescent="0.3">
      <c r="A3344" s="17" t="str">
        <f>"54660"</f>
        <v>54660</v>
      </c>
      <c r="B3344" s="5" t="s">
        <v>3499</v>
      </c>
      <c r="C3344" s="17">
        <v>19900101</v>
      </c>
      <c r="D3344" s="17">
        <v>22991231</v>
      </c>
      <c r="E3344" s="25">
        <v>3327.7</v>
      </c>
    </row>
    <row r="3345" spans="1:5" x14ac:dyDescent="0.3">
      <c r="A3345" s="17" t="str">
        <f>"54670"</f>
        <v>54670</v>
      </c>
      <c r="B3345" s="5" t="s">
        <v>3500</v>
      </c>
      <c r="C3345" s="17">
        <v>19900101</v>
      </c>
      <c r="D3345" s="17">
        <v>22991231</v>
      </c>
      <c r="E3345" s="25">
        <v>1553.18</v>
      </c>
    </row>
    <row r="3346" spans="1:5" x14ac:dyDescent="0.3">
      <c r="A3346" s="17" t="str">
        <f>"54680"</f>
        <v>54680</v>
      </c>
      <c r="B3346" s="5" t="s">
        <v>3501</v>
      </c>
      <c r="C3346" s="17">
        <v>19900101</v>
      </c>
      <c r="D3346" s="17">
        <v>22991231</v>
      </c>
      <c r="E3346" s="25">
        <v>1553.18</v>
      </c>
    </row>
    <row r="3347" spans="1:5" x14ac:dyDescent="0.3">
      <c r="A3347" s="17" t="str">
        <f>"54690"</f>
        <v>54690</v>
      </c>
      <c r="B3347" s="5" t="s">
        <v>3502</v>
      </c>
      <c r="C3347" s="17">
        <v>20000101</v>
      </c>
      <c r="D3347" s="17">
        <v>22991231</v>
      </c>
      <c r="E3347" s="25">
        <v>2584.12</v>
      </c>
    </row>
    <row r="3348" spans="1:5" ht="26" x14ac:dyDescent="0.3">
      <c r="A3348" s="17" t="str">
        <f>"54692"</f>
        <v>54692</v>
      </c>
      <c r="B3348" s="5" t="s">
        <v>3503</v>
      </c>
      <c r="C3348" s="17">
        <v>20000101</v>
      </c>
      <c r="D3348" s="17">
        <v>22991231</v>
      </c>
      <c r="E3348" s="25">
        <v>2584.12</v>
      </c>
    </row>
    <row r="3349" spans="1:5" x14ac:dyDescent="0.3">
      <c r="A3349" s="17" t="str">
        <f>"54699"</f>
        <v>54699</v>
      </c>
      <c r="B3349" s="5" t="s">
        <v>3504</v>
      </c>
      <c r="C3349" s="17">
        <v>20000101</v>
      </c>
      <c r="D3349" s="17">
        <v>22991231</v>
      </c>
      <c r="E3349" s="24" t="s">
        <v>7128</v>
      </c>
    </row>
    <row r="3350" spans="1:5" ht="26" x14ac:dyDescent="0.3">
      <c r="A3350" s="17" t="str">
        <f>"54700"</f>
        <v>54700</v>
      </c>
      <c r="B3350" s="5" t="s">
        <v>3505</v>
      </c>
      <c r="C3350" s="17">
        <v>19900101</v>
      </c>
      <c r="D3350" s="17">
        <v>22991231</v>
      </c>
      <c r="E3350" s="25">
        <v>888.17</v>
      </c>
    </row>
    <row r="3351" spans="1:5" x14ac:dyDescent="0.3">
      <c r="A3351" s="17" t="str">
        <f>"54800"</f>
        <v>54800</v>
      </c>
      <c r="B3351" s="5" t="s">
        <v>3506</v>
      </c>
      <c r="C3351" s="17">
        <v>19900101</v>
      </c>
      <c r="D3351" s="17">
        <v>22991231</v>
      </c>
      <c r="E3351" s="25">
        <v>652.27</v>
      </c>
    </row>
    <row r="3352" spans="1:5" x14ac:dyDescent="0.3">
      <c r="A3352" s="17" t="str">
        <f>"54830"</f>
        <v>54830</v>
      </c>
      <c r="B3352" s="5" t="s">
        <v>3507</v>
      </c>
      <c r="C3352" s="17">
        <v>19900101</v>
      </c>
      <c r="D3352" s="17">
        <v>22991231</v>
      </c>
      <c r="E3352" s="25">
        <v>1553.18</v>
      </c>
    </row>
    <row r="3353" spans="1:5" ht="26" x14ac:dyDescent="0.3">
      <c r="A3353" s="17" t="str">
        <f>"54840"</f>
        <v>54840</v>
      </c>
      <c r="B3353" s="5" t="s">
        <v>3508</v>
      </c>
      <c r="C3353" s="17">
        <v>19900101</v>
      </c>
      <c r="D3353" s="17">
        <v>22991231</v>
      </c>
      <c r="E3353" s="25">
        <v>888.17</v>
      </c>
    </row>
    <row r="3354" spans="1:5" x14ac:dyDescent="0.3">
      <c r="A3354" s="17" t="str">
        <f>"54860"</f>
        <v>54860</v>
      </c>
      <c r="B3354" s="5" t="s">
        <v>3509</v>
      </c>
      <c r="C3354" s="17">
        <v>19900101</v>
      </c>
      <c r="D3354" s="17">
        <v>22991231</v>
      </c>
      <c r="E3354" s="25">
        <v>1553.18</v>
      </c>
    </row>
    <row r="3355" spans="1:5" x14ac:dyDescent="0.3">
      <c r="A3355" s="17" t="str">
        <f>"54861"</f>
        <v>54861</v>
      </c>
      <c r="B3355" s="5" t="s">
        <v>3510</v>
      </c>
      <c r="C3355" s="17">
        <v>19900101</v>
      </c>
      <c r="D3355" s="17">
        <v>22991231</v>
      </c>
      <c r="E3355" s="25">
        <v>1553.18</v>
      </c>
    </row>
    <row r="3356" spans="1:5" x14ac:dyDescent="0.3">
      <c r="A3356" s="17" t="str">
        <f>"54865"</f>
        <v>54865</v>
      </c>
      <c r="B3356" s="5" t="s">
        <v>3511</v>
      </c>
      <c r="C3356" s="17">
        <v>20070101</v>
      </c>
      <c r="D3356" s="17">
        <v>22991231</v>
      </c>
      <c r="E3356" s="25">
        <v>1553.18</v>
      </c>
    </row>
    <row r="3357" spans="1:5" x14ac:dyDescent="0.3">
      <c r="A3357" s="17" t="str">
        <f>"54900"</f>
        <v>54900</v>
      </c>
      <c r="B3357" s="5" t="s">
        <v>3512</v>
      </c>
      <c r="C3357" s="17">
        <v>20230101</v>
      </c>
      <c r="D3357" s="17">
        <v>22991231</v>
      </c>
      <c r="E3357" s="25">
        <v>888.17</v>
      </c>
    </row>
    <row r="3358" spans="1:5" ht="26" x14ac:dyDescent="0.3">
      <c r="A3358" s="17" t="str">
        <f>"54901"</f>
        <v>54901</v>
      </c>
      <c r="B3358" s="5" t="s">
        <v>3513</v>
      </c>
      <c r="C3358" s="17">
        <v>20230101</v>
      </c>
      <c r="D3358" s="17">
        <v>22991231</v>
      </c>
      <c r="E3358" s="25">
        <v>1553.18</v>
      </c>
    </row>
    <row r="3359" spans="1:5" ht="26" x14ac:dyDescent="0.3">
      <c r="A3359" s="17" t="str">
        <f>"55000"</f>
        <v>55000</v>
      </c>
      <c r="B3359" s="5" t="s">
        <v>3514</v>
      </c>
      <c r="C3359" s="17">
        <v>19900101</v>
      </c>
      <c r="D3359" s="17">
        <v>22991231</v>
      </c>
      <c r="E3359" s="25">
        <v>62.87</v>
      </c>
    </row>
    <row r="3360" spans="1:5" ht="26" x14ac:dyDescent="0.3">
      <c r="A3360" s="17" t="str">
        <f>"55040"</f>
        <v>55040</v>
      </c>
      <c r="B3360" s="5" t="s">
        <v>3515</v>
      </c>
      <c r="C3360" s="17">
        <v>19900101</v>
      </c>
      <c r="D3360" s="17">
        <v>22991231</v>
      </c>
      <c r="E3360" s="25">
        <v>1549.07</v>
      </c>
    </row>
    <row r="3361" spans="1:5" ht="26" x14ac:dyDescent="0.3">
      <c r="A3361" s="17" t="str">
        <f>"55041"</f>
        <v>55041</v>
      </c>
      <c r="B3361" s="5" t="s">
        <v>3516</v>
      </c>
      <c r="C3361" s="17">
        <v>19900101</v>
      </c>
      <c r="D3361" s="17">
        <v>22991231</v>
      </c>
      <c r="E3361" s="25">
        <v>1549.07</v>
      </c>
    </row>
    <row r="3362" spans="1:5" ht="26" x14ac:dyDescent="0.3">
      <c r="A3362" s="17" t="str">
        <f>"55060"</f>
        <v>55060</v>
      </c>
      <c r="B3362" s="5" t="s">
        <v>3517</v>
      </c>
      <c r="C3362" s="17">
        <v>19900101</v>
      </c>
      <c r="D3362" s="17">
        <v>22991231</v>
      </c>
      <c r="E3362" s="25">
        <v>1553.18</v>
      </c>
    </row>
    <row r="3363" spans="1:5" x14ac:dyDescent="0.3">
      <c r="A3363" s="17" t="str">
        <f>"55100"</f>
        <v>55100</v>
      </c>
      <c r="B3363" s="5" t="s">
        <v>3518</v>
      </c>
      <c r="C3363" s="17">
        <v>19900101</v>
      </c>
      <c r="D3363" s="17">
        <v>22991231</v>
      </c>
      <c r="E3363" s="25">
        <v>652.27</v>
      </c>
    </row>
    <row r="3364" spans="1:5" x14ac:dyDescent="0.3">
      <c r="A3364" s="17" t="str">
        <f>"55110"</f>
        <v>55110</v>
      </c>
      <c r="B3364" s="5" t="s">
        <v>3519</v>
      </c>
      <c r="C3364" s="17">
        <v>19900101</v>
      </c>
      <c r="D3364" s="17">
        <v>22991231</v>
      </c>
      <c r="E3364" s="25">
        <v>1553.18</v>
      </c>
    </row>
    <row r="3365" spans="1:5" x14ac:dyDescent="0.3">
      <c r="A3365" s="17" t="str">
        <f>"55120"</f>
        <v>55120</v>
      </c>
      <c r="B3365" s="5" t="s">
        <v>3520</v>
      </c>
      <c r="C3365" s="17">
        <v>19900101</v>
      </c>
      <c r="D3365" s="17">
        <v>22991231</v>
      </c>
      <c r="E3365" s="25">
        <v>888.17</v>
      </c>
    </row>
    <row r="3366" spans="1:5" x14ac:dyDescent="0.3">
      <c r="A3366" s="17" t="str">
        <f>"55150"</f>
        <v>55150</v>
      </c>
      <c r="B3366" s="5" t="s">
        <v>3521</v>
      </c>
      <c r="C3366" s="17">
        <v>20030701</v>
      </c>
      <c r="D3366" s="17">
        <v>22991231</v>
      </c>
      <c r="E3366" s="25">
        <v>1553.18</v>
      </c>
    </row>
    <row r="3367" spans="1:5" x14ac:dyDescent="0.3">
      <c r="A3367" s="17" t="str">
        <f>"55175"</f>
        <v>55175</v>
      </c>
      <c r="B3367" s="5" t="s">
        <v>3522</v>
      </c>
      <c r="C3367" s="17">
        <v>19900101</v>
      </c>
      <c r="D3367" s="17">
        <v>22991231</v>
      </c>
      <c r="E3367" s="25">
        <v>1553.18</v>
      </c>
    </row>
    <row r="3368" spans="1:5" x14ac:dyDescent="0.3">
      <c r="A3368" s="17" t="str">
        <f>"55180"</f>
        <v>55180</v>
      </c>
      <c r="B3368" s="5" t="s">
        <v>3523</v>
      </c>
      <c r="C3368" s="17">
        <v>19900101</v>
      </c>
      <c r="D3368" s="17">
        <v>22991231</v>
      </c>
      <c r="E3368" s="25">
        <v>2360.33</v>
      </c>
    </row>
    <row r="3369" spans="1:5" x14ac:dyDescent="0.3">
      <c r="A3369" s="17" t="str">
        <f>"55200"</f>
        <v>55200</v>
      </c>
      <c r="B3369" s="5" t="s">
        <v>3524</v>
      </c>
      <c r="C3369" s="17">
        <v>20030701</v>
      </c>
      <c r="D3369" s="17">
        <v>22991231</v>
      </c>
      <c r="E3369" s="25">
        <v>1553.18</v>
      </c>
    </row>
    <row r="3370" spans="1:5" x14ac:dyDescent="0.3">
      <c r="A3370" s="17" t="str">
        <f>"55250"</f>
        <v>55250</v>
      </c>
      <c r="B3370" s="5" t="s">
        <v>3525</v>
      </c>
      <c r="C3370" s="17">
        <v>19900101</v>
      </c>
      <c r="D3370" s="17">
        <v>22991231</v>
      </c>
      <c r="E3370" s="25">
        <v>888.17</v>
      </c>
    </row>
    <row r="3371" spans="1:5" x14ac:dyDescent="0.3">
      <c r="A3371" s="17" t="str">
        <f>"55300"</f>
        <v>55300</v>
      </c>
      <c r="B3371" s="5" t="s">
        <v>3526</v>
      </c>
      <c r="C3371" s="17">
        <v>20030701</v>
      </c>
      <c r="D3371" s="17">
        <v>22991231</v>
      </c>
      <c r="E3371" s="25">
        <v>0</v>
      </c>
    </row>
    <row r="3372" spans="1:5" x14ac:dyDescent="0.3">
      <c r="A3372" s="17" t="str">
        <f>"55400"</f>
        <v>55400</v>
      </c>
      <c r="B3372" s="5" t="s">
        <v>3527</v>
      </c>
      <c r="C3372" s="17">
        <v>20030701</v>
      </c>
      <c r="D3372" s="17">
        <v>22991231</v>
      </c>
      <c r="E3372" s="25">
        <v>1553.18</v>
      </c>
    </row>
    <row r="3373" spans="1:5" x14ac:dyDescent="0.3">
      <c r="A3373" s="17" t="str">
        <f>"55500"</f>
        <v>55500</v>
      </c>
      <c r="B3373" s="5" t="s">
        <v>3528</v>
      </c>
      <c r="C3373" s="17">
        <v>19900101</v>
      </c>
      <c r="D3373" s="17">
        <v>22991231</v>
      </c>
      <c r="E3373" s="25">
        <v>1553.18</v>
      </c>
    </row>
    <row r="3374" spans="1:5" x14ac:dyDescent="0.3">
      <c r="A3374" s="17" t="str">
        <f>"55520"</f>
        <v>55520</v>
      </c>
      <c r="B3374" s="5" t="s">
        <v>3529</v>
      </c>
      <c r="C3374" s="17">
        <v>20030701</v>
      </c>
      <c r="D3374" s="17">
        <v>22991231</v>
      </c>
      <c r="E3374" s="25">
        <v>1553.18</v>
      </c>
    </row>
    <row r="3375" spans="1:5" ht="26" x14ac:dyDescent="0.3">
      <c r="A3375" s="17" t="str">
        <f>"55530"</f>
        <v>55530</v>
      </c>
      <c r="B3375" s="5" t="s">
        <v>3530</v>
      </c>
      <c r="C3375" s="17">
        <v>20030701</v>
      </c>
      <c r="D3375" s="17">
        <v>22991231</v>
      </c>
      <c r="E3375" s="25">
        <v>1553.18</v>
      </c>
    </row>
    <row r="3376" spans="1:5" ht="26" x14ac:dyDescent="0.3">
      <c r="A3376" s="17" t="str">
        <f>"55535"</f>
        <v>55535</v>
      </c>
      <c r="B3376" s="5" t="s">
        <v>3531</v>
      </c>
      <c r="C3376" s="17">
        <v>19900101</v>
      </c>
      <c r="D3376" s="17">
        <v>22991231</v>
      </c>
      <c r="E3376" s="25">
        <v>3555.44</v>
      </c>
    </row>
    <row r="3377" spans="1:5" ht="26" x14ac:dyDescent="0.3">
      <c r="A3377" s="17" t="str">
        <f>"55540"</f>
        <v>55540</v>
      </c>
      <c r="B3377" s="5" t="s">
        <v>3532</v>
      </c>
      <c r="C3377" s="17">
        <v>19900101</v>
      </c>
      <c r="D3377" s="17">
        <v>22991231</v>
      </c>
      <c r="E3377" s="25">
        <v>1549.07</v>
      </c>
    </row>
    <row r="3378" spans="1:5" x14ac:dyDescent="0.3">
      <c r="A3378" s="17" t="str">
        <f>"55550"</f>
        <v>55550</v>
      </c>
      <c r="B3378" s="5" t="s">
        <v>3533</v>
      </c>
      <c r="C3378" s="17">
        <v>20000101</v>
      </c>
      <c r="D3378" s="17">
        <v>22991231</v>
      </c>
      <c r="E3378" s="25">
        <v>2584.12</v>
      </c>
    </row>
    <row r="3379" spans="1:5" ht="26" x14ac:dyDescent="0.3">
      <c r="A3379" s="17" t="str">
        <f>"55559"</f>
        <v>55559</v>
      </c>
      <c r="B3379" s="5" t="s">
        <v>3534</v>
      </c>
      <c r="C3379" s="17">
        <v>20000101</v>
      </c>
      <c r="D3379" s="17">
        <v>22991231</v>
      </c>
      <c r="E3379" s="24" t="s">
        <v>7128</v>
      </c>
    </row>
    <row r="3380" spans="1:5" ht="26" x14ac:dyDescent="0.3">
      <c r="A3380" s="17" t="str">
        <f>"55600"</f>
        <v>55600</v>
      </c>
      <c r="B3380" s="5" t="s">
        <v>3535</v>
      </c>
      <c r="C3380" s="17">
        <v>19900101</v>
      </c>
      <c r="D3380" s="17">
        <v>22991231</v>
      </c>
      <c r="E3380" s="25">
        <v>888.17</v>
      </c>
    </row>
    <row r="3381" spans="1:5" ht="26" x14ac:dyDescent="0.3">
      <c r="A3381" s="17" t="str">
        <f>"55680"</f>
        <v>55680</v>
      </c>
      <c r="B3381" s="5" t="s">
        <v>3536</v>
      </c>
      <c r="C3381" s="17">
        <v>19900101</v>
      </c>
      <c r="D3381" s="17">
        <v>22991231</v>
      </c>
      <c r="E3381" s="25">
        <v>1553.18</v>
      </c>
    </row>
    <row r="3382" spans="1:5" x14ac:dyDescent="0.3">
      <c r="A3382" s="17" t="str">
        <f>"55700"</f>
        <v>55700</v>
      </c>
      <c r="B3382" s="5" t="s">
        <v>3537</v>
      </c>
      <c r="C3382" s="17">
        <v>19900101</v>
      </c>
      <c r="D3382" s="17">
        <v>22991231</v>
      </c>
      <c r="E3382" s="25">
        <v>888.17</v>
      </c>
    </row>
    <row r="3383" spans="1:5" x14ac:dyDescent="0.3">
      <c r="A3383" s="17" t="str">
        <f>"55705"</f>
        <v>55705</v>
      </c>
      <c r="B3383" s="5" t="s">
        <v>3538</v>
      </c>
      <c r="C3383" s="17">
        <v>19900101</v>
      </c>
      <c r="D3383" s="17">
        <v>22991231</v>
      </c>
      <c r="E3383" s="25">
        <v>1553.18</v>
      </c>
    </row>
    <row r="3384" spans="1:5" ht="26" x14ac:dyDescent="0.3">
      <c r="A3384" s="17" t="str">
        <f>"55706"</f>
        <v>55706</v>
      </c>
      <c r="B3384" s="5" t="s">
        <v>3539</v>
      </c>
      <c r="C3384" s="17">
        <v>20090101</v>
      </c>
      <c r="D3384" s="17">
        <v>22991231</v>
      </c>
      <c r="E3384" s="25">
        <v>1553.18</v>
      </c>
    </row>
    <row r="3385" spans="1:5" ht="26" x14ac:dyDescent="0.3">
      <c r="A3385" s="17" t="str">
        <f>"55720"</f>
        <v>55720</v>
      </c>
      <c r="B3385" s="5" t="s">
        <v>3540</v>
      </c>
      <c r="C3385" s="17">
        <v>19900101</v>
      </c>
      <c r="D3385" s="17">
        <v>22991231</v>
      </c>
      <c r="E3385" s="25">
        <v>1553.18</v>
      </c>
    </row>
    <row r="3386" spans="1:5" ht="26" x14ac:dyDescent="0.3">
      <c r="A3386" s="17" t="str">
        <f>"55725"</f>
        <v>55725</v>
      </c>
      <c r="B3386" s="5" t="s">
        <v>3541</v>
      </c>
      <c r="C3386" s="17">
        <v>19900101</v>
      </c>
      <c r="D3386" s="17">
        <v>22991231</v>
      </c>
      <c r="E3386" s="25">
        <v>1553.18</v>
      </c>
    </row>
    <row r="3387" spans="1:5" ht="26" x14ac:dyDescent="0.3">
      <c r="A3387" s="17" t="str">
        <f>"55860"</f>
        <v>55860</v>
      </c>
      <c r="B3387" s="5" t="s">
        <v>3542</v>
      </c>
      <c r="C3387" s="17">
        <v>19900101</v>
      </c>
      <c r="D3387" s="17">
        <v>22991231</v>
      </c>
      <c r="E3387" s="25">
        <v>2360.33</v>
      </c>
    </row>
    <row r="3388" spans="1:5" x14ac:dyDescent="0.3">
      <c r="A3388" s="17" t="str">
        <f>"55870"</f>
        <v>55870</v>
      </c>
      <c r="B3388" s="5" t="s">
        <v>3543</v>
      </c>
      <c r="C3388" s="17">
        <v>19920115</v>
      </c>
      <c r="D3388" s="17">
        <v>22991231</v>
      </c>
      <c r="E3388" s="25">
        <v>76.94</v>
      </c>
    </row>
    <row r="3389" spans="1:5" x14ac:dyDescent="0.3">
      <c r="A3389" s="17" t="str">
        <f>"55873"</f>
        <v>55873</v>
      </c>
      <c r="B3389" s="5" t="s">
        <v>3544</v>
      </c>
      <c r="C3389" s="17">
        <v>20010101</v>
      </c>
      <c r="D3389" s="17">
        <v>22991231</v>
      </c>
      <c r="E3389" s="25">
        <v>6236.2</v>
      </c>
    </row>
    <row r="3390" spans="1:5" ht="26" x14ac:dyDescent="0.3">
      <c r="A3390" s="17" t="str">
        <f>"55874"</f>
        <v>55874</v>
      </c>
      <c r="B3390" s="5" t="s">
        <v>3545</v>
      </c>
      <c r="C3390" s="17">
        <v>20180101</v>
      </c>
      <c r="D3390" s="17">
        <v>22991231</v>
      </c>
      <c r="E3390" s="25">
        <v>3576.76</v>
      </c>
    </row>
    <row r="3391" spans="1:5" ht="26" x14ac:dyDescent="0.3">
      <c r="A3391" s="17" t="str">
        <f>"55875"</f>
        <v>55875</v>
      </c>
      <c r="B3391" s="5" t="s">
        <v>3546</v>
      </c>
      <c r="C3391" s="17">
        <v>20230101</v>
      </c>
      <c r="D3391" s="17">
        <v>22991231</v>
      </c>
      <c r="E3391" s="25">
        <v>2360.33</v>
      </c>
    </row>
    <row r="3392" spans="1:5" ht="26" x14ac:dyDescent="0.3">
      <c r="A3392" s="17" t="str">
        <f>"55876"</f>
        <v>55876</v>
      </c>
      <c r="B3392" s="5" t="s">
        <v>3547</v>
      </c>
      <c r="C3392" s="17">
        <v>20230101</v>
      </c>
      <c r="D3392" s="17">
        <v>22991231</v>
      </c>
      <c r="E3392" s="25">
        <v>879.22</v>
      </c>
    </row>
    <row r="3393" spans="1:5" ht="39" x14ac:dyDescent="0.3">
      <c r="A3393" s="17" t="str">
        <f>"55880"</f>
        <v>55880</v>
      </c>
      <c r="B3393" s="5" t="s">
        <v>3548</v>
      </c>
      <c r="C3393" s="17">
        <v>20210101</v>
      </c>
      <c r="D3393" s="17">
        <v>22991231</v>
      </c>
      <c r="E3393" s="25">
        <v>4341.6400000000003</v>
      </c>
    </row>
    <row r="3394" spans="1:5" x14ac:dyDescent="0.3">
      <c r="A3394" s="17" t="str">
        <f>"55899"</f>
        <v>55899</v>
      </c>
      <c r="B3394" s="5" t="s">
        <v>3549</v>
      </c>
      <c r="C3394" s="17">
        <v>19900101</v>
      </c>
      <c r="D3394" s="17">
        <v>22991231</v>
      </c>
      <c r="E3394" s="24" t="s">
        <v>7128</v>
      </c>
    </row>
    <row r="3395" spans="1:5" ht="26" x14ac:dyDescent="0.3">
      <c r="A3395" s="17" t="str">
        <f>"55920"</f>
        <v>55920</v>
      </c>
      <c r="B3395" s="5" t="s">
        <v>3550</v>
      </c>
      <c r="C3395" s="17">
        <v>20080101</v>
      </c>
      <c r="D3395" s="17">
        <v>22991231</v>
      </c>
      <c r="E3395" s="25">
        <v>2039.79</v>
      </c>
    </row>
    <row r="3396" spans="1:5" ht="26" x14ac:dyDescent="0.3">
      <c r="A3396" s="17" t="str">
        <f>"56405"</f>
        <v>56405</v>
      </c>
      <c r="B3396" s="5" t="s">
        <v>3551</v>
      </c>
      <c r="C3396" s="17">
        <v>19930101</v>
      </c>
      <c r="D3396" s="17">
        <v>22991231</v>
      </c>
      <c r="E3396" s="25">
        <v>84.44</v>
      </c>
    </row>
    <row r="3397" spans="1:5" ht="26" x14ac:dyDescent="0.3">
      <c r="A3397" s="17" t="str">
        <f>"56420"</f>
        <v>56420</v>
      </c>
      <c r="B3397" s="5" t="s">
        <v>3552</v>
      </c>
      <c r="C3397" s="17">
        <v>19900101</v>
      </c>
      <c r="D3397" s="17">
        <v>22991231</v>
      </c>
      <c r="E3397" s="25">
        <v>98.73</v>
      </c>
    </row>
    <row r="3398" spans="1:5" ht="26" x14ac:dyDescent="0.3">
      <c r="A3398" s="17" t="str">
        <f>"56440"</f>
        <v>56440</v>
      </c>
      <c r="B3398" s="5" t="s">
        <v>3553</v>
      </c>
      <c r="C3398" s="17">
        <v>19900101</v>
      </c>
      <c r="D3398" s="17">
        <v>22991231</v>
      </c>
      <c r="E3398" s="25">
        <v>1515.11</v>
      </c>
    </row>
    <row r="3399" spans="1:5" x14ac:dyDescent="0.3">
      <c r="A3399" s="17" t="str">
        <f>"56441"</f>
        <v>56441</v>
      </c>
      <c r="B3399" s="5" t="s">
        <v>3554</v>
      </c>
      <c r="C3399" s="17">
        <v>19910401</v>
      </c>
      <c r="D3399" s="17">
        <v>22991231</v>
      </c>
      <c r="E3399" s="25">
        <v>1515.11</v>
      </c>
    </row>
    <row r="3400" spans="1:5" x14ac:dyDescent="0.3">
      <c r="A3400" s="17" t="str">
        <f>"56442"</f>
        <v>56442</v>
      </c>
      <c r="B3400" s="5" t="s">
        <v>3555</v>
      </c>
      <c r="C3400" s="17">
        <v>20070101</v>
      </c>
      <c r="D3400" s="17">
        <v>22991231</v>
      </c>
      <c r="E3400" s="25">
        <v>1515.11</v>
      </c>
    </row>
    <row r="3401" spans="1:5" ht="26" x14ac:dyDescent="0.3">
      <c r="A3401" s="17" t="str">
        <f>"56501"</f>
        <v>56501</v>
      </c>
      <c r="B3401" s="5" t="s">
        <v>3556</v>
      </c>
      <c r="C3401" s="17">
        <v>19900101</v>
      </c>
      <c r="D3401" s="17">
        <v>22991231</v>
      </c>
      <c r="E3401" s="25">
        <v>125.11</v>
      </c>
    </row>
    <row r="3402" spans="1:5" ht="26" x14ac:dyDescent="0.3">
      <c r="A3402" s="17" t="str">
        <f>"56515"</f>
        <v>56515</v>
      </c>
      <c r="B3402" s="5" t="s">
        <v>3557</v>
      </c>
      <c r="C3402" s="17">
        <v>19900101</v>
      </c>
      <c r="D3402" s="17">
        <v>22991231</v>
      </c>
      <c r="E3402" s="25">
        <v>903.54</v>
      </c>
    </row>
    <row r="3403" spans="1:5" ht="26" x14ac:dyDescent="0.3">
      <c r="A3403" s="17" t="str">
        <f>"56605"</f>
        <v>56605</v>
      </c>
      <c r="B3403" s="5" t="s">
        <v>3558</v>
      </c>
      <c r="C3403" s="17">
        <v>19930101</v>
      </c>
      <c r="D3403" s="17">
        <v>22991231</v>
      </c>
      <c r="E3403" s="25">
        <v>50.98</v>
      </c>
    </row>
    <row r="3404" spans="1:5" ht="26" x14ac:dyDescent="0.3">
      <c r="A3404" s="17" t="str">
        <f>"56606"</f>
        <v>56606</v>
      </c>
      <c r="B3404" s="5" t="s">
        <v>3559</v>
      </c>
      <c r="C3404" s="17">
        <v>19930101</v>
      </c>
      <c r="D3404" s="17">
        <v>22991231</v>
      </c>
      <c r="E3404" s="25">
        <v>0</v>
      </c>
    </row>
    <row r="3405" spans="1:5" ht="26" x14ac:dyDescent="0.3">
      <c r="A3405" s="17" t="str">
        <f>"56620"</f>
        <v>56620</v>
      </c>
      <c r="B3405" s="5" t="s">
        <v>3560</v>
      </c>
      <c r="C3405" s="17">
        <v>19900101</v>
      </c>
      <c r="D3405" s="17">
        <v>22991231</v>
      </c>
      <c r="E3405" s="25">
        <v>1515.11</v>
      </c>
    </row>
    <row r="3406" spans="1:5" x14ac:dyDescent="0.3">
      <c r="A3406" s="17" t="str">
        <f>"56625"</f>
        <v>56625</v>
      </c>
      <c r="B3406" s="5" t="s">
        <v>3561</v>
      </c>
      <c r="C3406" s="17">
        <v>19900101</v>
      </c>
      <c r="D3406" s="17">
        <v>22991231</v>
      </c>
      <c r="E3406" s="25">
        <v>1515.11</v>
      </c>
    </row>
    <row r="3407" spans="1:5" x14ac:dyDescent="0.3">
      <c r="A3407" s="17" t="str">
        <f>"56700"</f>
        <v>56700</v>
      </c>
      <c r="B3407" s="5" t="s">
        <v>3562</v>
      </c>
      <c r="C3407" s="17">
        <v>19900101</v>
      </c>
      <c r="D3407" s="17">
        <v>22991231</v>
      </c>
      <c r="E3407" s="25">
        <v>1515.11</v>
      </c>
    </row>
    <row r="3408" spans="1:5" x14ac:dyDescent="0.3">
      <c r="A3408" s="17" t="str">
        <f>"56740"</f>
        <v>56740</v>
      </c>
      <c r="B3408" s="5" t="s">
        <v>3563</v>
      </c>
      <c r="C3408" s="17">
        <v>19900101</v>
      </c>
      <c r="D3408" s="17">
        <v>22991231</v>
      </c>
      <c r="E3408" s="25">
        <v>1515.11</v>
      </c>
    </row>
    <row r="3409" spans="1:5" x14ac:dyDescent="0.3">
      <c r="A3409" s="17" t="str">
        <f>"56800"</f>
        <v>56800</v>
      </c>
      <c r="B3409" s="5" t="s">
        <v>3564</v>
      </c>
      <c r="C3409" s="17">
        <v>19900101</v>
      </c>
      <c r="D3409" s="17">
        <v>22991231</v>
      </c>
      <c r="E3409" s="25">
        <v>1515.11</v>
      </c>
    </row>
    <row r="3410" spans="1:5" ht="26" x14ac:dyDescent="0.3">
      <c r="A3410" s="17" t="str">
        <f>"56805"</f>
        <v>56805</v>
      </c>
      <c r="B3410" s="5" t="s">
        <v>3565</v>
      </c>
      <c r="C3410" s="17">
        <v>19920115</v>
      </c>
      <c r="D3410" s="17">
        <v>22991231</v>
      </c>
      <c r="E3410" s="25">
        <v>1515.11</v>
      </c>
    </row>
    <row r="3411" spans="1:5" x14ac:dyDescent="0.3">
      <c r="A3411" s="17" t="str">
        <f>"56810"</f>
        <v>56810</v>
      </c>
      <c r="B3411" s="5" t="s">
        <v>3566</v>
      </c>
      <c r="C3411" s="17">
        <v>19930101</v>
      </c>
      <c r="D3411" s="17">
        <v>22991231</v>
      </c>
      <c r="E3411" s="25">
        <v>1515.11</v>
      </c>
    </row>
    <row r="3412" spans="1:5" ht="26" x14ac:dyDescent="0.3">
      <c r="A3412" s="17" t="str">
        <f>"56820"</f>
        <v>56820</v>
      </c>
      <c r="B3412" s="5" t="s">
        <v>3567</v>
      </c>
      <c r="C3412" s="17">
        <v>20230101</v>
      </c>
      <c r="D3412" s="17">
        <v>22991231</v>
      </c>
      <c r="E3412" s="25">
        <v>64.12</v>
      </c>
    </row>
    <row r="3413" spans="1:5" ht="26" x14ac:dyDescent="0.3">
      <c r="A3413" s="17" t="str">
        <f>"56821"</f>
        <v>56821</v>
      </c>
      <c r="B3413" s="5" t="s">
        <v>3568</v>
      </c>
      <c r="C3413" s="17">
        <v>20230101</v>
      </c>
      <c r="D3413" s="17">
        <v>22991231</v>
      </c>
      <c r="E3413" s="25">
        <v>83.81</v>
      </c>
    </row>
    <row r="3414" spans="1:5" x14ac:dyDescent="0.3">
      <c r="A3414" s="17" t="str">
        <f>"57000"</f>
        <v>57000</v>
      </c>
      <c r="B3414" s="5" t="s">
        <v>3569</v>
      </c>
      <c r="C3414" s="17">
        <v>19900101</v>
      </c>
      <c r="D3414" s="17">
        <v>22991231</v>
      </c>
      <c r="E3414" s="25">
        <v>1515.11</v>
      </c>
    </row>
    <row r="3415" spans="1:5" x14ac:dyDescent="0.3">
      <c r="A3415" s="17" t="str">
        <f>"57010"</f>
        <v>57010</v>
      </c>
      <c r="B3415" s="5" t="s">
        <v>3570</v>
      </c>
      <c r="C3415" s="17">
        <v>19900101</v>
      </c>
      <c r="D3415" s="17">
        <v>22991231</v>
      </c>
      <c r="E3415" s="25">
        <v>1515.11</v>
      </c>
    </row>
    <row r="3416" spans="1:5" x14ac:dyDescent="0.3">
      <c r="A3416" s="17" t="str">
        <f>"57020"</f>
        <v>57020</v>
      </c>
      <c r="B3416" s="5" t="s">
        <v>3571</v>
      </c>
      <c r="C3416" s="17">
        <v>19900101</v>
      </c>
      <c r="D3416" s="17">
        <v>22991231</v>
      </c>
      <c r="E3416" s="25">
        <v>2039.79</v>
      </c>
    </row>
    <row r="3417" spans="1:5" ht="26" x14ac:dyDescent="0.3">
      <c r="A3417" s="17" t="str">
        <f>"57022"</f>
        <v>57022</v>
      </c>
      <c r="B3417" s="5" t="s">
        <v>3572</v>
      </c>
      <c r="C3417" s="17">
        <v>20010101</v>
      </c>
      <c r="D3417" s="17">
        <v>22991231</v>
      </c>
      <c r="E3417" s="25">
        <v>1105.24</v>
      </c>
    </row>
    <row r="3418" spans="1:5" ht="26" x14ac:dyDescent="0.3">
      <c r="A3418" s="17" t="str">
        <f>"57023"</f>
        <v>57023</v>
      </c>
      <c r="B3418" s="5" t="s">
        <v>3573</v>
      </c>
      <c r="C3418" s="17">
        <v>20010101</v>
      </c>
      <c r="D3418" s="17">
        <v>22991231</v>
      </c>
      <c r="E3418" s="25">
        <v>1105.24</v>
      </c>
    </row>
    <row r="3419" spans="1:5" x14ac:dyDescent="0.3">
      <c r="A3419" s="17" t="str">
        <f>"57061"</f>
        <v>57061</v>
      </c>
      <c r="B3419" s="5" t="s">
        <v>3574</v>
      </c>
      <c r="C3419" s="17">
        <v>19900101</v>
      </c>
      <c r="D3419" s="17">
        <v>22991231</v>
      </c>
      <c r="E3419" s="25">
        <v>111.03</v>
      </c>
    </row>
    <row r="3420" spans="1:5" x14ac:dyDescent="0.3">
      <c r="A3420" s="17" t="str">
        <f>"57065"</f>
        <v>57065</v>
      </c>
      <c r="B3420" s="5" t="s">
        <v>3575</v>
      </c>
      <c r="C3420" s="17">
        <v>19900101</v>
      </c>
      <c r="D3420" s="17">
        <v>22991231</v>
      </c>
      <c r="E3420" s="25">
        <v>1515.11</v>
      </c>
    </row>
    <row r="3421" spans="1:5" x14ac:dyDescent="0.3">
      <c r="A3421" s="17" t="str">
        <f>"57100"</f>
        <v>57100</v>
      </c>
      <c r="B3421" s="5" t="s">
        <v>3576</v>
      </c>
      <c r="C3421" s="17">
        <v>19900101</v>
      </c>
      <c r="D3421" s="17">
        <v>22991231</v>
      </c>
      <c r="E3421" s="25">
        <v>54.11</v>
      </c>
    </row>
    <row r="3422" spans="1:5" ht="26" x14ac:dyDescent="0.3">
      <c r="A3422" s="17" t="str">
        <f>"57105"</f>
        <v>57105</v>
      </c>
      <c r="B3422" s="5" t="s">
        <v>3577</v>
      </c>
      <c r="C3422" s="17">
        <v>19900101</v>
      </c>
      <c r="D3422" s="17">
        <v>22991231</v>
      </c>
      <c r="E3422" s="25">
        <v>1515.11</v>
      </c>
    </row>
    <row r="3423" spans="1:5" x14ac:dyDescent="0.3">
      <c r="A3423" s="17" t="str">
        <f>"57106"</f>
        <v>57106</v>
      </c>
      <c r="B3423" s="5" t="s">
        <v>3578</v>
      </c>
      <c r="C3423" s="17">
        <v>19990101</v>
      </c>
      <c r="D3423" s="17">
        <v>22991231</v>
      </c>
      <c r="E3423" s="24" t="s">
        <v>7128</v>
      </c>
    </row>
    <row r="3424" spans="1:5" x14ac:dyDescent="0.3">
      <c r="A3424" s="17" t="str">
        <f>"57107"</f>
        <v>57107</v>
      </c>
      <c r="B3424" s="5" t="s">
        <v>3579</v>
      </c>
      <c r="C3424" s="17">
        <v>19990101</v>
      </c>
      <c r="D3424" s="17">
        <v>22991231</v>
      </c>
      <c r="E3424" s="24" t="s">
        <v>7128</v>
      </c>
    </row>
    <row r="3425" spans="1:5" ht="39" x14ac:dyDescent="0.3">
      <c r="A3425" s="17" t="str">
        <f>"57109"</f>
        <v>57109</v>
      </c>
      <c r="B3425" s="5" t="s">
        <v>3580</v>
      </c>
      <c r="C3425" s="17">
        <v>19990101</v>
      </c>
      <c r="D3425" s="17">
        <v>22991231</v>
      </c>
      <c r="E3425" s="24" t="s">
        <v>7128</v>
      </c>
    </row>
    <row r="3426" spans="1:5" x14ac:dyDescent="0.3">
      <c r="A3426" s="17" t="str">
        <f>"57120"</f>
        <v>57120</v>
      </c>
      <c r="B3426" s="5" t="s">
        <v>3581</v>
      </c>
      <c r="C3426" s="17">
        <v>19900101</v>
      </c>
      <c r="D3426" s="17">
        <v>22991231</v>
      </c>
      <c r="E3426" s="25">
        <v>2039.79</v>
      </c>
    </row>
    <row r="3427" spans="1:5" x14ac:dyDescent="0.3">
      <c r="A3427" s="17" t="str">
        <f>"57130"</f>
        <v>57130</v>
      </c>
      <c r="B3427" s="5" t="s">
        <v>3582</v>
      </c>
      <c r="C3427" s="17">
        <v>19900101</v>
      </c>
      <c r="D3427" s="17">
        <v>22991231</v>
      </c>
      <c r="E3427" s="25">
        <v>1515.11</v>
      </c>
    </row>
    <row r="3428" spans="1:5" x14ac:dyDescent="0.3">
      <c r="A3428" s="17" t="str">
        <f>"57135"</f>
        <v>57135</v>
      </c>
      <c r="B3428" s="5" t="s">
        <v>3583</v>
      </c>
      <c r="C3428" s="17">
        <v>19900101</v>
      </c>
      <c r="D3428" s="17">
        <v>22991231</v>
      </c>
      <c r="E3428" s="25">
        <v>1515.11</v>
      </c>
    </row>
    <row r="3429" spans="1:5" ht="26" x14ac:dyDescent="0.3">
      <c r="A3429" s="17" t="str">
        <f>"57150"</f>
        <v>57150</v>
      </c>
      <c r="B3429" s="5" t="s">
        <v>3584</v>
      </c>
      <c r="C3429" s="17">
        <v>19900101</v>
      </c>
      <c r="D3429" s="17">
        <v>22991231</v>
      </c>
      <c r="E3429" s="25">
        <v>0</v>
      </c>
    </row>
    <row r="3430" spans="1:5" ht="26" x14ac:dyDescent="0.3">
      <c r="A3430" s="17" t="str">
        <f>"57155"</f>
        <v>57155</v>
      </c>
      <c r="B3430" s="5" t="s">
        <v>3585</v>
      </c>
      <c r="C3430" s="17">
        <v>20031103</v>
      </c>
      <c r="D3430" s="17">
        <v>22991231</v>
      </c>
      <c r="E3430" s="25">
        <v>2039.79</v>
      </c>
    </row>
    <row r="3431" spans="1:5" ht="26" x14ac:dyDescent="0.3">
      <c r="A3431" s="17" t="str">
        <f>"57156"</f>
        <v>57156</v>
      </c>
      <c r="B3431" s="5" t="s">
        <v>3586</v>
      </c>
      <c r="C3431" s="17">
        <v>20110101</v>
      </c>
      <c r="D3431" s="17">
        <v>22991231</v>
      </c>
      <c r="E3431" s="25">
        <v>158.94999999999999</v>
      </c>
    </row>
    <row r="3432" spans="1:5" x14ac:dyDescent="0.3">
      <c r="A3432" s="17" t="str">
        <f>"57160"</f>
        <v>57160</v>
      </c>
      <c r="B3432" s="5" t="s">
        <v>3587</v>
      </c>
      <c r="C3432" s="17">
        <v>19900101</v>
      </c>
      <c r="D3432" s="17">
        <v>22991231</v>
      </c>
      <c r="E3432" s="25">
        <v>37.840000000000003</v>
      </c>
    </row>
    <row r="3433" spans="1:5" ht="26" x14ac:dyDescent="0.3">
      <c r="A3433" s="17" t="str">
        <f>"57170"</f>
        <v>57170</v>
      </c>
      <c r="B3433" s="5" t="s">
        <v>3588</v>
      </c>
      <c r="C3433" s="17">
        <v>19900101</v>
      </c>
      <c r="D3433" s="17">
        <v>22991231</v>
      </c>
      <c r="E3433" s="25">
        <v>40.03</v>
      </c>
    </row>
    <row r="3434" spans="1:5" ht="26" x14ac:dyDescent="0.3">
      <c r="A3434" s="17" t="str">
        <f>"57180"</f>
        <v>57180</v>
      </c>
      <c r="B3434" s="5" t="s">
        <v>3589</v>
      </c>
      <c r="C3434" s="17">
        <v>19900101</v>
      </c>
      <c r="D3434" s="17">
        <v>22991231</v>
      </c>
      <c r="E3434" s="25">
        <v>98.73</v>
      </c>
    </row>
    <row r="3435" spans="1:5" x14ac:dyDescent="0.3">
      <c r="A3435" s="17" t="str">
        <f>"57200"</f>
        <v>57200</v>
      </c>
      <c r="B3435" s="5" t="s">
        <v>3590</v>
      </c>
      <c r="C3435" s="17">
        <v>19900101</v>
      </c>
      <c r="D3435" s="17">
        <v>22991231</v>
      </c>
      <c r="E3435" s="25">
        <v>1515.11</v>
      </c>
    </row>
    <row r="3436" spans="1:5" x14ac:dyDescent="0.3">
      <c r="A3436" s="17" t="str">
        <f>"57210"</f>
        <v>57210</v>
      </c>
      <c r="B3436" s="5" t="s">
        <v>3591</v>
      </c>
      <c r="C3436" s="17">
        <v>19900101</v>
      </c>
      <c r="D3436" s="17">
        <v>22991231</v>
      </c>
      <c r="E3436" s="25">
        <v>1515.11</v>
      </c>
    </row>
    <row r="3437" spans="1:5" ht="26" x14ac:dyDescent="0.3">
      <c r="A3437" s="17" t="str">
        <f>"57220"</f>
        <v>57220</v>
      </c>
      <c r="B3437" s="5" t="s">
        <v>3592</v>
      </c>
      <c r="C3437" s="17">
        <v>19900101</v>
      </c>
      <c r="D3437" s="17">
        <v>22991231</v>
      </c>
      <c r="E3437" s="25">
        <v>2039.79</v>
      </c>
    </row>
    <row r="3438" spans="1:5" x14ac:dyDescent="0.3">
      <c r="A3438" s="17" t="str">
        <f>"57230"</f>
        <v>57230</v>
      </c>
      <c r="B3438" s="5" t="s">
        <v>3593</v>
      </c>
      <c r="C3438" s="17">
        <v>19900101</v>
      </c>
      <c r="D3438" s="17">
        <v>22991231</v>
      </c>
      <c r="E3438" s="25">
        <v>1515.11</v>
      </c>
    </row>
    <row r="3439" spans="1:5" x14ac:dyDescent="0.3">
      <c r="A3439" s="17" t="str">
        <f>"57240"</f>
        <v>57240</v>
      </c>
      <c r="B3439" s="5" t="s">
        <v>3594</v>
      </c>
      <c r="C3439" s="17">
        <v>19900101</v>
      </c>
      <c r="D3439" s="17">
        <v>22991231</v>
      </c>
      <c r="E3439" s="25">
        <v>2039.79</v>
      </c>
    </row>
    <row r="3440" spans="1:5" x14ac:dyDescent="0.3">
      <c r="A3440" s="17" t="str">
        <f>"57250"</f>
        <v>57250</v>
      </c>
      <c r="B3440" s="5" t="s">
        <v>3595</v>
      </c>
      <c r="C3440" s="17">
        <v>19900101</v>
      </c>
      <c r="D3440" s="17">
        <v>22991231</v>
      </c>
      <c r="E3440" s="25">
        <v>2039.79</v>
      </c>
    </row>
    <row r="3441" spans="1:5" ht="26" x14ac:dyDescent="0.3">
      <c r="A3441" s="17" t="str">
        <f>"57260"</f>
        <v>57260</v>
      </c>
      <c r="B3441" s="5" t="s">
        <v>3596</v>
      </c>
      <c r="C3441" s="17">
        <v>19900101</v>
      </c>
      <c r="D3441" s="17">
        <v>22991231</v>
      </c>
      <c r="E3441" s="25">
        <v>2039.79</v>
      </c>
    </row>
    <row r="3442" spans="1:5" ht="26" x14ac:dyDescent="0.3">
      <c r="A3442" s="17" t="str">
        <f>"57265"</f>
        <v>57265</v>
      </c>
      <c r="B3442" s="5" t="s">
        <v>3597</v>
      </c>
      <c r="C3442" s="17">
        <v>19900101</v>
      </c>
      <c r="D3442" s="17">
        <v>22991231</v>
      </c>
      <c r="E3442" s="25">
        <v>2039.79</v>
      </c>
    </row>
    <row r="3443" spans="1:5" ht="26" x14ac:dyDescent="0.3">
      <c r="A3443" s="17" t="str">
        <f>"57267"</f>
        <v>57267</v>
      </c>
      <c r="B3443" s="5" t="s">
        <v>3598</v>
      </c>
      <c r="C3443" s="17">
        <v>20070101</v>
      </c>
      <c r="D3443" s="17">
        <v>22991231</v>
      </c>
      <c r="E3443" s="25">
        <v>0</v>
      </c>
    </row>
    <row r="3444" spans="1:5" ht="26" x14ac:dyDescent="0.3">
      <c r="A3444" s="17" t="str">
        <f>"57268"</f>
        <v>57268</v>
      </c>
      <c r="B3444" s="5" t="s">
        <v>3599</v>
      </c>
      <c r="C3444" s="17">
        <v>19900101</v>
      </c>
      <c r="D3444" s="17">
        <v>22991231</v>
      </c>
      <c r="E3444" s="25">
        <v>2039.79</v>
      </c>
    </row>
    <row r="3445" spans="1:5" x14ac:dyDescent="0.3">
      <c r="A3445" s="17" t="str">
        <f>"57282"</f>
        <v>57282</v>
      </c>
      <c r="B3445" s="5" t="s">
        <v>3600</v>
      </c>
      <c r="C3445" s="17">
        <v>19900101</v>
      </c>
      <c r="D3445" s="17">
        <v>22991231</v>
      </c>
      <c r="E3445" s="25">
        <v>3015.53</v>
      </c>
    </row>
    <row r="3446" spans="1:5" ht="26" x14ac:dyDescent="0.3">
      <c r="A3446" s="17" t="str">
        <f>"57283"</f>
        <v>57283</v>
      </c>
      <c r="B3446" s="5" t="s">
        <v>3601</v>
      </c>
      <c r="C3446" s="17">
        <v>20230101</v>
      </c>
      <c r="D3446" s="17">
        <v>22991231</v>
      </c>
      <c r="E3446" s="25">
        <v>3015.53</v>
      </c>
    </row>
    <row r="3447" spans="1:5" x14ac:dyDescent="0.3">
      <c r="A3447" s="17" t="str">
        <f>"57284"</f>
        <v>57284</v>
      </c>
      <c r="B3447" s="5" t="s">
        <v>3602</v>
      </c>
      <c r="C3447" s="17">
        <v>19960101</v>
      </c>
      <c r="D3447" s="17">
        <v>22991231</v>
      </c>
      <c r="E3447" s="24" t="s">
        <v>7128</v>
      </c>
    </row>
    <row r="3448" spans="1:5" x14ac:dyDescent="0.3">
      <c r="A3448" s="17" t="str">
        <f>"57285"</f>
        <v>57285</v>
      </c>
      <c r="B3448" s="5" t="s">
        <v>3603</v>
      </c>
      <c r="C3448" s="17">
        <v>20080101</v>
      </c>
      <c r="D3448" s="17">
        <v>22991231</v>
      </c>
      <c r="E3448" s="24" t="s">
        <v>7128</v>
      </c>
    </row>
    <row r="3449" spans="1:5" x14ac:dyDescent="0.3">
      <c r="A3449" s="17" t="str">
        <f>"57287"</f>
        <v>57287</v>
      </c>
      <c r="B3449" s="5" t="s">
        <v>3604</v>
      </c>
      <c r="C3449" s="17">
        <v>20010101</v>
      </c>
      <c r="D3449" s="17">
        <v>22991231</v>
      </c>
      <c r="E3449" s="25">
        <v>1515.11</v>
      </c>
    </row>
    <row r="3450" spans="1:5" ht="26" x14ac:dyDescent="0.3">
      <c r="A3450" s="17" t="str">
        <f>"57288"</f>
        <v>57288</v>
      </c>
      <c r="B3450" s="5" t="s">
        <v>3605</v>
      </c>
      <c r="C3450" s="17">
        <v>19900101</v>
      </c>
      <c r="D3450" s="17">
        <v>22991231</v>
      </c>
      <c r="E3450" s="25">
        <v>2627.27</v>
      </c>
    </row>
    <row r="3451" spans="1:5" ht="26" x14ac:dyDescent="0.3">
      <c r="A3451" s="17" t="str">
        <f>"57289"</f>
        <v>57289</v>
      </c>
      <c r="B3451" s="5" t="s">
        <v>3606</v>
      </c>
      <c r="C3451" s="17">
        <v>19900101</v>
      </c>
      <c r="D3451" s="17">
        <v>22991231</v>
      </c>
      <c r="E3451" s="25">
        <v>3015.53</v>
      </c>
    </row>
    <row r="3452" spans="1:5" x14ac:dyDescent="0.3">
      <c r="A3452" s="17" t="str">
        <f>"57291"</f>
        <v>57291</v>
      </c>
      <c r="B3452" s="5" t="s">
        <v>3607</v>
      </c>
      <c r="C3452" s="17">
        <v>19900101</v>
      </c>
      <c r="D3452" s="17">
        <v>22991231</v>
      </c>
      <c r="E3452" s="25">
        <v>2039.79</v>
      </c>
    </row>
    <row r="3453" spans="1:5" ht="26" x14ac:dyDescent="0.3">
      <c r="A3453" s="17" t="str">
        <f>"57292"</f>
        <v>57292</v>
      </c>
      <c r="B3453" s="5" t="s">
        <v>3608</v>
      </c>
      <c r="C3453" s="17">
        <v>19900101</v>
      </c>
      <c r="D3453" s="17">
        <v>22991231</v>
      </c>
      <c r="E3453" s="24" t="s">
        <v>7128</v>
      </c>
    </row>
    <row r="3454" spans="1:5" x14ac:dyDescent="0.3">
      <c r="A3454" s="17" t="str">
        <f>"57295"</f>
        <v>57295</v>
      </c>
      <c r="B3454" s="5" t="s">
        <v>3609</v>
      </c>
      <c r="C3454" s="17">
        <v>20060101</v>
      </c>
      <c r="D3454" s="17">
        <v>22991231</v>
      </c>
      <c r="E3454" s="25">
        <v>1515.11</v>
      </c>
    </row>
    <row r="3455" spans="1:5" ht="26" x14ac:dyDescent="0.3">
      <c r="A3455" s="17" t="str">
        <f>"57300"</f>
        <v>57300</v>
      </c>
      <c r="B3455" s="5" t="s">
        <v>3610</v>
      </c>
      <c r="C3455" s="17">
        <v>19900101</v>
      </c>
      <c r="D3455" s="17">
        <v>22991231</v>
      </c>
      <c r="E3455" s="25">
        <v>1515.11</v>
      </c>
    </row>
    <row r="3456" spans="1:5" ht="26" x14ac:dyDescent="0.3">
      <c r="A3456" s="17" t="str">
        <f>"57310"</f>
        <v>57310</v>
      </c>
      <c r="B3456" s="5" t="s">
        <v>3611</v>
      </c>
      <c r="C3456" s="17">
        <v>19900101</v>
      </c>
      <c r="D3456" s="17">
        <v>22991231</v>
      </c>
      <c r="E3456" s="25">
        <v>3015.53</v>
      </c>
    </row>
    <row r="3457" spans="1:5" ht="26" x14ac:dyDescent="0.3">
      <c r="A3457" s="17" t="str">
        <f>"57320"</f>
        <v>57320</v>
      </c>
      <c r="B3457" s="5" t="s">
        <v>3612</v>
      </c>
      <c r="C3457" s="17">
        <v>19900101</v>
      </c>
      <c r="D3457" s="17">
        <v>22991231</v>
      </c>
      <c r="E3457" s="25">
        <v>2039.79</v>
      </c>
    </row>
    <row r="3458" spans="1:5" ht="26" x14ac:dyDescent="0.3">
      <c r="A3458" s="17" t="str">
        <f>"57330"</f>
        <v>57330</v>
      </c>
      <c r="B3458" s="5" t="s">
        <v>3613</v>
      </c>
      <c r="C3458" s="17">
        <v>19900101</v>
      </c>
      <c r="D3458" s="17">
        <v>22991231</v>
      </c>
      <c r="E3458" s="24" t="s">
        <v>7128</v>
      </c>
    </row>
    <row r="3459" spans="1:5" x14ac:dyDescent="0.3">
      <c r="A3459" s="17" t="str">
        <f>"57335"</f>
        <v>57335</v>
      </c>
      <c r="B3459" s="5" t="s">
        <v>3614</v>
      </c>
      <c r="C3459" s="17">
        <v>19920115</v>
      </c>
      <c r="D3459" s="17">
        <v>22991231</v>
      </c>
      <c r="E3459" s="24" t="s">
        <v>7128</v>
      </c>
    </row>
    <row r="3460" spans="1:5" x14ac:dyDescent="0.3">
      <c r="A3460" s="17" t="str">
        <f>"57400"</f>
        <v>57400</v>
      </c>
      <c r="B3460" s="5" t="s">
        <v>3615</v>
      </c>
      <c r="C3460" s="17">
        <v>19900101</v>
      </c>
      <c r="D3460" s="17">
        <v>22991231</v>
      </c>
      <c r="E3460" s="25">
        <v>1515.11</v>
      </c>
    </row>
    <row r="3461" spans="1:5" x14ac:dyDescent="0.3">
      <c r="A3461" s="17" t="str">
        <f>"57410"</f>
        <v>57410</v>
      </c>
      <c r="B3461" s="5" t="s">
        <v>3616</v>
      </c>
      <c r="C3461" s="17">
        <v>19900101</v>
      </c>
      <c r="D3461" s="17">
        <v>22991231</v>
      </c>
      <c r="E3461" s="25">
        <v>1515.11</v>
      </c>
    </row>
    <row r="3462" spans="1:5" ht="26" x14ac:dyDescent="0.3">
      <c r="A3462" s="17" t="str">
        <f>"57415"</f>
        <v>57415</v>
      </c>
      <c r="B3462" s="5" t="s">
        <v>3617</v>
      </c>
      <c r="C3462" s="17">
        <v>19930101</v>
      </c>
      <c r="D3462" s="17">
        <v>22991231</v>
      </c>
      <c r="E3462" s="25">
        <v>1515.11</v>
      </c>
    </row>
    <row r="3463" spans="1:5" x14ac:dyDescent="0.3">
      <c r="A3463" s="17" t="str">
        <f>"57420"</f>
        <v>57420</v>
      </c>
      <c r="B3463" s="5" t="s">
        <v>3618</v>
      </c>
      <c r="C3463" s="17">
        <v>20230101</v>
      </c>
      <c r="D3463" s="17">
        <v>22991231</v>
      </c>
      <c r="E3463" s="25">
        <v>67.56</v>
      </c>
    </row>
    <row r="3464" spans="1:5" x14ac:dyDescent="0.3">
      <c r="A3464" s="17" t="str">
        <f>"57421"</f>
        <v>57421</v>
      </c>
      <c r="B3464" s="5" t="s">
        <v>3619</v>
      </c>
      <c r="C3464" s="17">
        <v>20230101</v>
      </c>
      <c r="D3464" s="17">
        <v>22991231</v>
      </c>
      <c r="E3464" s="25">
        <v>87.57</v>
      </c>
    </row>
    <row r="3465" spans="1:5" x14ac:dyDescent="0.3">
      <c r="A3465" s="17" t="str">
        <f>"57423"</f>
        <v>57423</v>
      </c>
      <c r="B3465" s="5" t="s">
        <v>3620</v>
      </c>
      <c r="C3465" s="17">
        <v>20080101</v>
      </c>
      <c r="D3465" s="17">
        <v>22991231</v>
      </c>
      <c r="E3465" s="24" t="s">
        <v>7128</v>
      </c>
    </row>
    <row r="3466" spans="1:5" ht="26" x14ac:dyDescent="0.3">
      <c r="A3466" s="17" t="str">
        <f>"57425"</f>
        <v>57425</v>
      </c>
      <c r="B3466" s="5" t="s">
        <v>3621</v>
      </c>
      <c r="C3466" s="17">
        <v>20230101</v>
      </c>
      <c r="D3466" s="17">
        <v>22991231</v>
      </c>
      <c r="E3466" s="25">
        <v>4336.99</v>
      </c>
    </row>
    <row r="3467" spans="1:5" ht="26" x14ac:dyDescent="0.3">
      <c r="A3467" s="17" t="str">
        <f>"57426"</f>
        <v>57426</v>
      </c>
      <c r="B3467" s="5" t="s">
        <v>3622</v>
      </c>
      <c r="C3467" s="17">
        <v>20100101</v>
      </c>
      <c r="D3467" s="17">
        <v>22991231</v>
      </c>
      <c r="E3467" s="25">
        <v>3015.53</v>
      </c>
    </row>
    <row r="3468" spans="1:5" ht="26" x14ac:dyDescent="0.3">
      <c r="A3468" s="17" t="str">
        <f>"57452"</f>
        <v>57452</v>
      </c>
      <c r="B3468" s="5" t="s">
        <v>3623</v>
      </c>
      <c r="C3468" s="17">
        <v>19900101</v>
      </c>
      <c r="D3468" s="17">
        <v>22991231</v>
      </c>
      <c r="E3468" s="25">
        <v>65.37</v>
      </c>
    </row>
    <row r="3469" spans="1:5" ht="26" x14ac:dyDescent="0.3">
      <c r="A3469" s="17" t="str">
        <f>"57454"</f>
        <v>57454</v>
      </c>
      <c r="B3469" s="5" t="s">
        <v>3624</v>
      </c>
      <c r="C3469" s="17">
        <v>19900101</v>
      </c>
      <c r="D3469" s="17">
        <v>22991231</v>
      </c>
      <c r="E3469" s="25">
        <v>74.430000000000007</v>
      </c>
    </row>
    <row r="3470" spans="1:5" x14ac:dyDescent="0.3">
      <c r="A3470" s="17" t="str">
        <f>"57455"</f>
        <v>57455</v>
      </c>
      <c r="B3470" s="5" t="s">
        <v>3625</v>
      </c>
      <c r="C3470" s="17">
        <v>20230101</v>
      </c>
      <c r="D3470" s="17">
        <v>22991231</v>
      </c>
      <c r="E3470" s="25">
        <v>80.38</v>
      </c>
    </row>
    <row r="3471" spans="1:5" x14ac:dyDescent="0.3">
      <c r="A3471" s="17" t="str">
        <f>"57456"</f>
        <v>57456</v>
      </c>
      <c r="B3471" s="5" t="s">
        <v>3626</v>
      </c>
      <c r="C3471" s="17">
        <v>20230101</v>
      </c>
      <c r="D3471" s="17">
        <v>22991231</v>
      </c>
      <c r="E3471" s="25">
        <v>76.62</v>
      </c>
    </row>
    <row r="3472" spans="1:5" ht="26" x14ac:dyDescent="0.3">
      <c r="A3472" s="17" t="str">
        <f>"57460"</f>
        <v>57460</v>
      </c>
      <c r="B3472" s="5" t="s">
        <v>3627</v>
      </c>
      <c r="C3472" s="17">
        <v>19930101</v>
      </c>
      <c r="D3472" s="17">
        <v>22991231</v>
      </c>
      <c r="E3472" s="25">
        <v>192.35</v>
      </c>
    </row>
    <row r="3473" spans="1:5" ht="26" x14ac:dyDescent="0.3">
      <c r="A3473" s="17" t="str">
        <f>"57461"</f>
        <v>57461</v>
      </c>
      <c r="B3473" s="5" t="s">
        <v>3628</v>
      </c>
      <c r="C3473" s="17">
        <v>20230101</v>
      </c>
      <c r="D3473" s="17">
        <v>22991231</v>
      </c>
      <c r="E3473" s="25">
        <v>204.23</v>
      </c>
    </row>
    <row r="3474" spans="1:5" ht="39" x14ac:dyDescent="0.3">
      <c r="A3474" s="17" t="str">
        <f>"57465"</f>
        <v>57465</v>
      </c>
      <c r="B3474" s="5" t="s">
        <v>3629</v>
      </c>
      <c r="C3474" s="17">
        <v>20210101</v>
      </c>
      <c r="D3474" s="17">
        <v>22991231</v>
      </c>
      <c r="E3474" s="24" t="s">
        <v>7128</v>
      </c>
    </row>
    <row r="3475" spans="1:5" x14ac:dyDescent="0.3">
      <c r="A3475" s="17" t="str">
        <f>"57500"</f>
        <v>57500</v>
      </c>
      <c r="B3475" s="5" t="s">
        <v>3630</v>
      </c>
      <c r="C3475" s="17">
        <v>19900101</v>
      </c>
      <c r="D3475" s="17">
        <v>22991231</v>
      </c>
      <c r="E3475" s="25">
        <v>101.02</v>
      </c>
    </row>
    <row r="3476" spans="1:5" x14ac:dyDescent="0.3">
      <c r="A3476" s="17" t="str">
        <f>"57505"</f>
        <v>57505</v>
      </c>
      <c r="B3476" s="5" t="s">
        <v>3631</v>
      </c>
      <c r="C3476" s="17">
        <v>19900101</v>
      </c>
      <c r="D3476" s="17">
        <v>22991231</v>
      </c>
      <c r="E3476" s="25">
        <v>103.21</v>
      </c>
    </row>
    <row r="3477" spans="1:5" x14ac:dyDescent="0.3">
      <c r="A3477" s="17" t="str">
        <f>"57510"</f>
        <v>57510</v>
      </c>
      <c r="B3477" s="5" t="s">
        <v>3632</v>
      </c>
      <c r="C3477" s="17">
        <v>19900101</v>
      </c>
      <c r="D3477" s="17">
        <v>22991231</v>
      </c>
      <c r="E3477" s="25">
        <v>88.82</v>
      </c>
    </row>
    <row r="3478" spans="1:5" x14ac:dyDescent="0.3">
      <c r="A3478" s="17" t="str">
        <f>"57511"</f>
        <v>57511</v>
      </c>
      <c r="B3478" s="5" t="s">
        <v>3633</v>
      </c>
      <c r="C3478" s="17">
        <v>19900101</v>
      </c>
      <c r="D3478" s="17">
        <v>22991231</v>
      </c>
      <c r="E3478" s="25">
        <v>117.6</v>
      </c>
    </row>
    <row r="3479" spans="1:5" x14ac:dyDescent="0.3">
      <c r="A3479" s="17" t="str">
        <f>"57513"</f>
        <v>57513</v>
      </c>
      <c r="B3479" s="5" t="s">
        <v>3634</v>
      </c>
      <c r="C3479" s="17">
        <v>19900101</v>
      </c>
      <c r="D3479" s="17">
        <v>22991231</v>
      </c>
      <c r="E3479" s="25">
        <v>1515.11</v>
      </c>
    </row>
    <row r="3480" spans="1:5" ht="26" x14ac:dyDescent="0.3">
      <c r="A3480" s="17" t="str">
        <f>"57520"</f>
        <v>57520</v>
      </c>
      <c r="B3480" s="5" t="s">
        <v>3635</v>
      </c>
      <c r="C3480" s="17">
        <v>19900101</v>
      </c>
      <c r="D3480" s="17">
        <v>22991231</v>
      </c>
      <c r="E3480" s="25">
        <v>1515.11</v>
      </c>
    </row>
    <row r="3481" spans="1:5" ht="26" x14ac:dyDescent="0.3">
      <c r="A3481" s="17" t="str">
        <f>"57522"</f>
        <v>57522</v>
      </c>
      <c r="B3481" s="5" t="s">
        <v>3636</v>
      </c>
      <c r="C3481" s="17">
        <v>19950101</v>
      </c>
      <c r="D3481" s="17">
        <v>22991231</v>
      </c>
      <c r="E3481" s="25">
        <v>1515.11</v>
      </c>
    </row>
    <row r="3482" spans="1:5" x14ac:dyDescent="0.3">
      <c r="A3482" s="17" t="str">
        <f>"57530"</f>
        <v>57530</v>
      </c>
      <c r="B3482" s="5" t="s">
        <v>3637</v>
      </c>
      <c r="C3482" s="17">
        <v>19900101</v>
      </c>
      <c r="D3482" s="17">
        <v>22991231</v>
      </c>
      <c r="E3482" s="25">
        <v>2039.79</v>
      </c>
    </row>
    <row r="3483" spans="1:5" x14ac:dyDescent="0.3">
      <c r="A3483" s="17" t="str">
        <f>"57550"</f>
        <v>57550</v>
      </c>
      <c r="B3483" s="5" t="s">
        <v>3638</v>
      </c>
      <c r="C3483" s="17">
        <v>19900101</v>
      </c>
      <c r="D3483" s="17">
        <v>22991231</v>
      </c>
      <c r="E3483" s="25">
        <v>2039.79</v>
      </c>
    </row>
    <row r="3484" spans="1:5" ht="26" x14ac:dyDescent="0.3">
      <c r="A3484" s="17" t="str">
        <f>"57555"</f>
        <v>57555</v>
      </c>
      <c r="B3484" s="5" t="s">
        <v>3639</v>
      </c>
      <c r="C3484" s="17">
        <v>19900101</v>
      </c>
      <c r="D3484" s="17">
        <v>22991231</v>
      </c>
      <c r="E3484" s="24" t="s">
        <v>7128</v>
      </c>
    </row>
    <row r="3485" spans="1:5" ht="26" x14ac:dyDescent="0.3">
      <c r="A3485" s="17" t="str">
        <f>"57556"</f>
        <v>57556</v>
      </c>
      <c r="B3485" s="5" t="s">
        <v>3640</v>
      </c>
      <c r="C3485" s="17">
        <v>19900101</v>
      </c>
      <c r="D3485" s="17">
        <v>22991231</v>
      </c>
      <c r="E3485" s="25">
        <v>2039.79</v>
      </c>
    </row>
    <row r="3486" spans="1:5" x14ac:dyDescent="0.3">
      <c r="A3486" s="17" t="str">
        <f>"57558"</f>
        <v>57558</v>
      </c>
      <c r="B3486" s="5" t="s">
        <v>3641</v>
      </c>
      <c r="C3486" s="17">
        <v>20070101</v>
      </c>
      <c r="D3486" s="17">
        <v>22991231</v>
      </c>
      <c r="E3486" s="25">
        <v>1515.11</v>
      </c>
    </row>
    <row r="3487" spans="1:5" x14ac:dyDescent="0.3">
      <c r="A3487" s="17" t="str">
        <f>"57700"</f>
        <v>57700</v>
      </c>
      <c r="B3487" s="5" t="s">
        <v>3642</v>
      </c>
      <c r="C3487" s="17">
        <v>19900101</v>
      </c>
      <c r="D3487" s="17">
        <v>22991231</v>
      </c>
      <c r="E3487" s="25">
        <v>1515.11</v>
      </c>
    </row>
    <row r="3488" spans="1:5" x14ac:dyDescent="0.3">
      <c r="A3488" s="17" t="str">
        <f>"57720"</f>
        <v>57720</v>
      </c>
      <c r="B3488" s="5" t="s">
        <v>3643</v>
      </c>
      <c r="C3488" s="17">
        <v>19900101</v>
      </c>
      <c r="D3488" s="17">
        <v>22991231</v>
      </c>
      <c r="E3488" s="25">
        <v>1515.11</v>
      </c>
    </row>
    <row r="3489" spans="1:5" x14ac:dyDescent="0.3">
      <c r="A3489" s="17" t="str">
        <f>"57800"</f>
        <v>57800</v>
      </c>
      <c r="B3489" s="5" t="s">
        <v>3644</v>
      </c>
      <c r="C3489" s="17">
        <v>19900101</v>
      </c>
      <c r="D3489" s="17">
        <v>22991231</v>
      </c>
      <c r="E3489" s="25">
        <v>45.35</v>
      </c>
    </row>
    <row r="3490" spans="1:5" x14ac:dyDescent="0.3">
      <c r="A3490" s="17" t="str">
        <f>"58100"</f>
        <v>58100</v>
      </c>
      <c r="B3490" s="5" t="s">
        <v>3645</v>
      </c>
      <c r="C3490" s="17">
        <v>19900101</v>
      </c>
      <c r="D3490" s="17">
        <v>22991231</v>
      </c>
      <c r="E3490" s="25">
        <v>51.61</v>
      </c>
    </row>
    <row r="3491" spans="1:5" ht="26" x14ac:dyDescent="0.3">
      <c r="A3491" s="17" t="str">
        <f>"58110"</f>
        <v>58110</v>
      </c>
      <c r="B3491" s="5" t="s">
        <v>3646</v>
      </c>
      <c r="C3491" s="17">
        <v>20060101</v>
      </c>
      <c r="D3491" s="17">
        <v>22991231</v>
      </c>
      <c r="E3491" s="25">
        <v>0</v>
      </c>
    </row>
    <row r="3492" spans="1:5" x14ac:dyDescent="0.3">
      <c r="A3492" s="17" t="str">
        <f>"58120"</f>
        <v>58120</v>
      </c>
      <c r="B3492" s="5" t="s">
        <v>3647</v>
      </c>
      <c r="C3492" s="17">
        <v>19900101</v>
      </c>
      <c r="D3492" s="17">
        <v>22991231</v>
      </c>
      <c r="E3492" s="25">
        <v>1515.11</v>
      </c>
    </row>
    <row r="3493" spans="1:5" ht="26" x14ac:dyDescent="0.3">
      <c r="A3493" s="17" t="str">
        <f>"58145"</f>
        <v>58145</v>
      </c>
      <c r="B3493" s="5" t="s">
        <v>3648</v>
      </c>
      <c r="C3493" s="17">
        <v>19900101</v>
      </c>
      <c r="D3493" s="17">
        <v>22991231</v>
      </c>
      <c r="E3493" s="25">
        <v>1515.11</v>
      </c>
    </row>
    <row r="3494" spans="1:5" ht="26" x14ac:dyDescent="0.3">
      <c r="A3494" s="17" t="str">
        <f>"58260"</f>
        <v>58260</v>
      </c>
      <c r="B3494" s="5" t="s">
        <v>3649</v>
      </c>
      <c r="C3494" s="17">
        <v>20151001</v>
      </c>
      <c r="D3494" s="17">
        <v>22991231</v>
      </c>
      <c r="E3494" s="25">
        <v>2039.79</v>
      </c>
    </row>
    <row r="3495" spans="1:5" ht="26" x14ac:dyDescent="0.3">
      <c r="A3495" s="17" t="str">
        <f>"58262"</f>
        <v>58262</v>
      </c>
      <c r="B3495" s="5" t="s">
        <v>3650</v>
      </c>
      <c r="C3495" s="17">
        <v>20230101</v>
      </c>
      <c r="D3495" s="17">
        <v>22991231</v>
      </c>
      <c r="E3495" s="25">
        <v>2039.79</v>
      </c>
    </row>
    <row r="3496" spans="1:5" ht="26" x14ac:dyDescent="0.3">
      <c r="A3496" s="17" t="str">
        <f>"58270"</f>
        <v>58270</v>
      </c>
      <c r="B3496" s="5" t="s">
        <v>3651</v>
      </c>
      <c r="C3496" s="17">
        <v>20151001</v>
      </c>
      <c r="D3496" s="17">
        <v>22991231</v>
      </c>
      <c r="E3496" s="24" t="s">
        <v>7128</v>
      </c>
    </row>
    <row r="3497" spans="1:5" x14ac:dyDescent="0.3">
      <c r="A3497" s="17" t="str">
        <f>"58300"</f>
        <v>58300</v>
      </c>
      <c r="B3497" s="5" t="s">
        <v>3652</v>
      </c>
      <c r="C3497" s="17">
        <v>19900101</v>
      </c>
      <c r="D3497" s="17">
        <v>22991231</v>
      </c>
      <c r="E3497" s="24" t="s">
        <v>7128</v>
      </c>
    </row>
    <row r="3498" spans="1:5" x14ac:dyDescent="0.3">
      <c r="A3498" s="17" t="str">
        <f>"58301"</f>
        <v>58301</v>
      </c>
      <c r="B3498" s="5" t="s">
        <v>3653</v>
      </c>
      <c r="C3498" s="17">
        <v>19900101</v>
      </c>
      <c r="D3498" s="17">
        <v>22991231</v>
      </c>
      <c r="E3498" s="25">
        <v>57.86</v>
      </c>
    </row>
    <row r="3499" spans="1:5" x14ac:dyDescent="0.3">
      <c r="A3499" s="17" t="str">
        <f>"58321"</f>
        <v>58321</v>
      </c>
      <c r="B3499" s="5" t="s">
        <v>3654</v>
      </c>
      <c r="C3499" s="17">
        <v>20230101</v>
      </c>
      <c r="D3499" s="17">
        <v>22991231</v>
      </c>
      <c r="E3499" s="25">
        <v>43.78</v>
      </c>
    </row>
    <row r="3500" spans="1:5" x14ac:dyDescent="0.3">
      <c r="A3500" s="17" t="str">
        <f>"58322"</f>
        <v>58322</v>
      </c>
      <c r="B3500" s="5" t="s">
        <v>3655</v>
      </c>
      <c r="C3500" s="17">
        <v>20230101</v>
      </c>
      <c r="D3500" s="17">
        <v>22991231</v>
      </c>
      <c r="E3500" s="25">
        <v>45.97</v>
      </c>
    </row>
    <row r="3501" spans="1:5" x14ac:dyDescent="0.3">
      <c r="A3501" s="17" t="str">
        <f>"58323"</f>
        <v>58323</v>
      </c>
      <c r="B3501" s="5" t="s">
        <v>3656</v>
      </c>
      <c r="C3501" s="17">
        <v>20230101</v>
      </c>
      <c r="D3501" s="17">
        <v>22991231</v>
      </c>
      <c r="E3501" s="25">
        <v>5.63</v>
      </c>
    </row>
    <row r="3502" spans="1:5" ht="26" x14ac:dyDescent="0.3">
      <c r="A3502" s="17" t="str">
        <f>"58340"</f>
        <v>58340</v>
      </c>
      <c r="B3502" s="5" t="s">
        <v>3657</v>
      </c>
      <c r="C3502" s="17">
        <v>19900101</v>
      </c>
      <c r="D3502" s="17">
        <v>22991231</v>
      </c>
      <c r="E3502" s="25">
        <v>0</v>
      </c>
    </row>
    <row r="3503" spans="1:5" x14ac:dyDescent="0.3">
      <c r="A3503" s="17" t="str">
        <f>"58345"</f>
        <v>58345</v>
      </c>
      <c r="B3503" s="5" t="s">
        <v>3658</v>
      </c>
      <c r="C3503" s="17">
        <v>20230101</v>
      </c>
      <c r="D3503" s="17">
        <v>22991231</v>
      </c>
      <c r="E3503" s="25">
        <v>1515.11</v>
      </c>
    </row>
    <row r="3504" spans="1:5" ht="26" x14ac:dyDescent="0.3">
      <c r="A3504" s="17" t="str">
        <f>"58346"</f>
        <v>58346</v>
      </c>
      <c r="B3504" s="5" t="s">
        <v>3659</v>
      </c>
      <c r="C3504" s="17">
        <v>20051001</v>
      </c>
      <c r="D3504" s="17">
        <v>22991231</v>
      </c>
      <c r="E3504" s="25">
        <v>2039.79</v>
      </c>
    </row>
    <row r="3505" spans="1:5" x14ac:dyDescent="0.3">
      <c r="A3505" s="17" t="str">
        <f>"58350"</f>
        <v>58350</v>
      </c>
      <c r="B3505" s="5" t="s">
        <v>3660</v>
      </c>
      <c r="C3505" s="17">
        <v>19900101</v>
      </c>
      <c r="D3505" s="17">
        <v>22991231</v>
      </c>
      <c r="E3505" s="25">
        <v>2039.79</v>
      </c>
    </row>
    <row r="3506" spans="1:5" x14ac:dyDescent="0.3">
      <c r="A3506" s="17" t="str">
        <f>"58353"</f>
        <v>58353</v>
      </c>
      <c r="B3506" s="5" t="s">
        <v>3661</v>
      </c>
      <c r="C3506" s="17">
        <v>20010101</v>
      </c>
      <c r="D3506" s="17">
        <v>22991231</v>
      </c>
      <c r="E3506" s="25">
        <v>2039.79</v>
      </c>
    </row>
    <row r="3507" spans="1:5" ht="26" x14ac:dyDescent="0.3">
      <c r="A3507" s="17" t="str">
        <f>"58356"</f>
        <v>58356</v>
      </c>
      <c r="B3507" s="5" t="s">
        <v>3662</v>
      </c>
      <c r="C3507" s="17">
        <v>20230101</v>
      </c>
      <c r="D3507" s="17">
        <v>22991231</v>
      </c>
      <c r="E3507" s="25">
        <v>3191.51</v>
      </c>
    </row>
    <row r="3508" spans="1:5" x14ac:dyDescent="0.3">
      <c r="A3508" s="17" t="str">
        <f>"58400"</f>
        <v>58400</v>
      </c>
      <c r="B3508" s="5" t="s">
        <v>3663</v>
      </c>
      <c r="C3508" s="17">
        <v>19900101</v>
      </c>
      <c r="D3508" s="17">
        <v>22991231</v>
      </c>
      <c r="E3508" s="24" t="s">
        <v>7128</v>
      </c>
    </row>
    <row r="3509" spans="1:5" ht="26" x14ac:dyDescent="0.3">
      <c r="A3509" s="17" t="str">
        <f>"58541"</f>
        <v>58541</v>
      </c>
      <c r="B3509" s="5" t="s">
        <v>3664</v>
      </c>
      <c r="C3509" s="17">
        <v>20230101</v>
      </c>
      <c r="D3509" s="17">
        <v>22991231</v>
      </c>
      <c r="E3509" s="25">
        <v>4336.99</v>
      </c>
    </row>
    <row r="3510" spans="1:5" ht="39" x14ac:dyDescent="0.3">
      <c r="A3510" s="17" t="str">
        <f>"58542"</f>
        <v>58542</v>
      </c>
      <c r="B3510" s="5" t="s">
        <v>3665</v>
      </c>
      <c r="C3510" s="17">
        <v>20230101</v>
      </c>
      <c r="D3510" s="17">
        <v>22991231</v>
      </c>
      <c r="E3510" s="25">
        <v>4336.99</v>
      </c>
    </row>
    <row r="3511" spans="1:5" ht="26" x14ac:dyDescent="0.3">
      <c r="A3511" s="17" t="str">
        <f>"58543"</f>
        <v>58543</v>
      </c>
      <c r="B3511" s="5" t="s">
        <v>3666</v>
      </c>
      <c r="C3511" s="17">
        <v>20230101</v>
      </c>
      <c r="D3511" s="17">
        <v>22991231</v>
      </c>
      <c r="E3511" s="25">
        <v>4336.99</v>
      </c>
    </row>
    <row r="3512" spans="1:5" ht="39" x14ac:dyDescent="0.3">
      <c r="A3512" s="17" t="str">
        <f>"58544"</f>
        <v>58544</v>
      </c>
      <c r="B3512" s="5" t="s">
        <v>3667</v>
      </c>
      <c r="C3512" s="17">
        <v>20230101</v>
      </c>
      <c r="D3512" s="17">
        <v>22991231</v>
      </c>
      <c r="E3512" s="25">
        <v>4336.99</v>
      </c>
    </row>
    <row r="3513" spans="1:5" ht="26" x14ac:dyDescent="0.3">
      <c r="A3513" s="17" t="str">
        <f>"58545"</f>
        <v>58545</v>
      </c>
      <c r="B3513" s="5" t="s">
        <v>3668</v>
      </c>
      <c r="C3513" s="17">
        <v>20050101</v>
      </c>
      <c r="D3513" s="17">
        <v>22991231</v>
      </c>
      <c r="E3513" s="25">
        <v>2584.12</v>
      </c>
    </row>
    <row r="3514" spans="1:5" ht="26" x14ac:dyDescent="0.3">
      <c r="A3514" s="17" t="str">
        <f>"58546"</f>
        <v>58546</v>
      </c>
      <c r="B3514" s="5" t="s">
        <v>3669</v>
      </c>
      <c r="C3514" s="17">
        <v>20230101</v>
      </c>
      <c r="D3514" s="17">
        <v>22991231</v>
      </c>
      <c r="E3514" s="25">
        <v>4336.99</v>
      </c>
    </row>
    <row r="3515" spans="1:5" ht="26" x14ac:dyDescent="0.3">
      <c r="A3515" s="17" t="str">
        <f>"58550"</f>
        <v>58550</v>
      </c>
      <c r="B3515" s="5" t="s">
        <v>3670</v>
      </c>
      <c r="C3515" s="17">
        <v>20000101</v>
      </c>
      <c r="D3515" s="17">
        <v>22991231</v>
      </c>
      <c r="E3515" s="25">
        <v>2584.12</v>
      </c>
    </row>
    <row r="3516" spans="1:5" ht="26" x14ac:dyDescent="0.3">
      <c r="A3516" s="17" t="str">
        <f>"58552"</f>
        <v>58552</v>
      </c>
      <c r="B3516" s="5" t="s">
        <v>3671</v>
      </c>
      <c r="C3516" s="17">
        <v>20230101</v>
      </c>
      <c r="D3516" s="17">
        <v>22991231</v>
      </c>
      <c r="E3516" s="25">
        <v>4336.99</v>
      </c>
    </row>
    <row r="3517" spans="1:5" ht="26" x14ac:dyDescent="0.3">
      <c r="A3517" s="17" t="str">
        <f>"58553"</f>
        <v>58553</v>
      </c>
      <c r="B3517" s="5" t="s">
        <v>3672</v>
      </c>
      <c r="C3517" s="17">
        <v>20230101</v>
      </c>
      <c r="D3517" s="17">
        <v>22991231</v>
      </c>
      <c r="E3517" s="25">
        <v>4336.99</v>
      </c>
    </row>
    <row r="3518" spans="1:5" ht="26" x14ac:dyDescent="0.3">
      <c r="A3518" s="17" t="str">
        <f>"58554"</f>
        <v>58554</v>
      </c>
      <c r="B3518" s="5" t="s">
        <v>3673</v>
      </c>
      <c r="C3518" s="17">
        <v>20230101</v>
      </c>
      <c r="D3518" s="17">
        <v>22991231</v>
      </c>
      <c r="E3518" s="25">
        <v>4336.99</v>
      </c>
    </row>
    <row r="3519" spans="1:5" x14ac:dyDescent="0.3">
      <c r="A3519" s="17" t="str">
        <f>"58555"</f>
        <v>58555</v>
      </c>
      <c r="B3519" s="5" t="s">
        <v>3674</v>
      </c>
      <c r="C3519" s="17">
        <v>20000101</v>
      </c>
      <c r="D3519" s="17">
        <v>22991231</v>
      </c>
      <c r="E3519" s="25">
        <v>1515.11</v>
      </c>
    </row>
    <row r="3520" spans="1:5" ht="26" x14ac:dyDescent="0.3">
      <c r="A3520" s="17" t="str">
        <f>"58558"</f>
        <v>58558</v>
      </c>
      <c r="B3520" s="5" t="s">
        <v>3675</v>
      </c>
      <c r="C3520" s="17">
        <v>20000101</v>
      </c>
      <c r="D3520" s="17">
        <v>22991231</v>
      </c>
      <c r="E3520" s="25">
        <v>1515.11</v>
      </c>
    </row>
    <row r="3521" spans="1:5" ht="26" x14ac:dyDescent="0.3">
      <c r="A3521" s="17" t="str">
        <f>"58559"</f>
        <v>58559</v>
      </c>
      <c r="B3521" s="5" t="s">
        <v>3676</v>
      </c>
      <c r="C3521" s="17">
        <v>20000101</v>
      </c>
      <c r="D3521" s="17">
        <v>22991231</v>
      </c>
      <c r="E3521" s="25">
        <v>2039.79</v>
      </c>
    </row>
    <row r="3522" spans="1:5" ht="26" x14ac:dyDescent="0.3">
      <c r="A3522" s="17" t="str">
        <f>"58560"</f>
        <v>58560</v>
      </c>
      <c r="B3522" s="5" t="s">
        <v>3677</v>
      </c>
      <c r="C3522" s="17">
        <v>20000101</v>
      </c>
      <c r="D3522" s="17">
        <v>22991231</v>
      </c>
      <c r="E3522" s="25">
        <v>2039.79</v>
      </c>
    </row>
    <row r="3523" spans="1:5" ht="26" x14ac:dyDescent="0.3">
      <c r="A3523" s="17" t="str">
        <f>"58561"</f>
        <v>58561</v>
      </c>
      <c r="B3523" s="5" t="s">
        <v>3678</v>
      </c>
      <c r="C3523" s="17">
        <v>20000101</v>
      </c>
      <c r="D3523" s="17">
        <v>22991231</v>
      </c>
      <c r="E3523" s="25">
        <v>2039.79</v>
      </c>
    </row>
    <row r="3524" spans="1:5" ht="26" x14ac:dyDescent="0.3">
      <c r="A3524" s="17" t="str">
        <f>"58562"</f>
        <v>58562</v>
      </c>
      <c r="B3524" s="5" t="s">
        <v>3679</v>
      </c>
      <c r="C3524" s="17">
        <v>20000101</v>
      </c>
      <c r="D3524" s="17">
        <v>22991231</v>
      </c>
      <c r="E3524" s="25">
        <v>1515.11</v>
      </c>
    </row>
    <row r="3525" spans="1:5" ht="26" x14ac:dyDescent="0.3">
      <c r="A3525" s="17" t="str">
        <f>"58563"</f>
        <v>58563</v>
      </c>
      <c r="B3525" s="5" t="s">
        <v>3680</v>
      </c>
      <c r="C3525" s="17">
        <v>20000101</v>
      </c>
      <c r="D3525" s="17">
        <v>22991231</v>
      </c>
      <c r="E3525" s="25">
        <v>2039.79</v>
      </c>
    </row>
    <row r="3526" spans="1:5" ht="26" x14ac:dyDescent="0.3">
      <c r="A3526" s="17" t="str">
        <f>"58565"</f>
        <v>58565</v>
      </c>
      <c r="B3526" s="5" t="s">
        <v>3681</v>
      </c>
      <c r="C3526" s="17">
        <v>20051001</v>
      </c>
      <c r="D3526" s="17">
        <v>22991231</v>
      </c>
      <c r="E3526" s="25">
        <v>2568.9</v>
      </c>
    </row>
    <row r="3527" spans="1:5" ht="26" x14ac:dyDescent="0.3">
      <c r="A3527" s="17" t="str">
        <f>"58570"</f>
        <v>58570</v>
      </c>
      <c r="B3527" s="5" t="s">
        <v>3682</v>
      </c>
      <c r="C3527" s="17">
        <v>20080101</v>
      </c>
      <c r="D3527" s="17">
        <v>22991231</v>
      </c>
      <c r="E3527" s="25">
        <v>4336.99</v>
      </c>
    </row>
    <row r="3528" spans="1:5" ht="26" x14ac:dyDescent="0.3">
      <c r="A3528" s="17" t="str">
        <f>"58571"</f>
        <v>58571</v>
      </c>
      <c r="B3528" s="5" t="s">
        <v>3683</v>
      </c>
      <c r="C3528" s="17">
        <v>20080101</v>
      </c>
      <c r="D3528" s="17">
        <v>22991231</v>
      </c>
      <c r="E3528" s="25">
        <v>4336.99</v>
      </c>
    </row>
    <row r="3529" spans="1:5" ht="26" x14ac:dyDescent="0.3">
      <c r="A3529" s="17" t="str">
        <f>"58572"</f>
        <v>58572</v>
      </c>
      <c r="B3529" s="5" t="s">
        <v>3684</v>
      </c>
      <c r="C3529" s="17">
        <v>20080101</v>
      </c>
      <c r="D3529" s="17">
        <v>22991231</v>
      </c>
      <c r="E3529" s="25">
        <v>4336.99</v>
      </c>
    </row>
    <row r="3530" spans="1:5" ht="26" x14ac:dyDescent="0.3">
      <c r="A3530" s="17" t="str">
        <f>"58573"</f>
        <v>58573</v>
      </c>
      <c r="B3530" s="5" t="s">
        <v>3685</v>
      </c>
      <c r="C3530" s="17">
        <v>20080101</v>
      </c>
      <c r="D3530" s="17">
        <v>22991231</v>
      </c>
      <c r="E3530" s="25">
        <v>4336.99</v>
      </c>
    </row>
    <row r="3531" spans="1:5" ht="26" x14ac:dyDescent="0.3">
      <c r="A3531" s="17" t="str">
        <f>"58580"</f>
        <v>58580</v>
      </c>
      <c r="B3531" s="5" t="s">
        <v>3686</v>
      </c>
      <c r="C3531" s="17">
        <v>20240101</v>
      </c>
      <c r="D3531" s="17">
        <v>22991231</v>
      </c>
      <c r="E3531" s="25">
        <v>3797.75</v>
      </c>
    </row>
    <row r="3532" spans="1:5" x14ac:dyDescent="0.3">
      <c r="A3532" s="17" t="str">
        <f>"58600"</f>
        <v>58600</v>
      </c>
      <c r="B3532" s="5" t="s">
        <v>3687</v>
      </c>
      <c r="C3532" s="17">
        <v>20030701</v>
      </c>
      <c r="D3532" s="17">
        <v>22991231</v>
      </c>
      <c r="E3532" s="25">
        <v>1515.11</v>
      </c>
    </row>
    <row r="3533" spans="1:5" ht="26" x14ac:dyDescent="0.3">
      <c r="A3533" s="17" t="str">
        <f>"58615"</f>
        <v>58615</v>
      </c>
      <c r="B3533" s="5" t="s">
        <v>3688</v>
      </c>
      <c r="C3533" s="17">
        <v>20030701</v>
      </c>
      <c r="D3533" s="17">
        <v>22991231</v>
      </c>
      <c r="E3533" s="25">
        <v>1515.11</v>
      </c>
    </row>
    <row r="3534" spans="1:5" ht="26" x14ac:dyDescent="0.3">
      <c r="A3534" s="17" t="str">
        <f>"58660"</f>
        <v>58660</v>
      </c>
      <c r="B3534" s="5" t="s">
        <v>3689</v>
      </c>
      <c r="C3534" s="17">
        <v>19900101</v>
      </c>
      <c r="D3534" s="17">
        <v>22991231</v>
      </c>
      <c r="E3534" s="25">
        <v>2584.12</v>
      </c>
    </row>
    <row r="3535" spans="1:5" ht="26" x14ac:dyDescent="0.3">
      <c r="A3535" s="17" t="str">
        <f>"58661"</f>
        <v>58661</v>
      </c>
      <c r="B3535" s="5" t="s">
        <v>3690</v>
      </c>
      <c r="C3535" s="17">
        <v>19900101</v>
      </c>
      <c r="D3535" s="17">
        <v>22991231</v>
      </c>
      <c r="E3535" s="25">
        <v>2584.12</v>
      </c>
    </row>
    <row r="3536" spans="1:5" ht="26" x14ac:dyDescent="0.3">
      <c r="A3536" s="17" t="str">
        <f>"58662"</f>
        <v>58662</v>
      </c>
      <c r="B3536" s="5" t="s">
        <v>3691</v>
      </c>
      <c r="C3536" s="17">
        <v>19900101</v>
      </c>
      <c r="D3536" s="17">
        <v>22991231</v>
      </c>
      <c r="E3536" s="25">
        <v>2584.12</v>
      </c>
    </row>
    <row r="3537" spans="1:5" ht="26" x14ac:dyDescent="0.3">
      <c r="A3537" s="17" t="str">
        <f>"58670"</f>
        <v>58670</v>
      </c>
      <c r="B3537" s="5" t="s">
        <v>3692</v>
      </c>
      <c r="C3537" s="17">
        <v>19900101</v>
      </c>
      <c r="D3537" s="17">
        <v>22991231</v>
      </c>
      <c r="E3537" s="25">
        <v>2584.12</v>
      </c>
    </row>
    <row r="3538" spans="1:5" ht="26" x14ac:dyDescent="0.3">
      <c r="A3538" s="17" t="str">
        <f>"58671"</f>
        <v>58671</v>
      </c>
      <c r="B3538" s="5" t="s">
        <v>3693</v>
      </c>
      <c r="C3538" s="17">
        <v>19900101</v>
      </c>
      <c r="D3538" s="17">
        <v>22991231</v>
      </c>
      <c r="E3538" s="25">
        <v>2584.12</v>
      </c>
    </row>
    <row r="3539" spans="1:5" ht="26" x14ac:dyDescent="0.3">
      <c r="A3539" s="17" t="str">
        <f>"58672"</f>
        <v>58672</v>
      </c>
      <c r="B3539" s="5" t="s">
        <v>3694</v>
      </c>
      <c r="C3539" s="17">
        <v>20230101</v>
      </c>
      <c r="D3539" s="17">
        <v>22991231</v>
      </c>
      <c r="E3539" s="25">
        <v>2584.12</v>
      </c>
    </row>
    <row r="3540" spans="1:5" x14ac:dyDescent="0.3">
      <c r="A3540" s="17" t="str">
        <f>"58673"</f>
        <v>58673</v>
      </c>
      <c r="B3540" s="5" t="s">
        <v>3695</v>
      </c>
      <c r="C3540" s="17">
        <v>19900101</v>
      </c>
      <c r="D3540" s="17">
        <v>22991231</v>
      </c>
      <c r="E3540" s="25">
        <v>4336.99</v>
      </c>
    </row>
    <row r="3541" spans="1:5" ht="39" x14ac:dyDescent="0.3">
      <c r="A3541" s="17" t="str">
        <f>"58674"</f>
        <v>58674</v>
      </c>
      <c r="B3541" s="5" t="s">
        <v>3696</v>
      </c>
      <c r="C3541" s="17">
        <v>20170101</v>
      </c>
      <c r="D3541" s="17">
        <v>22991231</v>
      </c>
      <c r="E3541" s="25">
        <v>4336.99</v>
      </c>
    </row>
    <row r="3542" spans="1:5" x14ac:dyDescent="0.3">
      <c r="A3542" s="17" t="str">
        <f>"58700"</f>
        <v>58700</v>
      </c>
      <c r="B3542" s="5" t="s">
        <v>3697</v>
      </c>
      <c r="C3542" s="17">
        <v>20030701</v>
      </c>
      <c r="D3542" s="17">
        <v>22991231</v>
      </c>
      <c r="E3542" s="24" t="s">
        <v>7128</v>
      </c>
    </row>
    <row r="3543" spans="1:5" x14ac:dyDescent="0.3">
      <c r="A3543" s="17" t="str">
        <f>"58770"</f>
        <v>58770</v>
      </c>
      <c r="B3543" s="5" t="s">
        <v>3698</v>
      </c>
      <c r="C3543" s="17">
        <v>20030701</v>
      </c>
      <c r="D3543" s="17">
        <v>22991231</v>
      </c>
      <c r="E3543" s="24" t="s">
        <v>7128</v>
      </c>
    </row>
    <row r="3544" spans="1:5" x14ac:dyDescent="0.3">
      <c r="A3544" s="17" t="str">
        <f>"58800"</f>
        <v>58800</v>
      </c>
      <c r="B3544" s="5" t="s">
        <v>3699</v>
      </c>
      <c r="C3544" s="17">
        <v>19900101</v>
      </c>
      <c r="D3544" s="17">
        <v>22991231</v>
      </c>
      <c r="E3544" s="25">
        <v>1515.11</v>
      </c>
    </row>
    <row r="3545" spans="1:5" x14ac:dyDescent="0.3">
      <c r="A3545" s="17" t="str">
        <f>"58805"</f>
        <v>58805</v>
      </c>
      <c r="B3545" s="5" t="s">
        <v>3700</v>
      </c>
      <c r="C3545" s="17">
        <v>19900101</v>
      </c>
      <c r="D3545" s="17">
        <v>22991231</v>
      </c>
      <c r="E3545" s="25">
        <v>1515.11</v>
      </c>
    </row>
    <row r="3546" spans="1:5" x14ac:dyDescent="0.3">
      <c r="A3546" s="17" t="str">
        <f>"58820"</f>
        <v>58820</v>
      </c>
      <c r="B3546" s="5" t="s">
        <v>3701</v>
      </c>
      <c r="C3546" s="17">
        <v>19900101</v>
      </c>
      <c r="D3546" s="17">
        <v>22991231</v>
      </c>
      <c r="E3546" s="25">
        <v>1515.11</v>
      </c>
    </row>
    <row r="3547" spans="1:5" x14ac:dyDescent="0.3">
      <c r="A3547" s="17" t="str">
        <f>"58900"</f>
        <v>58900</v>
      </c>
      <c r="B3547" s="5" t="s">
        <v>3702</v>
      </c>
      <c r="C3547" s="17">
        <v>19900101</v>
      </c>
      <c r="D3547" s="17">
        <v>22991231</v>
      </c>
      <c r="E3547" s="25">
        <v>1515.11</v>
      </c>
    </row>
    <row r="3548" spans="1:5" x14ac:dyDescent="0.3">
      <c r="A3548" s="17" t="str">
        <f>"58920"</f>
        <v>58920</v>
      </c>
      <c r="B3548" s="5" t="s">
        <v>3703</v>
      </c>
      <c r="C3548" s="17">
        <v>19900101</v>
      </c>
      <c r="D3548" s="17">
        <v>22991231</v>
      </c>
      <c r="E3548" s="24" t="s">
        <v>7128</v>
      </c>
    </row>
    <row r="3549" spans="1:5" x14ac:dyDescent="0.3">
      <c r="A3549" s="17" t="str">
        <f>"58925"</f>
        <v>58925</v>
      </c>
      <c r="B3549" s="5" t="s">
        <v>3704</v>
      </c>
      <c r="C3549" s="17">
        <v>19900101</v>
      </c>
      <c r="D3549" s="17">
        <v>22991231</v>
      </c>
      <c r="E3549" s="24" t="s">
        <v>7128</v>
      </c>
    </row>
    <row r="3550" spans="1:5" x14ac:dyDescent="0.3">
      <c r="A3550" s="17" t="str">
        <f>"58970"</f>
        <v>58970</v>
      </c>
      <c r="B3550" s="5" t="s">
        <v>3705</v>
      </c>
      <c r="C3550" s="17">
        <v>20230101</v>
      </c>
      <c r="D3550" s="17">
        <v>22991231</v>
      </c>
      <c r="E3550" s="25">
        <v>398.32</v>
      </c>
    </row>
    <row r="3551" spans="1:5" x14ac:dyDescent="0.3">
      <c r="A3551" s="17" t="str">
        <f>"58974"</f>
        <v>58974</v>
      </c>
      <c r="B3551" s="5" t="s">
        <v>3706</v>
      </c>
      <c r="C3551" s="17">
        <v>20230101</v>
      </c>
      <c r="D3551" s="17">
        <v>22991231</v>
      </c>
      <c r="E3551" s="25">
        <v>398.32</v>
      </c>
    </row>
    <row r="3552" spans="1:5" x14ac:dyDescent="0.3">
      <c r="A3552" s="17" t="str">
        <f>"58976"</f>
        <v>58976</v>
      </c>
      <c r="B3552" s="5" t="s">
        <v>3707</v>
      </c>
      <c r="C3552" s="17">
        <v>20230101</v>
      </c>
      <c r="D3552" s="17">
        <v>22991231</v>
      </c>
      <c r="E3552" s="25">
        <v>158.94999999999999</v>
      </c>
    </row>
    <row r="3553" spans="1:5" ht="26" x14ac:dyDescent="0.3">
      <c r="A3553" s="17" t="str">
        <f>"58999"</f>
        <v>58999</v>
      </c>
      <c r="B3553" s="5" t="s">
        <v>3708</v>
      </c>
      <c r="C3553" s="17">
        <v>19900101</v>
      </c>
      <c r="D3553" s="17">
        <v>22991231</v>
      </c>
      <c r="E3553" s="24" t="s">
        <v>7128</v>
      </c>
    </row>
    <row r="3554" spans="1:5" ht="26" x14ac:dyDescent="0.3">
      <c r="A3554" s="17" t="str">
        <f>"59000"</f>
        <v>59000</v>
      </c>
      <c r="B3554" s="5" t="s">
        <v>3709</v>
      </c>
      <c r="C3554" s="17">
        <v>20230101</v>
      </c>
      <c r="D3554" s="17">
        <v>22991231</v>
      </c>
      <c r="E3554" s="25">
        <v>58.48</v>
      </c>
    </row>
    <row r="3555" spans="1:5" ht="26" x14ac:dyDescent="0.3">
      <c r="A3555" s="17" t="str">
        <f>"59001"</f>
        <v>59001</v>
      </c>
      <c r="B3555" s="5" t="s">
        <v>3710</v>
      </c>
      <c r="C3555" s="17">
        <v>20230101</v>
      </c>
      <c r="D3555" s="17">
        <v>22991231</v>
      </c>
      <c r="E3555" s="25">
        <v>158.94999999999999</v>
      </c>
    </row>
    <row r="3556" spans="1:5" x14ac:dyDescent="0.3">
      <c r="A3556" s="17" t="str">
        <f>"59012"</f>
        <v>59012</v>
      </c>
      <c r="B3556" s="5" t="s">
        <v>3711</v>
      </c>
      <c r="C3556" s="17">
        <v>20230101</v>
      </c>
      <c r="D3556" s="17">
        <v>22991231</v>
      </c>
      <c r="E3556" s="25">
        <v>158.94999999999999</v>
      </c>
    </row>
    <row r="3557" spans="1:5" x14ac:dyDescent="0.3">
      <c r="A3557" s="17" t="str">
        <f>"59015"</f>
        <v>59015</v>
      </c>
      <c r="B3557" s="5" t="s">
        <v>3712</v>
      </c>
      <c r="C3557" s="17">
        <v>19900101</v>
      </c>
      <c r="D3557" s="17">
        <v>22991231</v>
      </c>
      <c r="E3557" s="25">
        <v>59.42</v>
      </c>
    </row>
    <row r="3558" spans="1:5" x14ac:dyDescent="0.3">
      <c r="A3558" s="17" t="str">
        <f>"59020"</f>
        <v>59020</v>
      </c>
      <c r="B3558" s="5" t="s">
        <v>3713</v>
      </c>
      <c r="C3558" s="17">
        <v>20230101</v>
      </c>
      <c r="D3558" s="17">
        <v>22991231</v>
      </c>
      <c r="E3558" s="25">
        <v>40.659999999999997</v>
      </c>
    </row>
    <row r="3559" spans="1:5" x14ac:dyDescent="0.3">
      <c r="A3559" s="17" t="str">
        <f>"59025"</f>
        <v>59025</v>
      </c>
      <c r="B3559" s="5" t="s">
        <v>3714</v>
      </c>
      <c r="C3559" s="17">
        <v>20230101</v>
      </c>
      <c r="D3559" s="17">
        <v>22991231</v>
      </c>
      <c r="E3559" s="25">
        <v>25.33</v>
      </c>
    </row>
    <row r="3560" spans="1:5" ht="26" x14ac:dyDescent="0.3">
      <c r="A3560" s="17" t="str">
        <f>"59051"</f>
        <v>59051</v>
      </c>
      <c r="B3560" s="5" t="s">
        <v>3715</v>
      </c>
      <c r="C3560" s="17">
        <v>19950101</v>
      </c>
      <c r="D3560" s="17">
        <v>22991231</v>
      </c>
      <c r="E3560" s="24" t="s">
        <v>7128</v>
      </c>
    </row>
    <row r="3561" spans="1:5" ht="26" x14ac:dyDescent="0.3">
      <c r="A3561" s="17" t="str">
        <f>"59070"</f>
        <v>59070</v>
      </c>
      <c r="B3561" s="5" t="s">
        <v>3716</v>
      </c>
      <c r="C3561" s="17">
        <v>20230101</v>
      </c>
      <c r="D3561" s="17">
        <v>22991231</v>
      </c>
      <c r="E3561" s="25">
        <v>158.94999999999999</v>
      </c>
    </row>
    <row r="3562" spans="1:5" ht="26" x14ac:dyDescent="0.3">
      <c r="A3562" s="17" t="str">
        <f>"59072"</f>
        <v>59072</v>
      </c>
      <c r="B3562" s="5" t="s">
        <v>3717</v>
      </c>
      <c r="C3562" s="17">
        <v>20230101</v>
      </c>
      <c r="D3562" s="17">
        <v>22991231</v>
      </c>
      <c r="E3562" s="25">
        <v>213</v>
      </c>
    </row>
    <row r="3563" spans="1:5" x14ac:dyDescent="0.3">
      <c r="A3563" s="17" t="str">
        <f>"59074"</f>
        <v>59074</v>
      </c>
      <c r="B3563" s="5" t="s">
        <v>3718</v>
      </c>
      <c r="C3563" s="17">
        <v>20230101</v>
      </c>
      <c r="D3563" s="17">
        <v>22991231</v>
      </c>
      <c r="E3563" s="25">
        <v>158.94999999999999</v>
      </c>
    </row>
    <row r="3564" spans="1:5" ht="26" x14ac:dyDescent="0.3">
      <c r="A3564" s="17" t="str">
        <f>"59076"</f>
        <v>59076</v>
      </c>
      <c r="B3564" s="5" t="s">
        <v>3719</v>
      </c>
      <c r="C3564" s="17">
        <v>20230101</v>
      </c>
      <c r="D3564" s="17">
        <v>22991231</v>
      </c>
      <c r="E3564" s="25">
        <v>158.94999999999999</v>
      </c>
    </row>
    <row r="3565" spans="1:5" x14ac:dyDescent="0.3">
      <c r="A3565" s="17" t="str">
        <f>"59100"</f>
        <v>59100</v>
      </c>
      <c r="B3565" s="5" t="s">
        <v>3720</v>
      </c>
      <c r="C3565" s="17">
        <v>20230101</v>
      </c>
      <c r="D3565" s="17">
        <v>22991231</v>
      </c>
      <c r="E3565" s="25">
        <v>2039.79</v>
      </c>
    </row>
    <row r="3566" spans="1:5" ht="26" x14ac:dyDescent="0.3">
      <c r="A3566" s="17" t="str">
        <f>"59150"</f>
        <v>59150</v>
      </c>
      <c r="B3566" s="5" t="s">
        <v>3721</v>
      </c>
      <c r="C3566" s="17">
        <v>19900401</v>
      </c>
      <c r="D3566" s="17">
        <v>22991231</v>
      </c>
      <c r="E3566" s="25">
        <v>2584.12</v>
      </c>
    </row>
    <row r="3567" spans="1:5" ht="26" x14ac:dyDescent="0.3">
      <c r="A3567" s="17" t="str">
        <f>"59151"</f>
        <v>59151</v>
      </c>
      <c r="B3567" s="5" t="s">
        <v>3722</v>
      </c>
      <c r="C3567" s="17">
        <v>20230101</v>
      </c>
      <c r="D3567" s="17">
        <v>22991231</v>
      </c>
      <c r="E3567" s="25">
        <v>2584.12</v>
      </c>
    </row>
    <row r="3568" spans="1:5" x14ac:dyDescent="0.3">
      <c r="A3568" s="17" t="str">
        <f>"59160"</f>
        <v>59160</v>
      </c>
      <c r="B3568" s="5" t="s">
        <v>3723</v>
      </c>
      <c r="C3568" s="17">
        <v>20030701</v>
      </c>
      <c r="D3568" s="17">
        <v>22991231</v>
      </c>
      <c r="E3568" s="25">
        <v>1515.11</v>
      </c>
    </row>
    <row r="3569" spans="1:5" x14ac:dyDescent="0.3">
      <c r="A3569" s="17" t="str">
        <f>"59200"</f>
        <v>59200</v>
      </c>
      <c r="B3569" s="5" t="s">
        <v>3724</v>
      </c>
      <c r="C3569" s="17">
        <v>20030701</v>
      </c>
      <c r="D3569" s="17">
        <v>22991231</v>
      </c>
      <c r="E3569" s="25">
        <v>66.930000000000007</v>
      </c>
    </row>
    <row r="3570" spans="1:5" x14ac:dyDescent="0.3">
      <c r="A3570" s="17" t="str">
        <f>"59300"</f>
        <v>59300</v>
      </c>
      <c r="B3570" s="5" t="s">
        <v>3725</v>
      </c>
      <c r="C3570" s="17">
        <v>19900101</v>
      </c>
      <c r="D3570" s="17">
        <v>22991231</v>
      </c>
      <c r="E3570" s="25">
        <v>119.16</v>
      </c>
    </row>
    <row r="3571" spans="1:5" x14ac:dyDescent="0.3">
      <c r="A3571" s="17" t="str">
        <f>"59320"</f>
        <v>59320</v>
      </c>
      <c r="B3571" s="5" t="s">
        <v>3726</v>
      </c>
      <c r="C3571" s="17">
        <v>20030401</v>
      </c>
      <c r="D3571" s="17">
        <v>22991231</v>
      </c>
      <c r="E3571" s="25">
        <v>1515.11</v>
      </c>
    </row>
    <row r="3572" spans="1:5" x14ac:dyDescent="0.3">
      <c r="A3572" s="17" t="str">
        <f>"59412"</f>
        <v>59412</v>
      </c>
      <c r="B3572" s="5" t="s">
        <v>3727</v>
      </c>
      <c r="C3572" s="17">
        <v>20230101</v>
      </c>
      <c r="D3572" s="17">
        <v>22991231</v>
      </c>
      <c r="E3572" s="25">
        <v>1515.11</v>
      </c>
    </row>
    <row r="3573" spans="1:5" x14ac:dyDescent="0.3">
      <c r="A3573" s="17" t="str">
        <f>"59414"</f>
        <v>59414</v>
      </c>
      <c r="B3573" s="5" t="s">
        <v>3728</v>
      </c>
      <c r="C3573" s="17">
        <v>20230101</v>
      </c>
      <c r="D3573" s="17">
        <v>22991231</v>
      </c>
      <c r="E3573" s="25">
        <v>1515.11</v>
      </c>
    </row>
    <row r="3574" spans="1:5" x14ac:dyDescent="0.3">
      <c r="A3574" s="17" t="str">
        <f>"59415"</f>
        <v>59415</v>
      </c>
      <c r="B3574" s="5" t="s">
        <v>3729</v>
      </c>
      <c r="C3574" s="17">
        <v>20050701</v>
      </c>
      <c r="D3574" s="17">
        <v>22991231</v>
      </c>
      <c r="E3574" s="24" t="s">
        <v>7128</v>
      </c>
    </row>
    <row r="3575" spans="1:5" ht="26" x14ac:dyDescent="0.3">
      <c r="A3575" s="17" t="str">
        <f>"59612"</f>
        <v>59612</v>
      </c>
      <c r="B3575" s="5" t="s">
        <v>3730</v>
      </c>
      <c r="C3575" s="17">
        <v>19960101</v>
      </c>
      <c r="D3575" s="17">
        <v>22991231</v>
      </c>
      <c r="E3575" s="24" t="s">
        <v>7128</v>
      </c>
    </row>
    <row r="3576" spans="1:5" ht="26" x14ac:dyDescent="0.3">
      <c r="A3576" s="17" t="str">
        <f>"59614"</f>
        <v>59614</v>
      </c>
      <c r="B3576" s="5" t="s">
        <v>3731</v>
      </c>
      <c r="C3576" s="17">
        <v>19960101</v>
      </c>
      <c r="D3576" s="17">
        <v>22991231</v>
      </c>
      <c r="E3576" s="24" t="s">
        <v>7128</v>
      </c>
    </row>
    <row r="3577" spans="1:5" ht="39" x14ac:dyDescent="0.3">
      <c r="A3577" s="17" t="str">
        <f>"59622"</f>
        <v>59622</v>
      </c>
      <c r="B3577" s="5" t="s">
        <v>3732</v>
      </c>
      <c r="C3577" s="17">
        <v>19960101</v>
      </c>
      <c r="D3577" s="17">
        <v>22991231</v>
      </c>
      <c r="E3577" s="24" t="s">
        <v>7128</v>
      </c>
    </row>
    <row r="3578" spans="1:5" x14ac:dyDescent="0.3">
      <c r="A3578" s="17" t="str">
        <f>"59812"</f>
        <v>59812</v>
      </c>
      <c r="B3578" s="5" t="s">
        <v>3733</v>
      </c>
      <c r="C3578" s="17">
        <v>19900401</v>
      </c>
      <c r="D3578" s="17">
        <v>22991231</v>
      </c>
      <c r="E3578" s="25">
        <v>1515.11</v>
      </c>
    </row>
    <row r="3579" spans="1:5" x14ac:dyDescent="0.3">
      <c r="A3579" s="17" t="str">
        <f>"59820"</f>
        <v>59820</v>
      </c>
      <c r="B3579" s="5" t="s">
        <v>3734</v>
      </c>
      <c r="C3579" s="17">
        <v>19900101</v>
      </c>
      <c r="D3579" s="17">
        <v>22991231</v>
      </c>
      <c r="E3579" s="25">
        <v>1515.11</v>
      </c>
    </row>
    <row r="3580" spans="1:5" ht="26" x14ac:dyDescent="0.3">
      <c r="A3580" s="17" t="str">
        <f>"59821"</f>
        <v>59821</v>
      </c>
      <c r="B3580" s="5" t="s">
        <v>3735</v>
      </c>
      <c r="C3580" s="17">
        <v>19900401</v>
      </c>
      <c r="D3580" s="17">
        <v>22991231</v>
      </c>
      <c r="E3580" s="25">
        <v>1515.11</v>
      </c>
    </row>
    <row r="3581" spans="1:5" ht="26" x14ac:dyDescent="0.3">
      <c r="A3581" s="17" t="str">
        <f>"59840"</f>
        <v>59840</v>
      </c>
      <c r="B3581" s="5" t="s">
        <v>3736</v>
      </c>
      <c r="C3581" s="17">
        <v>20030701</v>
      </c>
      <c r="D3581" s="17">
        <v>22991231</v>
      </c>
      <c r="E3581" s="25">
        <v>1515.11</v>
      </c>
    </row>
    <row r="3582" spans="1:5" x14ac:dyDescent="0.3">
      <c r="A3582" s="17" t="str">
        <f>"59841"</f>
        <v>59841</v>
      </c>
      <c r="B3582" s="5" t="s">
        <v>3737</v>
      </c>
      <c r="C3582" s="17">
        <v>20030701</v>
      </c>
      <c r="D3582" s="17">
        <v>22991231</v>
      </c>
      <c r="E3582" s="25">
        <v>1515.11</v>
      </c>
    </row>
    <row r="3583" spans="1:5" x14ac:dyDescent="0.3">
      <c r="A3583" s="17" t="str">
        <f>"59866"</f>
        <v>59866</v>
      </c>
      <c r="B3583" s="5" t="s">
        <v>3738</v>
      </c>
      <c r="C3583" s="17">
        <v>20030701</v>
      </c>
      <c r="D3583" s="17">
        <v>22991231</v>
      </c>
      <c r="E3583" s="25">
        <v>158.94999999999999</v>
      </c>
    </row>
    <row r="3584" spans="1:5" ht="26" x14ac:dyDescent="0.3">
      <c r="A3584" s="17" t="str">
        <f>"59870"</f>
        <v>59870</v>
      </c>
      <c r="B3584" s="5" t="s">
        <v>3739</v>
      </c>
      <c r="C3584" s="17">
        <v>20030701</v>
      </c>
      <c r="D3584" s="17">
        <v>22991231</v>
      </c>
      <c r="E3584" s="25">
        <v>1515.11</v>
      </c>
    </row>
    <row r="3585" spans="1:5" x14ac:dyDescent="0.3">
      <c r="A3585" s="17" t="str">
        <f>"59871"</f>
        <v>59871</v>
      </c>
      <c r="B3585" s="5" t="s">
        <v>3740</v>
      </c>
      <c r="C3585" s="17">
        <v>19980101</v>
      </c>
      <c r="D3585" s="17">
        <v>22991231</v>
      </c>
      <c r="E3585" s="25">
        <v>1515.11</v>
      </c>
    </row>
    <row r="3586" spans="1:5" x14ac:dyDescent="0.3">
      <c r="A3586" s="17" t="str">
        <f>"60000"</f>
        <v>60000</v>
      </c>
      <c r="B3586" s="5" t="s">
        <v>3741</v>
      </c>
      <c r="C3586" s="17">
        <v>19900101</v>
      </c>
      <c r="D3586" s="17">
        <v>22991231</v>
      </c>
      <c r="E3586" s="25">
        <v>636.91999999999996</v>
      </c>
    </row>
    <row r="3587" spans="1:5" x14ac:dyDescent="0.3">
      <c r="A3587" s="17" t="str">
        <f>"60100"</f>
        <v>60100</v>
      </c>
      <c r="B3587" s="5" t="s">
        <v>3742</v>
      </c>
      <c r="C3587" s="17">
        <v>19900101</v>
      </c>
      <c r="D3587" s="17">
        <v>22991231</v>
      </c>
      <c r="E3587" s="25">
        <v>48.79</v>
      </c>
    </row>
    <row r="3588" spans="1:5" x14ac:dyDescent="0.3">
      <c r="A3588" s="17" t="str">
        <f>"60200"</f>
        <v>60200</v>
      </c>
      <c r="B3588" s="5" t="s">
        <v>3743</v>
      </c>
      <c r="C3588" s="17">
        <v>19900101</v>
      </c>
      <c r="D3588" s="17">
        <v>22991231</v>
      </c>
      <c r="E3588" s="25">
        <v>2584.12</v>
      </c>
    </row>
    <row r="3589" spans="1:5" x14ac:dyDescent="0.3">
      <c r="A3589" s="17" t="str">
        <f>"60210"</f>
        <v>60210</v>
      </c>
      <c r="B3589" s="5" t="s">
        <v>3744</v>
      </c>
      <c r="C3589" s="17">
        <v>20230101</v>
      </c>
      <c r="D3589" s="17">
        <v>22991231</v>
      </c>
      <c r="E3589" s="25">
        <v>2584.12</v>
      </c>
    </row>
    <row r="3590" spans="1:5" ht="26" x14ac:dyDescent="0.3">
      <c r="A3590" s="17" t="str">
        <f>"60212"</f>
        <v>60212</v>
      </c>
      <c r="B3590" s="5" t="s">
        <v>3745</v>
      </c>
      <c r="C3590" s="17">
        <v>20230101</v>
      </c>
      <c r="D3590" s="17">
        <v>22991231</v>
      </c>
      <c r="E3590" s="25">
        <v>2584.12</v>
      </c>
    </row>
    <row r="3591" spans="1:5" x14ac:dyDescent="0.3">
      <c r="A3591" s="17" t="str">
        <f>"60220"</f>
        <v>60220</v>
      </c>
      <c r="B3591" s="5" t="s">
        <v>3746</v>
      </c>
      <c r="C3591" s="17">
        <v>19900101</v>
      </c>
      <c r="D3591" s="17">
        <v>22991231</v>
      </c>
      <c r="E3591" s="25">
        <v>2584.12</v>
      </c>
    </row>
    <row r="3592" spans="1:5" ht="39" x14ac:dyDescent="0.3">
      <c r="A3592" s="17" t="str">
        <f>"60225"</f>
        <v>60225</v>
      </c>
      <c r="B3592" s="5" t="s">
        <v>3747</v>
      </c>
      <c r="C3592" s="17">
        <v>19900101</v>
      </c>
      <c r="D3592" s="17">
        <v>22991231</v>
      </c>
      <c r="E3592" s="25">
        <v>2584.12</v>
      </c>
    </row>
    <row r="3593" spans="1:5" x14ac:dyDescent="0.3">
      <c r="A3593" s="17" t="str">
        <f>"60240"</f>
        <v>60240</v>
      </c>
      <c r="B3593" s="5" t="s">
        <v>3748</v>
      </c>
      <c r="C3593" s="17">
        <v>19900101</v>
      </c>
      <c r="D3593" s="17">
        <v>22991231</v>
      </c>
      <c r="E3593" s="25">
        <v>2584.12</v>
      </c>
    </row>
    <row r="3594" spans="1:5" ht="26" x14ac:dyDescent="0.3">
      <c r="A3594" s="17" t="str">
        <f>"60252"</f>
        <v>60252</v>
      </c>
      <c r="B3594" s="5" t="s">
        <v>3749</v>
      </c>
      <c r="C3594" s="17">
        <v>19900101</v>
      </c>
      <c r="D3594" s="17">
        <v>22991231</v>
      </c>
      <c r="E3594" s="24" t="s">
        <v>7128</v>
      </c>
    </row>
    <row r="3595" spans="1:5" ht="26" x14ac:dyDescent="0.3">
      <c r="A3595" s="17" t="str">
        <f>"60260"</f>
        <v>60260</v>
      </c>
      <c r="B3595" s="5" t="s">
        <v>3750</v>
      </c>
      <c r="C3595" s="17">
        <v>19900101</v>
      </c>
      <c r="D3595" s="17">
        <v>22991231</v>
      </c>
      <c r="E3595" s="25">
        <v>2637</v>
      </c>
    </row>
    <row r="3596" spans="1:5" ht="26" x14ac:dyDescent="0.3">
      <c r="A3596" s="17" t="str">
        <f>"60280"</f>
        <v>60280</v>
      </c>
      <c r="B3596" s="5" t="s">
        <v>3751</v>
      </c>
      <c r="C3596" s="17">
        <v>19900101</v>
      </c>
      <c r="D3596" s="17">
        <v>22991231</v>
      </c>
      <c r="E3596" s="25">
        <v>2584.12</v>
      </c>
    </row>
    <row r="3597" spans="1:5" ht="26" x14ac:dyDescent="0.3">
      <c r="A3597" s="17" t="str">
        <f>"60281"</f>
        <v>60281</v>
      </c>
      <c r="B3597" s="5" t="s">
        <v>3752</v>
      </c>
      <c r="C3597" s="17">
        <v>19900101</v>
      </c>
      <c r="D3597" s="17">
        <v>22991231</v>
      </c>
      <c r="E3597" s="25">
        <v>2584.12</v>
      </c>
    </row>
    <row r="3598" spans="1:5" x14ac:dyDescent="0.3">
      <c r="A3598" s="17" t="str">
        <f>"60300"</f>
        <v>60300</v>
      </c>
      <c r="B3598" s="5" t="s">
        <v>3753</v>
      </c>
      <c r="C3598" s="17">
        <v>20080101</v>
      </c>
      <c r="D3598" s="17">
        <v>22991231</v>
      </c>
      <c r="E3598" s="25">
        <v>66.930000000000007</v>
      </c>
    </row>
    <row r="3599" spans="1:5" x14ac:dyDescent="0.3">
      <c r="A3599" s="17" t="str">
        <f>"60500"</f>
        <v>60500</v>
      </c>
      <c r="B3599" s="5" t="s">
        <v>3754</v>
      </c>
      <c r="C3599" s="17">
        <v>19900101</v>
      </c>
      <c r="D3599" s="17">
        <v>22991231</v>
      </c>
      <c r="E3599" s="25">
        <v>2637</v>
      </c>
    </row>
    <row r="3600" spans="1:5" ht="26" x14ac:dyDescent="0.3">
      <c r="A3600" s="17" t="str">
        <f>"60512"</f>
        <v>60512</v>
      </c>
      <c r="B3600" s="5" t="s">
        <v>3755</v>
      </c>
      <c r="C3600" s="17">
        <v>20230101</v>
      </c>
      <c r="D3600" s="17">
        <v>22991231</v>
      </c>
      <c r="E3600" s="25">
        <v>0</v>
      </c>
    </row>
    <row r="3601" spans="1:5" x14ac:dyDescent="0.3">
      <c r="A3601" s="17" t="str">
        <f>"60520"</f>
        <v>60520</v>
      </c>
      <c r="B3601" s="5" t="s">
        <v>3756</v>
      </c>
      <c r="C3601" s="17">
        <v>19900101</v>
      </c>
      <c r="D3601" s="17">
        <v>22991231</v>
      </c>
      <c r="E3601" s="24" t="s">
        <v>7128</v>
      </c>
    </row>
    <row r="3602" spans="1:5" ht="26" x14ac:dyDescent="0.3">
      <c r="A3602" s="17" t="str">
        <f>"60659"</f>
        <v>60659</v>
      </c>
      <c r="B3602" s="5" t="s">
        <v>3757</v>
      </c>
      <c r="C3602" s="17">
        <v>20000101</v>
      </c>
      <c r="D3602" s="17">
        <v>22991231</v>
      </c>
      <c r="E3602" s="24" t="s">
        <v>7128</v>
      </c>
    </row>
    <row r="3603" spans="1:5" x14ac:dyDescent="0.3">
      <c r="A3603" s="17" t="str">
        <f>"60699"</f>
        <v>60699</v>
      </c>
      <c r="B3603" s="5" t="s">
        <v>3758</v>
      </c>
      <c r="C3603" s="17">
        <v>19900101</v>
      </c>
      <c r="D3603" s="17">
        <v>22991231</v>
      </c>
      <c r="E3603" s="24" t="s">
        <v>7128</v>
      </c>
    </row>
    <row r="3604" spans="1:5" ht="26" x14ac:dyDescent="0.3">
      <c r="A3604" s="17" t="str">
        <f>"61000"</f>
        <v>61000</v>
      </c>
      <c r="B3604" s="5" t="s">
        <v>3759</v>
      </c>
      <c r="C3604" s="17">
        <v>19900101</v>
      </c>
      <c r="D3604" s="17">
        <v>22991231</v>
      </c>
      <c r="E3604" s="25">
        <v>342.64</v>
      </c>
    </row>
    <row r="3605" spans="1:5" ht="26" x14ac:dyDescent="0.3">
      <c r="A3605" s="17" t="str">
        <f>"61001"</f>
        <v>61001</v>
      </c>
      <c r="B3605" s="5" t="s">
        <v>3760</v>
      </c>
      <c r="C3605" s="17">
        <v>19900101</v>
      </c>
      <c r="D3605" s="17">
        <v>22991231</v>
      </c>
      <c r="E3605" s="25">
        <v>342.64</v>
      </c>
    </row>
    <row r="3606" spans="1:5" ht="26" x14ac:dyDescent="0.3">
      <c r="A3606" s="17" t="str">
        <f>"61020"</f>
        <v>61020</v>
      </c>
      <c r="B3606" s="5" t="s">
        <v>3761</v>
      </c>
      <c r="C3606" s="17">
        <v>19900101</v>
      </c>
      <c r="D3606" s="17">
        <v>22991231</v>
      </c>
      <c r="E3606" s="25">
        <v>451.6</v>
      </c>
    </row>
    <row r="3607" spans="1:5" ht="26" x14ac:dyDescent="0.3">
      <c r="A3607" s="17" t="str">
        <f>"61026"</f>
        <v>61026</v>
      </c>
      <c r="B3607" s="5" t="s">
        <v>3762</v>
      </c>
      <c r="C3607" s="17">
        <v>19900101</v>
      </c>
      <c r="D3607" s="17">
        <v>22991231</v>
      </c>
      <c r="E3607" s="25">
        <v>342.64</v>
      </c>
    </row>
    <row r="3608" spans="1:5" ht="26" x14ac:dyDescent="0.3">
      <c r="A3608" s="17" t="str">
        <f>"61050"</f>
        <v>61050</v>
      </c>
      <c r="B3608" s="5" t="s">
        <v>3763</v>
      </c>
      <c r="C3608" s="17">
        <v>19900101</v>
      </c>
      <c r="D3608" s="17">
        <v>22991231</v>
      </c>
      <c r="E3608" s="25">
        <v>146.75</v>
      </c>
    </row>
    <row r="3609" spans="1:5" ht="26" x14ac:dyDescent="0.3">
      <c r="A3609" s="17" t="str">
        <f>"61055"</f>
        <v>61055</v>
      </c>
      <c r="B3609" s="5" t="s">
        <v>3764</v>
      </c>
      <c r="C3609" s="17">
        <v>19900101</v>
      </c>
      <c r="D3609" s="17">
        <v>22991231</v>
      </c>
      <c r="E3609" s="25">
        <v>146.75</v>
      </c>
    </row>
    <row r="3610" spans="1:5" ht="26" x14ac:dyDescent="0.3">
      <c r="A3610" s="17" t="str">
        <f>"61070"</f>
        <v>61070</v>
      </c>
      <c r="B3610" s="5" t="s">
        <v>3765</v>
      </c>
      <c r="C3610" s="17">
        <v>19900101</v>
      </c>
      <c r="D3610" s="17">
        <v>22991231</v>
      </c>
      <c r="E3610" s="25">
        <v>342.64</v>
      </c>
    </row>
    <row r="3611" spans="1:5" ht="26" x14ac:dyDescent="0.3">
      <c r="A3611" s="17" t="str">
        <f>"61215"</f>
        <v>61215</v>
      </c>
      <c r="B3611" s="5" t="s">
        <v>3766</v>
      </c>
      <c r="C3611" s="17">
        <v>19900101</v>
      </c>
      <c r="D3611" s="17">
        <v>22991231</v>
      </c>
      <c r="E3611" s="25">
        <v>2877.66</v>
      </c>
    </row>
    <row r="3612" spans="1:5" x14ac:dyDescent="0.3">
      <c r="A3612" s="17" t="str">
        <f>"61330"</f>
        <v>61330</v>
      </c>
      <c r="B3612" s="5" t="s">
        <v>3767</v>
      </c>
      <c r="C3612" s="17">
        <v>19900101</v>
      </c>
      <c r="D3612" s="17">
        <v>22991231</v>
      </c>
      <c r="E3612" s="25">
        <v>1259.74</v>
      </c>
    </row>
    <row r="3613" spans="1:5" ht="26" x14ac:dyDescent="0.3">
      <c r="A3613" s="17" t="str">
        <f>"61500"</f>
        <v>61500</v>
      </c>
      <c r="B3613" s="5" t="s">
        <v>3768</v>
      </c>
      <c r="C3613" s="17">
        <v>19900101</v>
      </c>
      <c r="D3613" s="17">
        <v>22991231</v>
      </c>
      <c r="E3613" s="24" t="s">
        <v>7128</v>
      </c>
    </row>
    <row r="3614" spans="1:5" ht="26" x14ac:dyDescent="0.3">
      <c r="A3614" s="17" t="str">
        <f>"61516"</f>
        <v>61516</v>
      </c>
      <c r="B3614" s="5" t="s">
        <v>3769</v>
      </c>
      <c r="C3614" s="17">
        <v>19900101</v>
      </c>
      <c r="D3614" s="17">
        <v>22991231</v>
      </c>
      <c r="E3614" s="24" t="s">
        <v>7128</v>
      </c>
    </row>
    <row r="3615" spans="1:5" ht="26" x14ac:dyDescent="0.3">
      <c r="A3615" s="17" t="str">
        <f>"61518"</f>
        <v>61518</v>
      </c>
      <c r="B3615" s="5" t="s">
        <v>3770</v>
      </c>
      <c r="C3615" s="17">
        <v>19900101</v>
      </c>
      <c r="D3615" s="17">
        <v>22991231</v>
      </c>
      <c r="E3615" s="24" t="s">
        <v>7128</v>
      </c>
    </row>
    <row r="3616" spans="1:5" x14ac:dyDescent="0.3">
      <c r="A3616" s="17" t="str">
        <f>"61626"</f>
        <v>61626</v>
      </c>
      <c r="B3616" s="5" t="s">
        <v>3771</v>
      </c>
      <c r="C3616" s="17">
        <v>19920115</v>
      </c>
      <c r="D3616" s="17">
        <v>22991231</v>
      </c>
      <c r="E3616" s="24" t="s">
        <v>7128</v>
      </c>
    </row>
    <row r="3617" spans="1:5" ht="26" x14ac:dyDescent="0.3">
      <c r="A3617" s="17" t="str">
        <f>"61720"</f>
        <v>61720</v>
      </c>
      <c r="B3617" s="5" t="s">
        <v>3772</v>
      </c>
      <c r="C3617" s="17">
        <v>19900101</v>
      </c>
      <c r="D3617" s="17">
        <v>22991231</v>
      </c>
      <c r="E3617" s="24" t="s">
        <v>7128</v>
      </c>
    </row>
    <row r="3618" spans="1:5" ht="26" x14ac:dyDescent="0.3">
      <c r="A3618" s="17" t="str">
        <f>"61770"</f>
        <v>61770</v>
      </c>
      <c r="B3618" s="5" t="s">
        <v>3773</v>
      </c>
      <c r="C3618" s="17">
        <v>20230101</v>
      </c>
      <c r="D3618" s="17">
        <v>22991231</v>
      </c>
      <c r="E3618" s="25">
        <v>2877.66</v>
      </c>
    </row>
    <row r="3619" spans="1:5" x14ac:dyDescent="0.3">
      <c r="A3619" s="17" t="str">
        <f>"61781"</f>
        <v>61781</v>
      </c>
      <c r="B3619" s="5" t="s">
        <v>3774</v>
      </c>
      <c r="C3619" s="17">
        <v>20110101</v>
      </c>
      <c r="D3619" s="17">
        <v>22991231</v>
      </c>
      <c r="E3619" s="25">
        <v>0</v>
      </c>
    </row>
    <row r="3620" spans="1:5" ht="26" x14ac:dyDescent="0.3">
      <c r="A3620" s="17" t="str">
        <f>"61782"</f>
        <v>61782</v>
      </c>
      <c r="B3620" s="5" t="s">
        <v>3775</v>
      </c>
      <c r="C3620" s="17">
        <v>20110101</v>
      </c>
      <c r="D3620" s="17">
        <v>22991231</v>
      </c>
      <c r="E3620" s="25">
        <v>0</v>
      </c>
    </row>
    <row r="3621" spans="1:5" x14ac:dyDescent="0.3">
      <c r="A3621" s="17" t="str">
        <f>"61783"</f>
        <v>61783</v>
      </c>
      <c r="B3621" s="5" t="s">
        <v>3776</v>
      </c>
      <c r="C3621" s="17">
        <v>20110101</v>
      </c>
      <c r="D3621" s="17">
        <v>22991231</v>
      </c>
      <c r="E3621" s="25">
        <v>0</v>
      </c>
    </row>
    <row r="3622" spans="1:5" ht="26" x14ac:dyDescent="0.3">
      <c r="A3622" s="17" t="str">
        <f>"61790"</f>
        <v>61790</v>
      </c>
      <c r="B3622" s="5" t="s">
        <v>3777</v>
      </c>
      <c r="C3622" s="17">
        <v>19900101</v>
      </c>
      <c r="D3622" s="17">
        <v>22991231</v>
      </c>
      <c r="E3622" s="25">
        <v>857.51</v>
      </c>
    </row>
    <row r="3623" spans="1:5" ht="26" x14ac:dyDescent="0.3">
      <c r="A3623" s="17" t="str">
        <f>"61791"</f>
        <v>61791</v>
      </c>
      <c r="B3623" s="5" t="s">
        <v>3778</v>
      </c>
      <c r="C3623" s="17">
        <v>19900101</v>
      </c>
      <c r="D3623" s="17">
        <v>22991231</v>
      </c>
      <c r="E3623" s="25">
        <v>857.51</v>
      </c>
    </row>
    <row r="3624" spans="1:5" ht="26" x14ac:dyDescent="0.3">
      <c r="A3624" s="17" t="str">
        <f>"61796"</f>
        <v>61796</v>
      </c>
      <c r="B3624" s="5" t="s">
        <v>3779</v>
      </c>
      <c r="C3624" s="17">
        <v>20090101</v>
      </c>
      <c r="D3624" s="17">
        <v>22991231</v>
      </c>
      <c r="E3624" s="24" t="s">
        <v>7128</v>
      </c>
    </row>
    <row r="3625" spans="1:5" ht="26" x14ac:dyDescent="0.3">
      <c r="A3625" s="17" t="str">
        <f>"61797"</f>
        <v>61797</v>
      </c>
      <c r="B3625" s="5" t="s">
        <v>3780</v>
      </c>
      <c r="C3625" s="17">
        <v>20090101</v>
      </c>
      <c r="D3625" s="17">
        <v>22991231</v>
      </c>
      <c r="E3625" s="24" t="s">
        <v>7128</v>
      </c>
    </row>
    <row r="3626" spans="1:5" ht="26" x14ac:dyDescent="0.3">
      <c r="A3626" s="17" t="str">
        <f>"61798"</f>
        <v>61798</v>
      </c>
      <c r="B3626" s="5" t="s">
        <v>3781</v>
      </c>
      <c r="C3626" s="17">
        <v>20090101</v>
      </c>
      <c r="D3626" s="17">
        <v>22991231</v>
      </c>
      <c r="E3626" s="24" t="s">
        <v>7128</v>
      </c>
    </row>
    <row r="3627" spans="1:5" ht="26" x14ac:dyDescent="0.3">
      <c r="A3627" s="17" t="str">
        <f>"61799"</f>
        <v>61799</v>
      </c>
      <c r="B3627" s="5" t="s">
        <v>3782</v>
      </c>
      <c r="C3627" s="17">
        <v>20090101</v>
      </c>
      <c r="D3627" s="17">
        <v>22991231</v>
      </c>
      <c r="E3627" s="24" t="s">
        <v>7128</v>
      </c>
    </row>
    <row r="3628" spans="1:5" ht="26" x14ac:dyDescent="0.3">
      <c r="A3628" s="17" t="str">
        <f>"61800"</f>
        <v>61800</v>
      </c>
      <c r="B3628" s="5" t="s">
        <v>3783</v>
      </c>
      <c r="C3628" s="17">
        <v>20090101</v>
      </c>
      <c r="D3628" s="17">
        <v>22991231</v>
      </c>
      <c r="E3628" s="24" t="s">
        <v>7128</v>
      </c>
    </row>
    <row r="3629" spans="1:5" ht="26" x14ac:dyDescent="0.3">
      <c r="A3629" s="17" t="str">
        <f>"61880"</f>
        <v>61880</v>
      </c>
      <c r="B3629" s="5" t="s">
        <v>3784</v>
      </c>
      <c r="C3629" s="17">
        <v>19900101</v>
      </c>
      <c r="D3629" s="17">
        <v>22991231</v>
      </c>
      <c r="E3629" s="25">
        <v>1813.03</v>
      </c>
    </row>
    <row r="3630" spans="1:5" ht="26" x14ac:dyDescent="0.3">
      <c r="A3630" s="17" t="str">
        <f>"61885"</f>
        <v>61885</v>
      </c>
      <c r="B3630" s="5" t="s">
        <v>3785</v>
      </c>
      <c r="C3630" s="17">
        <v>19900101</v>
      </c>
      <c r="D3630" s="17">
        <v>22991231</v>
      </c>
      <c r="E3630" s="25">
        <v>18492.72</v>
      </c>
    </row>
    <row r="3631" spans="1:5" ht="26" x14ac:dyDescent="0.3">
      <c r="A3631" s="17" t="str">
        <f>"61886"</f>
        <v>61886</v>
      </c>
      <c r="B3631" s="5" t="s">
        <v>3786</v>
      </c>
      <c r="C3631" s="17">
        <v>20000101</v>
      </c>
      <c r="D3631" s="17">
        <v>22991231</v>
      </c>
      <c r="E3631" s="25">
        <v>24180.75</v>
      </c>
    </row>
    <row r="3632" spans="1:5" x14ac:dyDescent="0.3">
      <c r="A3632" s="17" t="str">
        <f>"61888"</f>
        <v>61888</v>
      </c>
      <c r="B3632" s="5" t="s">
        <v>3787</v>
      </c>
      <c r="C3632" s="17">
        <v>19900101</v>
      </c>
      <c r="D3632" s="17">
        <v>22991231</v>
      </c>
      <c r="E3632" s="25">
        <v>10291.209999999999</v>
      </c>
    </row>
    <row r="3633" spans="1:5" x14ac:dyDescent="0.3">
      <c r="A3633" s="17" t="str">
        <f>"62000"</f>
        <v>62000</v>
      </c>
      <c r="B3633" s="5" t="s">
        <v>3788</v>
      </c>
      <c r="C3633" s="17">
        <v>19900101</v>
      </c>
      <c r="D3633" s="17">
        <v>22991231</v>
      </c>
      <c r="E3633" s="24" t="s">
        <v>7128</v>
      </c>
    </row>
    <row r="3634" spans="1:5" x14ac:dyDescent="0.3">
      <c r="A3634" s="17" t="str">
        <f>"62160"</f>
        <v>62160</v>
      </c>
      <c r="B3634" s="5" t="s">
        <v>3789</v>
      </c>
      <c r="C3634" s="17">
        <v>20230101</v>
      </c>
      <c r="D3634" s="17">
        <v>22991231</v>
      </c>
      <c r="E3634" s="25">
        <v>0</v>
      </c>
    </row>
    <row r="3635" spans="1:5" ht="26" x14ac:dyDescent="0.3">
      <c r="A3635" s="17" t="str">
        <f>"62194"</f>
        <v>62194</v>
      </c>
      <c r="B3635" s="5" t="s">
        <v>3790</v>
      </c>
      <c r="C3635" s="17">
        <v>19900101</v>
      </c>
      <c r="D3635" s="17">
        <v>22991231</v>
      </c>
      <c r="E3635" s="25">
        <v>857.51</v>
      </c>
    </row>
    <row r="3636" spans="1:5" x14ac:dyDescent="0.3">
      <c r="A3636" s="17" t="str">
        <f>"62225"</f>
        <v>62225</v>
      </c>
      <c r="B3636" s="5" t="s">
        <v>3791</v>
      </c>
      <c r="C3636" s="17">
        <v>19900101</v>
      </c>
      <c r="D3636" s="17">
        <v>22991231</v>
      </c>
      <c r="E3636" s="25">
        <v>2877.66</v>
      </c>
    </row>
    <row r="3637" spans="1:5" ht="26" x14ac:dyDescent="0.3">
      <c r="A3637" s="17" t="str">
        <f>"62230"</f>
        <v>62230</v>
      </c>
      <c r="B3637" s="5" t="s">
        <v>3792</v>
      </c>
      <c r="C3637" s="17">
        <v>19900101</v>
      </c>
      <c r="D3637" s="17">
        <v>22991231</v>
      </c>
      <c r="E3637" s="25">
        <v>2877.66</v>
      </c>
    </row>
    <row r="3638" spans="1:5" x14ac:dyDescent="0.3">
      <c r="A3638" s="17" t="str">
        <f>"62252"</f>
        <v>62252</v>
      </c>
      <c r="B3638" s="5" t="s">
        <v>3793</v>
      </c>
      <c r="C3638" s="17">
        <v>20010101</v>
      </c>
      <c r="D3638" s="17">
        <v>22991231</v>
      </c>
      <c r="E3638" s="25">
        <v>49.1</v>
      </c>
    </row>
    <row r="3639" spans="1:5" ht="26" x14ac:dyDescent="0.3">
      <c r="A3639" s="17" t="str">
        <f>"62263"</f>
        <v>62263</v>
      </c>
      <c r="B3639" s="5" t="s">
        <v>3794</v>
      </c>
      <c r="C3639" s="17">
        <v>20000101</v>
      </c>
      <c r="D3639" s="17">
        <v>22991231</v>
      </c>
      <c r="E3639" s="25">
        <v>451.6</v>
      </c>
    </row>
    <row r="3640" spans="1:5" ht="26" x14ac:dyDescent="0.3">
      <c r="A3640" s="17" t="str">
        <f>"62264"</f>
        <v>62264</v>
      </c>
      <c r="B3640" s="5" t="s">
        <v>3795</v>
      </c>
      <c r="C3640" s="17">
        <v>20030801</v>
      </c>
      <c r="D3640" s="17">
        <v>22991231</v>
      </c>
      <c r="E3640" s="25">
        <v>451.6</v>
      </c>
    </row>
    <row r="3641" spans="1:5" ht="26" x14ac:dyDescent="0.3">
      <c r="A3641" s="17" t="str">
        <f>"62267"</f>
        <v>62267</v>
      </c>
      <c r="B3641" s="5" t="s">
        <v>3796</v>
      </c>
      <c r="C3641" s="17">
        <v>20090101</v>
      </c>
      <c r="D3641" s="17">
        <v>22991231</v>
      </c>
      <c r="E3641" s="25">
        <v>348.6</v>
      </c>
    </row>
    <row r="3642" spans="1:5" ht="26" x14ac:dyDescent="0.3">
      <c r="A3642" s="17" t="str">
        <f>"62268"</f>
        <v>62268</v>
      </c>
      <c r="B3642" s="5" t="s">
        <v>3797</v>
      </c>
      <c r="C3642" s="17">
        <v>19900701</v>
      </c>
      <c r="D3642" s="17">
        <v>22991231</v>
      </c>
      <c r="E3642" s="25">
        <v>451.6</v>
      </c>
    </row>
    <row r="3643" spans="1:5" x14ac:dyDescent="0.3">
      <c r="A3643" s="17" t="str">
        <f>"62269"</f>
        <v>62269</v>
      </c>
      <c r="B3643" s="5" t="s">
        <v>3798</v>
      </c>
      <c r="C3643" s="17">
        <v>19900701</v>
      </c>
      <c r="D3643" s="17">
        <v>22991231</v>
      </c>
      <c r="E3643" s="25">
        <v>652.27</v>
      </c>
    </row>
    <row r="3644" spans="1:5" ht="26" x14ac:dyDescent="0.3">
      <c r="A3644" s="17" t="str">
        <f>"62270"</f>
        <v>62270</v>
      </c>
      <c r="B3644" s="5" t="s">
        <v>3799</v>
      </c>
      <c r="C3644" s="17">
        <v>19900101</v>
      </c>
      <c r="D3644" s="17">
        <v>22991231</v>
      </c>
      <c r="E3644" s="25">
        <v>342.64</v>
      </c>
    </row>
    <row r="3645" spans="1:5" ht="26" x14ac:dyDescent="0.3">
      <c r="A3645" s="17" t="str">
        <f>"62272"</f>
        <v>62272</v>
      </c>
      <c r="B3645" s="5" t="s">
        <v>3800</v>
      </c>
      <c r="C3645" s="17">
        <v>19900101</v>
      </c>
      <c r="D3645" s="17">
        <v>22991231</v>
      </c>
      <c r="E3645" s="25">
        <v>342.64</v>
      </c>
    </row>
    <row r="3646" spans="1:5" x14ac:dyDescent="0.3">
      <c r="A3646" s="17" t="str">
        <f>"62273"</f>
        <v>62273</v>
      </c>
      <c r="B3646" s="5" t="s">
        <v>3801</v>
      </c>
      <c r="C3646" s="17">
        <v>19900101</v>
      </c>
      <c r="D3646" s="17">
        <v>22991231</v>
      </c>
      <c r="E3646" s="25">
        <v>342.64</v>
      </c>
    </row>
    <row r="3647" spans="1:5" ht="26" x14ac:dyDescent="0.3">
      <c r="A3647" s="17" t="str">
        <f>"62280"</f>
        <v>62280</v>
      </c>
      <c r="B3647" s="5" t="s">
        <v>3802</v>
      </c>
      <c r="C3647" s="17">
        <v>19900101</v>
      </c>
      <c r="D3647" s="17">
        <v>22991231</v>
      </c>
      <c r="E3647" s="25">
        <v>451.6</v>
      </c>
    </row>
    <row r="3648" spans="1:5" ht="26" x14ac:dyDescent="0.3">
      <c r="A3648" s="17" t="str">
        <f>"62281"</f>
        <v>62281</v>
      </c>
      <c r="B3648" s="5" t="s">
        <v>3803</v>
      </c>
      <c r="C3648" s="17">
        <v>19920115</v>
      </c>
      <c r="D3648" s="17">
        <v>22991231</v>
      </c>
      <c r="E3648" s="25">
        <v>451.6</v>
      </c>
    </row>
    <row r="3649" spans="1:5" ht="26" x14ac:dyDescent="0.3">
      <c r="A3649" s="17" t="str">
        <f>"62282"</f>
        <v>62282</v>
      </c>
      <c r="B3649" s="5" t="s">
        <v>3804</v>
      </c>
      <c r="C3649" s="17">
        <v>19900101</v>
      </c>
      <c r="D3649" s="17">
        <v>22991231</v>
      </c>
      <c r="E3649" s="25">
        <v>451.6</v>
      </c>
    </row>
    <row r="3650" spans="1:5" ht="26" x14ac:dyDescent="0.3">
      <c r="A3650" s="17" t="str">
        <f>"62284"</f>
        <v>62284</v>
      </c>
      <c r="B3650" s="5" t="s">
        <v>3805</v>
      </c>
      <c r="C3650" s="17">
        <v>19900101</v>
      </c>
      <c r="D3650" s="17">
        <v>22991231</v>
      </c>
      <c r="E3650" s="25">
        <v>0</v>
      </c>
    </row>
    <row r="3651" spans="1:5" ht="26" x14ac:dyDescent="0.3">
      <c r="A3651" s="17" t="str">
        <f>"62287"</f>
        <v>62287</v>
      </c>
      <c r="B3651" s="5" t="s">
        <v>3806</v>
      </c>
      <c r="C3651" s="17">
        <v>19910401</v>
      </c>
      <c r="D3651" s="17">
        <v>22991231</v>
      </c>
      <c r="E3651" s="25">
        <v>857.51</v>
      </c>
    </row>
    <row r="3652" spans="1:5" ht="26" x14ac:dyDescent="0.3">
      <c r="A3652" s="17" t="str">
        <f>"62290"</f>
        <v>62290</v>
      </c>
      <c r="B3652" s="5" t="s">
        <v>3807</v>
      </c>
      <c r="C3652" s="17">
        <v>19900101</v>
      </c>
      <c r="D3652" s="17">
        <v>22991231</v>
      </c>
      <c r="E3652" s="25">
        <v>0</v>
      </c>
    </row>
    <row r="3653" spans="1:5" ht="26" x14ac:dyDescent="0.3">
      <c r="A3653" s="17" t="str">
        <f>"62291"</f>
        <v>62291</v>
      </c>
      <c r="B3653" s="5" t="s">
        <v>3808</v>
      </c>
      <c r="C3653" s="17">
        <v>19900101</v>
      </c>
      <c r="D3653" s="17">
        <v>22991231</v>
      </c>
      <c r="E3653" s="25">
        <v>0</v>
      </c>
    </row>
    <row r="3654" spans="1:5" x14ac:dyDescent="0.3">
      <c r="A3654" s="17" t="str">
        <f>"62292"</f>
        <v>62292</v>
      </c>
      <c r="B3654" s="5" t="s">
        <v>3809</v>
      </c>
      <c r="C3654" s="17">
        <v>19900101</v>
      </c>
      <c r="D3654" s="17">
        <v>22991231</v>
      </c>
      <c r="E3654" s="25">
        <v>857.51</v>
      </c>
    </row>
    <row r="3655" spans="1:5" ht="26" x14ac:dyDescent="0.3">
      <c r="A3655" s="17" t="str">
        <f>"62294"</f>
        <v>62294</v>
      </c>
      <c r="B3655" s="5" t="s">
        <v>3810</v>
      </c>
      <c r="C3655" s="17">
        <v>19900101</v>
      </c>
      <c r="D3655" s="17">
        <v>22991231</v>
      </c>
      <c r="E3655" s="25">
        <v>451.6</v>
      </c>
    </row>
    <row r="3656" spans="1:5" ht="26" x14ac:dyDescent="0.3">
      <c r="A3656" s="17" t="str">
        <f>"62302"</f>
        <v>62302</v>
      </c>
      <c r="B3656" s="5" t="s">
        <v>3811</v>
      </c>
      <c r="C3656" s="17">
        <v>20230101</v>
      </c>
      <c r="D3656" s="17">
        <v>22991231</v>
      </c>
      <c r="E3656" s="25">
        <v>0</v>
      </c>
    </row>
    <row r="3657" spans="1:5" ht="26" x14ac:dyDescent="0.3">
      <c r="A3657" s="17" t="str">
        <f>"62303"</f>
        <v>62303</v>
      </c>
      <c r="B3657" s="5" t="s">
        <v>3812</v>
      </c>
      <c r="C3657" s="17">
        <v>20230101</v>
      </c>
      <c r="D3657" s="17">
        <v>22991231</v>
      </c>
      <c r="E3657" s="25">
        <v>0</v>
      </c>
    </row>
    <row r="3658" spans="1:5" ht="26" x14ac:dyDescent="0.3">
      <c r="A3658" s="17" t="str">
        <f>"62304"</f>
        <v>62304</v>
      </c>
      <c r="B3658" s="5" t="s">
        <v>3813</v>
      </c>
      <c r="C3658" s="17">
        <v>20230101</v>
      </c>
      <c r="D3658" s="17">
        <v>22991231</v>
      </c>
      <c r="E3658" s="25">
        <v>0</v>
      </c>
    </row>
    <row r="3659" spans="1:5" ht="26" x14ac:dyDescent="0.3">
      <c r="A3659" s="17" t="str">
        <f>"62305"</f>
        <v>62305</v>
      </c>
      <c r="B3659" s="5" t="s">
        <v>3814</v>
      </c>
      <c r="C3659" s="17">
        <v>20230101</v>
      </c>
      <c r="D3659" s="17">
        <v>22991231</v>
      </c>
      <c r="E3659" s="25">
        <v>0</v>
      </c>
    </row>
    <row r="3660" spans="1:5" ht="26" x14ac:dyDescent="0.3">
      <c r="A3660" s="17" t="str">
        <f>"62320"</f>
        <v>62320</v>
      </c>
      <c r="B3660" s="5" t="s">
        <v>3815</v>
      </c>
      <c r="C3660" s="17">
        <v>20170101</v>
      </c>
      <c r="D3660" s="17">
        <v>22991231</v>
      </c>
      <c r="E3660" s="25">
        <v>342.64</v>
      </c>
    </row>
    <row r="3661" spans="1:5" ht="26" x14ac:dyDescent="0.3">
      <c r="A3661" s="17" t="str">
        <f>"62321"</f>
        <v>62321</v>
      </c>
      <c r="B3661" s="5" t="s">
        <v>3816</v>
      </c>
      <c r="C3661" s="17">
        <v>20170101</v>
      </c>
      <c r="D3661" s="17">
        <v>22991231</v>
      </c>
      <c r="E3661" s="25">
        <v>342.64</v>
      </c>
    </row>
    <row r="3662" spans="1:5" x14ac:dyDescent="0.3">
      <c r="A3662" s="17" t="str">
        <f>"62322"</f>
        <v>62322</v>
      </c>
      <c r="B3662" s="5" t="s">
        <v>3817</v>
      </c>
      <c r="C3662" s="17">
        <v>20170101</v>
      </c>
      <c r="D3662" s="17">
        <v>22991231</v>
      </c>
      <c r="E3662" s="25">
        <v>451.6</v>
      </c>
    </row>
    <row r="3663" spans="1:5" ht="26" x14ac:dyDescent="0.3">
      <c r="A3663" s="17" t="str">
        <f>"62323"</f>
        <v>62323</v>
      </c>
      <c r="B3663" s="5" t="s">
        <v>3818</v>
      </c>
      <c r="C3663" s="17">
        <v>20170101</v>
      </c>
      <c r="D3663" s="17">
        <v>22991231</v>
      </c>
      <c r="E3663" s="25">
        <v>342.64</v>
      </c>
    </row>
    <row r="3664" spans="1:5" ht="26" x14ac:dyDescent="0.3">
      <c r="A3664" s="17" t="str">
        <f>"62324"</f>
        <v>62324</v>
      </c>
      <c r="B3664" s="5" t="s">
        <v>3819</v>
      </c>
      <c r="C3664" s="17">
        <v>20170101</v>
      </c>
      <c r="D3664" s="17">
        <v>22991231</v>
      </c>
      <c r="E3664" s="25">
        <v>451.6</v>
      </c>
    </row>
    <row r="3665" spans="1:5" ht="39" x14ac:dyDescent="0.3">
      <c r="A3665" s="17" t="str">
        <f>"62325"</f>
        <v>62325</v>
      </c>
      <c r="B3665" s="5" t="s">
        <v>3820</v>
      </c>
      <c r="C3665" s="17">
        <v>20170101</v>
      </c>
      <c r="D3665" s="17">
        <v>22991231</v>
      </c>
      <c r="E3665" s="25">
        <v>451.6</v>
      </c>
    </row>
    <row r="3666" spans="1:5" ht="26" x14ac:dyDescent="0.3">
      <c r="A3666" s="17" t="str">
        <f>"62326"</f>
        <v>62326</v>
      </c>
      <c r="B3666" s="5" t="s">
        <v>3821</v>
      </c>
      <c r="C3666" s="17">
        <v>20170101</v>
      </c>
      <c r="D3666" s="17">
        <v>22991231</v>
      </c>
      <c r="E3666" s="25">
        <v>451.6</v>
      </c>
    </row>
    <row r="3667" spans="1:5" ht="26" x14ac:dyDescent="0.3">
      <c r="A3667" s="17" t="str">
        <f>"62327"</f>
        <v>62327</v>
      </c>
      <c r="B3667" s="5" t="s">
        <v>3822</v>
      </c>
      <c r="C3667" s="17">
        <v>20170101</v>
      </c>
      <c r="D3667" s="17">
        <v>22991231</v>
      </c>
      <c r="E3667" s="25">
        <v>451.6</v>
      </c>
    </row>
    <row r="3668" spans="1:5" ht="26" x14ac:dyDescent="0.3">
      <c r="A3668" s="17" t="str">
        <f>"62328"</f>
        <v>62328</v>
      </c>
      <c r="B3668" s="5" t="s">
        <v>3823</v>
      </c>
      <c r="C3668" s="17">
        <v>20200101</v>
      </c>
      <c r="D3668" s="17">
        <v>22991231</v>
      </c>
      <c r="E3668" s="25">
        <v>342.64</v>
      </c>
    </row>
    <row r="3669" spans="1:5" ht="26" x14ac:dyDescent="0.3">
      <c r="A3669" s="17" t="str">
        <f>"62329"</f>
        <v>62329</v>
      </c>
      <c r="B3669" s="5" t="s">
        <v>3824</v>
      </c>
      <c r="C3669" s="17">
        <v>20200101</v>
      </c>
      <c r="D3669" s="17">
        <v>22991231</v>
      </c>
      <c r="E3669" s="25">
        <v>342.64</v>
      </c>
    </row>
    <row r="3670" spans="1:5" ht="26" x14ac:dyDescent="0.3">
      <c r="A3670" s="17" t="str">
        <f>"62350"</f>
        <v>62350</v>
      </c>
      <c r="B3670" s="5" t="s">
        <v>3825</v>
      </c>
      <c r="C3670" s="17">
        <v>19960101</v>
      </c>
      <c r="D3670" s="17">
        <v>22991231</v>
      </c>
      <c r="E3670" s="25">
        <v>4071.49</v>
      </c>
    </row>
    <row r="3671" spans="1:5" ht="39" x14ac:dyDescent="0.3">
      <c r="A3671" s="17" t="str">
        <f>"62351"</f>
        <v>62351</v>
      </c>
      <c r="B3671" s="5" t="s">
        <v>3826</v>
      </c>
      <c r="C3671" s="17">
        <v>19960101</v>
      </c>
      <c r="D3671" s="17">
        <v>22991231</v>
      </c>
      <c r="E3671" s="24" t="s">
        <v>7128</v>
      </c>
    </row>
    <row r="3672" spans="1:5" x14ac:dyDescent="0.3">
      <c r="A3672" s="17" t="str">
        <f>"62355"</f>
        <v>62355</v>
      </c>
      <c r="B3672" s="5" t="s">
        <v>3827</v>
      </c>
      <c r="C3672" s="17">
        <v>19960101</v>
      </c>
      <c r="D3672" s="17">
        <v>22991231</v>
      </c>
      <c r="E3672" s="25">
        <v>857.51</v>
      </c>
    </row>
    <row r="3673" spans="1:5" ht="26" x14ac:dyDescent="0.3">
      <c r="A3673" s="17" t="str">
        <f>"62360"</f>
        <v>62360</v>
      </c>
      <c r="B3673" s="5" t="s">
        <v>3828</v>
      </c>
      <c r="C3673" s="17">
        <v>19960101</v>
      </c>
      <c r="D3673" s="17">
        <v>22991231</v>
      </c>
      <c r="E3673" s="25">
        <v>13270.41</v>
      </c>
    </row>
    <row r="3674" spans="1:5" x14ac:dyDescent="0.3">
      <c r="A3674" s="17" t="str">
        <f>"62361"</f>
        <v>62361</v>
      </c>
      <c r="B3674" s="5" t="s">
        <v>3829</v>
      </c>
      <c r="C3674" s="17">
        <v>19960101</v>
      </c>
      <c r="D3674" s="17">
        <v>22991231</v>
      </c>
      <c r="E3674" s="25">
        <v>13379.63</v>
      </c>
    </row>
    <row r="3675" spans="1:5" ht="26" x14ac:dyDescent="0.3">
      <c r="A3675" s="17" t="str">
        <f>"62362"</f>
        <v>62362</v>
      </c>
      <c r="B3675" s="5" t="s">
        <v>3830</v>
      </c>
      <c r="C3675" s="17">
        <v>19960101</v>
      </c>
      <c r="D3675" s="17">
        <v>22991231</v>
      </c>
      <c r="E3675" s="25">
        <v>13405.04</v>
      </c>
    </row>
    <row r="3676" spans="1:5" ht="26" x14ac:dyDescent="0.3">
      <c r="A3676" s="17" t="str">
        <f>"62365"</f>
        <v>62365</v>
      </c>
      <c r="B3676" s="5" t="s">
        <v>3831</v>
      </c>
      <c r="C3676" s="17">
        <v>19960101</v>
      </c>
      <c r="D3676" s="17">
        <v>22991231</v>
      </c>
      <c r="E3676" s="25">
        <v>2877.66</v>
      </c>
    </row>
    <row r="3677" spans="1:5" ht="26" x14ac:dyDescent="0.3">
      <c r="A3677" s="17" t="str">
        <f>"62367"</f>
        <v>62367</v>
      </c>
      <c r="B3677" s="5" t="s">
        <v>3832</v>
      </c>
      <c r="C3677" s="17">
        <v>20230101</v>
      </c>
      <c r="D3677" s="17">
        <v>22991231</v>
      </c>
      <c r="E3677" s="25">
        <v>13.13</v>
      </c>
    </row>
    <row r="3678" spans="1:5" ht="26" x14ac:dyDescent="0.3">
      <c r="A3678" s="17" t="str">
        <f>"62368"</f>
        <v>62368</v>
      </c>
      <c r="B3678" s="5" t="s">
        <v>3833</v>
      </c>
      <c r="C3678" s="17">
        <v>20230101</v>
      </c>
      <c r="D3678" s="17">
        <v>22991231</v>
      </c>
      <c r="E3678" s="25">
        <v>18.14</v>
      </c>
    </row>
    <row r="3679" spans="1:5" ht="26" x14ac:dyDescent="0.3">
      <c r="A3679" s="17" t="str">
        <f>"62369"</f>
        <v>62369</v>
      </c>
      <c r="B3679" s="5" t="s">
        <v>3834</v>
      </c>
      <c r="C3679" s="17">
        <v>20120101</v>
      </c>
      <c r="D3679" s="17">
        <v>22991231</v>
      </c>
      <c r="E3679" s="25">
        <v>63.17</v>
      </c>
    </row>
    <row r="3680" spans="1:5" ht="26" x14ac:dyDescent="0.3">
      <c r="A3680" s="17" t="str">
        <f>"62370"</f>
        <v>62370</v>
      </c>
      <c r="B3680" s="5" t="s">
        <v>3835</v>
      </c>
      <c r="C3680" s="17">
        <v>20120101</v>
      </c>
      <c r="D3680" s="17">
        <v>22991231</v>
      </c>
      <c r="E3680" s="25">
        <v>55.36</v>
      </c>
    </row>
    <row r="3681" spans="1:5" ht="26" x14ac:dyDescent="0.3">
      <c r="A3681" s="17" t="str">
        <f>"62380"</f>
        <v>62380</v>
      </c>
      <c r="B3681" s="5" t="s">
        <v>3836</v>
      </c>
      <c r="C3681" s="17">
        <v>20170101</v>
      </c>
      <c r="D3681" s="17">
        <v>22991231</v>
      </c>
      <c r="E3681" s="25">
        <v>3240.75</v>
      </c>
    </row>
    <row r="3682" spans="1:5" ht="39" x14ac:dyDescent="0.3">
      <c r="A3682" s="17" t="str">
        <f>"63001"</f>
        <v>63001</v>
      </c>
      <c r="B3682" s="5" t="s">
        <v>3837</v>
      </c>
      <c r="C3682" s="17">
        <v>19900101</v>
      </c>
      <c r="D3682" s="17">
        <v>22991231</v>
      </c>
      <c r="E3682" s="25">
        <v>3240.75</v>
      </c>
    </row>
    <row r="3683" spans="1:5" ht="39" x14ac:dyDescent="0.3">
      <c r="A3683" s="17" t="str">
        <f>"63003"</f>
        <v>63003</v>
      </c>
      <c r="B3683" s="5" t="s">
        <v>3838</v>
      </c>
      <c r="C3683" s="17">
        <v>19900101</v>
      </c>
      <c r="D3683" s="17">
        <v>22991231</v>
      </c>
      <c r="E3683" s="25">
        <v>3240.75</v>
      </c>
    </row>
    <row r="3684" spans="1:5" ht="39" x14ac:dyDescent="0.3">
      <c r="A3684" s="17" t="str">
        <f>"63005"</f>
        <v>63005</v>
      </c>
      <c r="B3684" s="5" t="s">
        <v>3839</v>
      </c>
      <c r="C3684" s="17">
        <v>19900101</v>
      </c>
      <c r="D3684" s="17">
        <v>22991231</v>
      </c>
      <c r="E3684" s="25">
        <v>3240.75</v>
      </c>
    </row>
    <row r="3685" spans="1:5" ht="39" x14ac:dyDescent="0.3">
      <c r="A3685" s="17" t="str">
        <f>"63011"</f>
        <v>63011</v>
      </c>
      <c r="B3685" s="5" t="s">
        <v>3840</v>
      </c>
      <c r="C3685" s="17">
        <v>19900101</v>
      </c>
      <c r="D3685" s="17">
        <v>22991231</v>
      </c>
      <c r="E3685" s="24" t="s">
        <v>7128</v>
      </c>
    </row>
    <row r="3686" spans="1:5" ht="26" x14ac:dyDescent="0.3">
      <c r="A3686" s="17" t="str">
        <f>"63012"</f>
        <v>63012</v>
      </c>
      <c r="B3686" s="5" t="s">
        <v>3841</v>
      </c>
      <c r="C3686" s="17">
        <v>19910401</v>
      </c>
      <c r="D3686" s="17">
        <v>22991231</v>
      </c>
      <c r="E3686" s="24" t="s">
        <v>7128</v>
      </c>
    </row>
    <row r="3687" spans="1:5" ht="39" x14ac:dyDescent="0.3">
      <c r="A3687" s="17" t="str">
        <f>"63015"</f>
        <v>63015</v>
      </c>
      <c r="B3687" s="5" t="s">
        <v>3842</v>
      </c>
      <c r="C3687" s="17">
        <v>19900101</v>
      </c>
      <c r="D3687" s="17">
        <v>22991231</v>
      </c>
      <c r="E3687" s="24" t="s">
        <v>7128</v>
      </c>
    </row>
    <row r="3688" spans="1:5" ht="39" x14ac:dyDescent="0.3">
      <c r="A3688" s="17" t="str">
        <f>"63016"</f>
        <v>63016</v>
      </c>
      <c r="B3688" s="5" t="s">
        <v>3843</v>
      </c>
      <c r="C3688" s="17">
        <v>19900101</v>
      </c>
      <c r="D3688" s="17">
        <v>22991231</v>
      </c>
      <c r="E3688" s="24" t="s">
        <v>7128</v>
      </c>
    </row>
    <row r="3689" spans="1:5" ht="39" x14ac:dyDescent="0.3">
      <c r="A3689" s="17" t="str">
        <f>"63017"</f>
        <v>63017</v>
      </c>
      <c r="B3689" s="5" t="s">
        <v>3844</v>
      </c>
      <c r="C3689" s="17">
        <v>19900101</v>
      </c>
      <c r="D3689" s="17">
        <v>22991231</v>
      </c>
      <c r="E3689" s="24" t="s">
        <v>7128</v>
      </c>
    </row>
    <row r="3690" spans="1:5" ht="39" x14ac:dyDescent="0.3">
      <c r="A3690" s="17" t="str">
        <f>"63020"</f>
        <v>63020</v>
      </c>
      <c r="B3690" s="5" t="s">
        <v>3845</v>
      </c>
      <c r="C3690" s="17">
        <v>19900101</v>
      </c>
      <c r="D3690" s="17">
        <v>22991231</v>
      </c>
      <c r="E3690" s="25">
        <v>3240.75</v>
      </c>
    </row>
    <row r="3691" spans="1:5" ht="39" x14ac:dyDescent="0.3">
      <c r="A3691" s="17" t="str">
        <f>"63030"</f>
        <v>63030</v>
      </c>
      <c r="B3691" s="5" t="s">
        <v>3846</v>
      </c>
      <c r="C3691" s="17">
        <v>19900101</v>
      </c>
      <c r="D3691" s="17">
        <v>22991231</v>
      </c>
      <c r="E3691" s="25">
        <v>3240.75</v>
      </c>
    </row>
    <row r="3692" spans="1:5" ht="39" x14ac:dyDescent="0.3">
      <c r="A3692" s="17" t="str">
        <f>"63035"</f>
        <v>63035</v>
      </c>
      <c r="B3692" s="5" t="s">
        <v>3847</v>
      </c>
      <c r="C3692" s="17">
        <v>19900101</v>
      </c>
      <c r="D3692" s="17">
        <v>22991231</v>
      </c>
      <c r="E3692" s="24" t="s">
        <v>7128</v>
      </c>
    </row>
    <row r="3693" spans="1:5" ht="39" x14ac:dyDescent="0.3">
      <c r="A3693" s="17" t="str">
        <f>"63040"</f>
        <v>63040</v>
      </c>
      <c r="B3693" s="5" t="s">
        <v>3848</v>
      </c>
      <c r="C3693" s="17">
        <v>19900101</v>
      </c>
      <c r="D3693" s="17">
        <v>22991231</v>
      </c>
      <c r="E3693" s="24" t="s">
        <v>7128</v>
      </c>
    </row>
    <row r="3694" spans="1:5" ht="39" x14ac:dyDescent="0.3">
      <c r="A3694" s="17" t="str">
        <f>"63042"</f>
        <v>63042</v>
      </c>
      <c r="B3694" s="5" t="s">
        <v>3849</v>
      </c>
      <c r="C3694" s="17">
        <v>19900101</v>
      </c>
      <c r="D3694" s="17">
        <v>22991231</v>
      </c>
      <c r="E3694" s="25">
        <v>3240.75</v>
      </c>
    </row>
    <row r="3695" spans="1:5" ht="52" x14ac:dyDescent="0.3">
      <c r="A3695" s="17" t="str">
        <f>"63043"</f>
        <v>63043</v>
      </c>
      <c r="B3695" s="5" t="s">
        <v>3850</v>
      </c>
      <c r="C3695" s="17">
        <v>20010101</v>
      </c>
      <c r="D3695" s="17">
        <v>22991231</v>
      </c>
      <c r="E3695" s="24" t="s">
        <v>7128</v>
      </c>
    </row>
    <row r="3696" spans="1:5" ht="52" x14ac:dyDescent="0.3">
      <c r="A3696" s="17" t="str">
        <f>"63044"</f>
        <v>63044</v>
      </c>
      <c r="B3696" s="5" t="s">
        <v>3851</v>
      </c>
      <c r="C3696" s="17">
        <v>20010101</v>
      </c>
      <c r="D3696" s="17">
        <v>22991231</v>
      </c>
      <c r="E3696" s="25">
        <v>0</v>
      </c>
    </row>
    <row r="3697" spans="1:5" ht="26" x14ac:dyDescent="0.3">
      <c r="A3697" s="17" t="str">
        <f>"63045"</f>
        <v>63045</v>
      </c>
      <c r="B3697" s="5" t="s">
        <v>3852</v>
      </c>
      <c r="C3697" s="17">
        <v>20230101</v>
      </c>
      <c r="D3697" s="17">
        <v>22991231</v>
      </c>
      <c r="E3697" s="25">
        <v>3240.75</v>
      </c>
    </row>
    <row r="3698" spans="1:5" ht="26" x14ac:dyDescent="0.3">
      <c r="A3698" s="17" t="str">
        <f>"63046"</f>
        <v>63046</v>
      </c>
      <c r="B3698" s="5" t="s">
        <v>3853</v>
      </c>
      <c r="C3698" s="17">
        <v>20230101</v>
      </c>
      <c r="D3698" s="17">
        <v>22991231</v>
      </c>
      <c r="E3698" s="25">
        <v>3240.75</v>
      </c>
    </row>
    <row r="3699" spans="1:5" ht="26" x14ac:dyDescent="0.3">
      <c r="A3699" s="17" t="str">
        <f>"63047"</f>
        <v>63047</v>
      </c>
      <c r="B3699" s="5" t="s">
        <v>3854</v>
      </c>
      <c r="C3699" s="17">
        <v>20230101</v>
      </c>
      <c r="D3699" s="17">
        <v>22991231</v>
      </c>
      <c r="E3699" s="25">
        <v>3240.75</v>
      </c>
    </row>
    <row r="3700" spans="1:5" ht="26" x14ac:dyDescent="0.3">
      <c r="A3700" s="17" t="str">
        <f>"63055"</f>
        <v>63055</v>
      </c>
      <c r="B3700" s="5" t="s">
        <v>3855</v>
      </c>
      <c r="C3700" s="17">
        <v>20230101</v>
      </c>
      <c r="D3700" s="17">
        <v>22991231</v>
      </c>
      <c r="E3700" s="25">
        <v>3240.75</v>
      </c>
    </row>
    <row r="3701" spans="1:5" ht="26" x14ac:dyDescent="0.3">
      <c r="A3701" s="17" t="str">
        <f>"63056"</f>
        <v>63056</v>
      </c>
      <c r="B3701" s="5" t="s">
        <v>3856</v>
      </c>
      <c r="C3701" s="17">
        <v>20230101</v>
      </c>
      <c r="D3701" s="17">
        <v>22991231</v>
      </c>
      <c r="E3701" s="25">
        <v>3240.75</v>
      </c>
    </row>
    <row r="3702" spans="1:5" ht="26" x14ac:dyDescent="0.3">
      <c r="A3702" s="17" t="str">
        <f>"63064"</f>
        <v>63064</v>
      </c>
      <c r="B3702" s="5" t="s">
        <v>3857</v>
      </c>
      <c r="C3702" s="17">
        <v>19900101</v>
      </c>
      <c r="D3702" s="17">
        <v>22991231</v>
      </c>
      <c r="E3702" s="24" t="s">
        <v>7128</v>
      </c>
    </row>
    <row r="3703" spans="1:5" ht="26" x14ac:dyDescent="0.3">
      <c r="A3703" s="17" t="str">
        <f>"63075"</f>
        <v>63075</v>
      </c>
      <c r="B3703" s="5" t="s">
        <v>3858</v>
      </c>
      <c r="C3703" s="17">
        <v>19900101</v>
      </c>
      <c r="D3703" s="17">
        <v>22991231</v>
      </c>
      <c r="E3703" s="24" t="s">
        <v>7128</v>
      </c>
    </row>
    <row r="3704" spans="1:5" ht="39" x14ac:dyDescent="0.3">
      <c r="A3704" s="17" t="str">
        <f>"63076"</f>
        <v>63076</v>
      </c>
      <c r="B3704" s="5" t="s">
        <v>3859</v>
      </c>
      <c r="C3704" s="17">
        <v>19900101</v>
      </c>
      <c r="D3704" s="17">
        <v>22991231</v>
      </c>
      <c r="E3704" s="24" t="s">
        <v>7128</v>
      </c>
    </row>
    <row r="3705" spans="1:5" ht="26" x14ac:dyDescent="0.3">
      <c r="A3705" s="17" t="str">
        <f>"63600"</f>
        <v>63600</v>
      </c>
      <c r="B3705" s="5" t="s">
        <v>3860</v>
      </c>
      <c r="C3705" s="17">
        <v>19900101</v>
      </c>
      <c r="D3705" s="17">
        <v>22991231</v>
      </c>
      <c r="E3705" s="25">
        <v>857.51</v>
      </c>
    </row>
    <row r="3706" spans="1:5" x14ac:dyDescent="0.3">
      <c r="A3706" s="17" t="str">
        <f>"63610"</f>
        <v>63610</v>
      </c>
      <c r="B3706" s="5" t="s">
        <v>3861</v>
      </c>
      <c r="C3706" s="17">
        <v>19900101</v>
      </c>
      <c r="D3706" s="17">
        <v>22991231</v>
      </c>
      <c r="E3706" s="25">
        <v>1201.3499999999999</v>
      </c>
    </row>
    <row r="3707" spans="1:5" ht="26" x14ac:dyDescent="0.3">
      <c r="A3707" s="17" t="str">
        <f>"63620"</f>
        <v>63620</v>
      </c>
      <c r="B3707" s="5" t="s">
        <v>3862</v>
      </c>
      <c r="C3707" s="17">
        <v>20090101</v>
      </c>
      <c r="D3707" s="17">
        <v>22991231</v>
      </c>
      <c r="E3707" s="24" t="s">
        <v>7128</v>
      </c>
    </row>
    <row r="3708" spans="1:5" ht="26" x14ac:dyDescent="0.3">
      <c r="A3708" s="17" t="str">
        <f>"63621"</f>
        <v>63621</v>
      </c>
      <c r="B3708" s="5" t="s">
        <v>3863</v>
      </c>
      <c r="C3708" s="17">
        <v>20090101</v>
      </c>
      <c r="D3708" s="17">
        <v>22991231</v>
      </c>
      <c r="E3708" s="24" t="s">
        <v>7128</v>
      </c>
    </row>
    <row r="3709" spans="1:5" ht="26" x14ac:dyDescent="0.3">
      <c r="A3709" s="17" t="str">
        <f>"63650"</f>
        <v>63650</v>
      </c>
      <c r="B3709" s="5" t="s">
        <v>3864</v>
      </c>
      <c r="C3709" s="17">
        <v>19900101</v>
      </c>
      <c r="D3709" s="17">
        <v>22991231</v>
      </c>
      <c r="E3709" s="25">
        <v>4726.66</v>
      </c>
    </row>
    <row r="3710" spans="1:5" ht="26" x14ac:dyDescent="0.3">
      <c r="A3710" s="17" t="str">
        <f>"63655"</f>
        <v>63655</v>
      </c>
      <c r="B3710" s="5" t="s">
        <v>3865</v>
      </c>
      <c r="C3710" s="17">
        <v>19900101</v>
      </c>
      <c r="D3710" s="17">
        <v>22991231</v>
      </c>
      <c r="E3710" s="25">
        <v>17171.599999999999</v>
      </c>
    </row>
    <row r="3711" spans="1:5" ht="26" x14ac:dyDescent="0.3">
      <c r="A3711" s="17" t="str">
        <f>"63661"</f>
        <v>63661</v>
      </c>
      <c r="B3711" s="5" t="s">
        <v>3866</v>
      </c>
      <c r="C3711" s="17">
        <v>20100101</v>
      </c>
      <c r="D3711" s="17">
        <v>22991231</v>
      </c>
      <c r="E3711" s="25">
        <v>857.51</v>
      </c>
    </row>
    <row r="3712" spans="1:5" ht="26" x14ac:dyDescent="0.3">
      <c r="A3712" s="17" t="str">
        <f>"63662"</f>
        <v>63662</v>
      </c>
      <c r="B3712" s="5" t="s">
        <v>3867</v>
      </c>
      <c r="C3712" s="17">
        <v>20100101</v>
      </c>
      <c r="D3712" s="17">
        <v>22991231</v>
      </c>
      <c r="E3712" s="25">
        <v>1813.03</v>
      </c>
    </row>
    <row r="3713" spans="1:5" ht="26" x14ac:dyDescent="0.3">
      <c r="A3713" s="17" t="str">
        <f>"63663"</f>
        <v>63663</v>
      </c>
      <c r="B3713" s="5" t="s">
        <v>3868</v>
      </c>
      <c r="C3713" s="17">
        <v>20100101</v>
      </c>
      <c r="D3713" s="17">
        <v>22991231</v>
      </c>
      <c r="E3713" s="25">
        <v>4643.07</v>
      </c>
    </row>
    <row r="3714" spans="1:5" ht="26" x14ac:dyDescent="0.3">
      <c r="A3714" s="17" t="str">
        <f>"63664"</f>
        <v>63664</v>
      </c>
      <c r="B3714" s="5" t="s">
        <v>3869</v>
      </c>
      <c r="C3714" s="17">
        <v>20100101</v>
      </c>
      <c r="D3714" s="17">
        <v>22991231</v>
      </c>
      <c r="E3714" s="25">
        <v>9848.06</v>
      </c>
    </row>
    <row r="3715" spans="1:5" ht="26" x14ac:dyDescent="0.3">
      <c r="A3715" s="17" t="str">
        <f>"63685"</f>
        <v>63685</v>
      </c>
      <c r="B3715" s="5" t="s">
        <v>3870</v>
      </c>
      <c r="C3715" s="17">
        <v>19900101</v>
      </c>
      <c r="D3715" s="17">
        <v>22991231</v>
      </c>
      <c r="E3715" s="25">
        <v>24140.44</v>
      </c>
    </row>
    <row r="3716" spans="1:5" ht="26" x14ac:dyDescent="0.3">
      <c r="A3716" s="17" t="str">
        <f>"63688"</f>
        <v>63688</v>
      </c>
      <c r="B3716" s="5" t="s">
        <v>3871</v>
      </c>
      <c r="C3716" s="17">
        <v>19900101</v>
      </c>
      <c r="D3716" s="17">
        <v>22991231</v>
      </c>
      <c r="E3716" s="25">
        <v>1813.03</v>
      </c>
    </row>
    <row r="3717" spans="1:5" x14ac:dyDescent="0.3">
      <c r="A3717" s="17" t="str">
        <f>"63741"</f>
        <v>63741</v>
      </c>
      <c r="B3717" s="5" t="s">
        <v>3872</v>
      </c>
      <c r="C3717" s="17">
        <v>19910401</v>
      </c>
      <c r="D3717" s="17">
        <v>22991231</v>
      </c>
      <c r="E3717" s="24" t="s">
        <v>7128</v>
      </c>
    </row>
    <row r="3718" spans="1:5" ht="26" x14ac:dyDescent="0.3">
      <c r="A3718" s="17" t="str">
        <f>"63744"</f>
        <v>63744</v>
      </c>
      <c r="B3718" s="5" t="s">
        <v>3873</v>
      </c>
      <c r="C3718" s="17">
        <v>19900101</v>
      </c>
      <c r="D3718" s="17">
        <v>22991231</v>
      </c>
      <c r="E3718" s="25">
        <v>4011.06</v>
      </c>
    </row>
    <row r="3719" spans="1:5" x14ac:dyDescent="0.3">
      <c r="A3719" s="17" t="str">
        <f>"63746"</f>
        <v>63746</v>
      </c>
      <c r="B3719" s="5" t="s">
        <v>3874</v>
      </c>
      <c r="C3719" s="17">
        <v>19900101</v>
      </c>
      <c r="D3719" s="17">
        <v>22991231</v>
      </c>
      <c r="E3719" s="25">
        <v>857.51</v>
      </c>
    </row>
    <row r="3720" spans="1:5" ht="26" x14ac:dyDescent="0.3">
      <c r="A3720" s="17" t="str">
        <f>"64400"</f>
        <v>64400</v>
      </c>
      <c r="B3720" s="5" t="s">
        <v>3875</v>
      </c>
      <c r="C3720" s="17">
        <v>19900101</v>
      </c>
      <c r="D3720" s="17">
        <v>22991231</v>
      </c>
      <c r="E3720" s="25">
        <v>76.94</v>
      </c>
    </row>
    <row r="3721" spans="1:5" ht="26" x14ac:dyDescent="0.3">
      <c r="A3721" s="17" t="str">
        <f>"64405"</f>
        <v>64405</v>
      </c>
      <c r="B3721" s="5" t="s">
        <v>3876</v>
      </c>
      <c r="C3721" s="17">
        <v>19900101</v>
      </c>
      <c r="D3721" s="17">
        <v>22991231</v>
      </c>
      <c r="E3721" s="25">
        <v>34.72</v>
      </c>
    </row>
    <row r="3722" spans="1:5" ht="26" x14ac:dyDescent="0.3">
      <c r="A3722" s="17" t="str">
        <f>"64408"</f>
        <v>64408</v>
      </c>
      <c r="B3722" s="5" t="s">
        <v>3877</v>
      </c>
      <c r="C3722" s="17">
        <v>19900101</v>
      </c>
      <c r="D3722" s="17">
        <v>22991231</v>
      </c>
      <c r="E3722" s="25">
        <v>49.73</v>
      </c>
    </row>
    <row r="3723" spans="1:5" ht="26" x14ac:dyDescent="0.3">
      <c r="A3723" s="17" t="str">
        <f>"64415"</f>
        <v>64415</v>
      </c>
      <c r="B3723" s="5" t="s">
        <v>3878</v>
      </c>
      <c r="C3723" s="17">
        <v>19900101</v>
      </c>
      <c r="D3723" s="17">
        <v>22991231</v>
      </c>
      <c r="E3723" s="25">
        <v>451.6</v>
      </c>
    </row>
    <row r="3724" spans="1:5" ht="26" x14ac:dyDescent="0.3">
      <c r="A3724" s="17" t="str">
        <f>"64416"</f>
        <v>64416</v>
      </c>
      <c r="B3724" s="5" t="s">
        <v>3879</v>
      </c>
      <c r="C3724" s="17">
        <v>20200101</v>
      </c>
      <c r="D3724" s="17">
        <v>22991231</v>
      </c>
      <c r="E3724" s="25">
        <v>451.6</v>
      </c>
    </row>
    <row r="3725" spans="1:5" ht="26" x14ac:dyDescent="0.3">
      <c r="A3725" s="17" t="str">
        <f>"64417"</f>
        <v>64417</v>
      </c>
      <c r="B3725" s="5" t="s">
        <v>3880</v>
      </c>
      <c r="C3725" s="17">
        <v>19900101</v>
      </c>
      <c r="D3725" s="17">
        <v>22991231</v>
      </c>
      <c r="E3725" s="25">
        <v>451.6</v>
      </c>
    </row>
    <row r="3726" spans="1:5" ht="26" x14ac:dyDescent="0.3">
      <c r="A3726" s="17" t="str">
        <f>"64418"</f>
        <v>64418</v>
      </c>
      <c r="B3726" s="5" t="s">
        <v>3881</v>
      </c>
      <c r="C3726" s="17">
        <v>19900101</v>
      </c>
      <c r="D3726" s="17">
        <v>22991231</v>
      </c>
      <c r="E3726" s="25">
        <v>42.85</v>
      </c>
    </row>
    <row r="3727" spans="1:5" ht="26" x14ac:dyDescent="0.3">
      <c r="A3727" s="17" t="str">
        <f>"64420"</f>
        <v>64420</v>
      </c>
      <c r="B3727" s="5" t="s">
        <v>3882</v>
      </c>
      <c r="C3727" s="17">
        <v>19900101</v>
      </c>
      <c r="D3727" s="17">
        <v>22991231</v>
      </c>
      <c r="E3727" s="25">
        <v>342.64</v>
      </c>
    </row>
    <row r="3728" spans="1:5" ht="26" x14ac:dyDescent="0.3">
      <c r="A3728" s="17" t="str">
        <f>"64421"</f>
        <v>64421</v>
      </c>
      <c r="B3728" s="5" t="s">
        <v>3883</v>
      </c>
      <c r="C3728" s="17">
        <v>19900101</v>
      </c>
      <c r="D3728" s="17">
        <v>22991231</v>
      </c>
      <c r="E3728" s="25">
        <v>451.6</v>
      </c>
    </row>
    <row r="3729" spans="1:5" ht="26" x14ac:dyDescent="0.3">
      <c r="A3729" s="17" t="str">
        <f>"64425"</f>
        <v>64425</v>
      </c>
      <c r="B3729" s="5" t="s">
        <v>3884</v>
      </c>
      <c r="C3729" s="17">
        <v>19900101</v>
      </c>
      <c r="D3729" s="17">
        <v>22991231</v>
      </c>
      <c r="E3729" s="25">
        <v>69.430000000000007</v>
      </c>
    </row>
    <row r="3730" spans="1:5" ht="26" x14ac:dyDescent="0.3">
      <c r="A3730" s="17" t="str">
        <f>"64430"</f>
        <v>64430</v>
      </c>
      <c r="B3730" s="5" t="s">
        <v>3885</v>
      </c>
      <c r="C3730" s="17">
        <v>19900101</v>
      </c>
      <c r="D3730" s="17">
        <v>22991231</v>
      </c>
      <c r="E3730" s="25">
        <v>451.6</v>
      </c>
    </row>
    <row r="3731" spans="1:5" ht="26" x14ac:dyDescent="0.3">
      <c r="A3731" s="17" t="str">
        <f>"64435"</f>
        <v>64435</v>
      </c>
      <c r="B3731" s="5" t="s">
        <v>3886</v>
      </c>
      <c r="C3731" s="17">
        <v>19900101</v>
      </c>
      <c r="D3731" s="17">
        <v>22991231</v>
      </c>
      <c r="E3731" s="25">
        <v>48.17</v>
      </c>
    </row>
    <row r="3732" spans="1:5" ht="26" x14ac:dyDescent="0.3">
      <c r="A3732" s="17" t="str">
        <f>"64445"</f>
        <v>64445</v>
      </c>
      <c r="B3732" s="5" t="s">
        <v>3887</v>
      </c>
      <c r="C3732" s="17">
        <v>19900101</v>
      </c>
      <c r="D3732" s="17">
        <v>22991231</v>
      </c>
      <c r="E3732" s="25">
        <v>101.02</v>
      </c>
    </row>
    <row r="3733" spans="1:5" ht="39" x14ac:dyDescent="0.3">
      <c r="A3733" s="17" t="str">
        <f>"64446"</f>
        <v>64446</v>
      </c>
      <c r="B3733" s="5" t="s">
        <v>3888</v>
      </c>
      <c r="C3733" s="17">
        <v>20200101</v>
      </c>
      <c r="D3733" s="17">
        <v>22991231</v>
      </c>
      <c r="E3733" s="25">
        <v>451.6</v>
      </c>
    </row>
    <row r="3734" spans="1:5" ht="26" x14ac:dyDescent="0.3">
      <c r="A3734" s="17" t="str">
        <f>"64447"</f>
        <v>64447</v>
      </c>
      <c r="B3734" s="5" t="s">
        <v>3889</v>
      </c>
      <c r="C3734" s="17">
        <v>20040101</v>
      </c>
      <c r="D3734" s="17">
        <v>22991231</v>
      </c>
      <c r="E3734" s="25">
        <v>63.49</v>
      </c>
    </row>
    <row r="3735" spans="1:5" ht="39" x14ac:dyDescent="0.3">
      <c r="A3735" s="17" t="str">
        <f>"64448"</f>
        <v>64448</v>
      </c>
      <c r="B3735" s="5" t="s">
        <v>3890</v>
      </c>
      <c r="C3735" s="17">
        <v>20200101</v>
      </c>
      <c r="D3735" s="17">
        <v>22991231</v>
      </c>
      <c r="E3735" s="25">
        <v>617.35</v>
      </c>
    </row>
    <row r="3736" spans="1:5" ht="26" x14ac:dyDescent="0.3">
      <c r="A3736" s="17" t="str">
        <f>"64449"</f>
        <v>64449</v>
      </c>
      <c r="B3736" s="5" t="s">
        <v>3891</v>
      </c>
      <c r="C3736" s="17">
        <v>20200101</v>
      </c>
      <c r="D3736" s="17">
        <v>22991231</v>
      </c>
      <c r="E3736" s="25">
        <v>451.6</v>
      </c>
    </row>
    <row r="3737" spans="1:5" ht="26" x14ac:dyDescent="0.3">
      <c r="A3737" s="17" t="str">
        <f>"64450"</f>
        <v>64450</v>
      </c>
      <c r="B3737" s="5" t="s">
        <v>3892</v>
      </c>
      <c r="C3737" s="17">
        <v>19900101</v>
      </c>
      <c r="D3737" s="17">
        <v>22991231</v>
      </c>
      <c r="E3737" s="25">
        <v>44.41</v>
      </c>
    </row>
    <row r="3738" spans="1:5" ht="26" x14ac:dyDescent="0.3">
      <c r="A3738" s="17" t="str">
        <f>"64451"</f>
        <v>64451</v>
      </c>
      <c r="B3738" s="5" t="s">
        <v>3893</v>
      </c>
      <c r="C3738" s="17">
        <v>20200101</v>
      </c>
      <c r="D3738" s="17">
        <v>22991231</v>
      </c>
      <c r="E3738" s="25">
        <v>342.64</v>
      </c>
    </row>
    <row r="3739" spans="1:5" ht="26" x14ac:dyDescent="0.3">
      <c r="A3739" s="17" t="str">
        <f>"64454"</f>
        <v>64454</v>
      </c>
      <c r="B3739" s="5" t="s">
        <v>3894</v>
      </c>
      <c r="C3739" s="17">
        <v>20200101</v>
      </c>
      <c r="D3739" s="17">
        <v>22991231</v>
      </c>
      <c r="E3739" s="25">
        <v>342.64</v>
      </c>
    </row>
    <row r="3740" spans="1:5" ht="26" x14ac:dyDescent="0.3">
      <c r="A3740" s="17" t="str">
        <f>"64455"</f>
        <v>64455</v>
      </c>
      <c r="B3740" s="5" t="s">
        <v>3895</v>
      </c>
      <c r="C3740" s="17">
        <v>20090101</v>
      </c>
      <c r="D3740" s="17">
        <v>22991231</v>
      </c>
      <c r="E3740" s="25">
        <v>21.58</v>
      </c>
    </row>
    <row r="3741" spans="1:5" ht="26" x14ac:dyDescent="0.3">
      <c r="A3741" s="17" t="str">
        <f>"64461"</f>
        <v>64461</v>
      </c>
      <c r="B3741" s="5" t="s">
        <v>3896</v>
      </c>
      <c r="C3741" s="17">
        <v>20230101</v>
      </c>
      <c r="D3741" s="17">
        <v>22991231</v>
      </c>
      <c r="E3741" s="25">
        <v>342.64</v>
      </c>
    </row>
    <row r="3742" spans="1:5" ht="26" x14ac:dyDescent="0.3">
      <c r="A3742" s="17" t="str">
        <f>"64462"</f>
        <v>64462</v>
      </c>
      <c r="B3742" s="5" t="s">
        <v>3897</v>
      </c>
      <c r="C3742" s="17">
        <v>20230101</v>
      </c>
      <c r="D3742" s="17">
        <v>22991231</v>
      </c>
      <c r="E3742" s="25">
        <v>0</v>
      </c>
    </row>
    <row r="3743" spans="1:5" ht="26" x14ac:dyDescent="0.3">
      <c r="A3743" s="17" t="str">
        <f>"64463"</f>
        <v>64463</v>
      </c>
      <c r="B3743" s="5" t="s">
        <v>3898</v>
      </c>
      <c r="C3743" s="17">
        <v>20230101</v>
      </c>
      <c r="D3743" s="17">
        <v>22991231</v>
      </c>
      <c r="E3743" s="25">
        <v>342.64</v>
      </c>
    </row>
    <row r="3744" spans="1:5" ht="39" x14ac:dyDescent="0.3">
      <c r="A3744" s="17" t="str">
        <f>"64479"</f>
        <v>64479</v>
      </c>
      <c r="B3744" s="5" t="s">
        <v>3899</v>
      </c>
      <c r="C3744" s="17">
        <v>20000101</v>
      </c>
      <c r="D3744" s="17">
        <v>22991231</v>
      </c>
      <c r="E3744" s="25">
        <v>451.6</v>
      </c>
    </row>
    <row r="3745" spans="1:5" ht="39" x14ac:dyDescent="0.3">
      <c r="A3745" s="17" t="str">
        <f>"64480"</f>
        <v>64480</v>
      </c>
      <c r="B3745" s="5" t="s">
        <v>3900</v>
      </c>
      <c r="C3745" s="17">
        <v>20000101</v>
      </c>
      <c r="D3745" s="17">
        <v>22991231</v>
      </c>
      <c r="E3745" s="25">
        <v>0</v>
      </c>
    </row>
    <row r="3746" spans="1:5" ht="39" x14ac:dyDescent="0.3">
      <c r="A3746" s="17" t="str">
        <f>"64483"</f>
        <v>64483</v>
      </c>
      <c r="B3746" s="5" t="s">
        <v>3901</v>
      </c>
      <c r="C3746" s="17">
        <v>20000101</v>
      </c>
      <c r="D3746" s="17">
        <v>22991231</v>
      </c>
      <c r="E3746" s="25">
        <v>451.6</v>
      </c>
    </row>
    <row r="3747" spans="1:5" ht="39" x14ac:dyDescent="0.3">
      <c r="A3747" s="17" t="str">
        <f>"64484"</f>
        <v>64484</v>
      </c>
      <c r="B3747" s="5" t="s">
        <v>3902</v>
      </c>
      <c r="C3747" s="17">
        <v>20000101</v>
      </c>
      <c r="D3747" s="17">
        <v>22991231</v>
      </c>
      <c r="E3747" s="25">
        <v>0</v>
      </c>
    </row>
    <row r="3748" spans="1:5" ht="26" x14ac:dyDescent="0.3">
      <c r="A3748" s="17" t="str">
        <f>"64486"</f>
        <v>64486</v>
      </c>
      <c r="B3748" s="5" t="s">
        <v>3903</v>
      </c>
      <c r="C3748" s="17">
        <v>20230101</v>
      </c>
      <c r="D3748" s="17">
        <v>22991231</v>
      </c>
      <c r="E3748" s="25">
        <v>0</v>
      </c>
    </row>
    <row r="3749" spans="1:5" ht="39" x14ac:dyDescent="0.3">
      <c r="A3749" s="17" t="str">
        <f>"64487"</f>
        <v>64487</v>
      </c>
      <c r="B3749" s="5" t="s">
        <v>3904</v>
      </c>
      <c r="C3749" s="17">
        <v>20230101</v>
      </c>
      <c r="D3749" s="17">
        <v>22991231</v>
      </c>
      <c r="E3749" s="25">
        <v>0</v>
      </c>
    </row>
    <row r="3750" spans="1:5" ht="39" x14ac:dyDescent="0.3">
      <c r="A3750" s="17" t="str">
        <f>"64488"</f>
        <v>64488</v>
      </c>
      <c r="B3750" s="5" t="s">
        <v>3905</v>
      </c>
      <c r="C3750" s="17">
        <v>20230101</v>
      </c>
      <c r="D3750" s="17">
        <v>22991231</v>
      </c>
      <c r="E3750" s="25">
        <v>0</v>
      </c>
    </row>
    <row r="3751" spans="1:5" ht="39" x14ac:dyDescent="0.3">
      <c r="A3751" s="17" t="str">
        <f>"64489"</f>
        <v>64489</v>
      </c>
      <c r="B3751" s="5" t="s">
        <v>3906</v>
      </c>
      <c r="C3751" s="17">
        <v>20230101</v>
      </c>
      <c r="D3751" s="17">
        <v>22991231</v>
      </c>
      <c r="E3751" s="25">
        <v>0</v>
      </c>
    </row>
    <row r="3752" spans="1:5" ht="26" x14ac:dyDescent="0.3">
      <c r="A3752" s="17" t="str">
        <f>"64490"</f>
        <v>64490</v>
      </c>
      <c r="B3752" s="5" t="s">
        <v>3907</v>
      </c>
      <c r="C3752" s="17">
        <v>20100101</v>
      </c>
      <c r="D3752" s="17">
        <v>22991231</v>
      </c>
      <c r="E3752" s="25">
        <v>451.6</v>
      </c>
    </row>
    <row r="3753" spans="1:5" ht="26" x14ac:dyDescent="0.3">
      <c r="A3753" s="17" t="str">
        <f>"64491"</f>
        <v>64491</v>
      </c>
      <c r="B3753" s="5" t="s">
        <v>3908</v>
      </c>
      <c r="C3753" s="17">
        <v>20100101</v>
      </c>
      <c r="D3753" s="17">
        <v>22991231</v>
      </c>
      <c r="E3753" s="25">
        <v>0</v>
      </c>
    </row>
    <row r="3754" spans="1:5" ht="39" x14ac:dyDescent="0.3">
      <c r="A3754" s="17" t="str">
        <f>"64492"</f>
        <v>64492</v>
      </c>
      <c r="B3754" s="5" t="s">
        <v>3909</v>
      </c>
      <c r="C3754" s="17">
        <v>20100101</v>
      </c>
      <c r="D3754" s="17">
        <v>22991231</v>
      </c>
      <c r="E3754" s="25">
        <v>0</v>
      </c>
    </row>
    <row r="3755" spans="1:5" ht="26" x14ac:dyDescent="0.3">
      <c r="A3755" s="17" t="str">
        <f>"64493"</f>
        <v>64493</v>
      </c>
      <c r="B3755" s="5" t="s">
        <v>3910</v>
      </c>
      <c r="C3755" s="17">
        <v>20100101</v>
      </c>
      <c r="D3755" s="17">
        <v>22991231</v>
      </c>
      <c r="E3755" s="25">
        <v>451.6</v>
      </c>
    </row>
    <row r="3756" spans="1:5" ht="26" x14ac:dyDescent="0.3">
      <c r="A3756" s="17" t="str">
        <f>"64494"</f>
        <v>64494</v>
      </c>
      <c r="B3756" s="5" t="s">
        <v>3911</v>
      </c>
      <c r="C3756" s="17">
        <v>20100101</v>
      </c>
      <c r="D3756" s="17">
        <v>22991231</v>
      </c>
      <c r="E3756" s="25">
        <v>0</v>
      </c>
    </row>
    <row r="3757" spans="1:5" ht="39" x14ac:dyDescent="0.3">
      <c r="A3757" s="17" t="str">
        <f>"64495"</f>
        <v>64495</v>
      </c>
      <c r="B3757" s="5" t="s">
        <v>3912</v>
      </c>
      <c r="C3757" s="17">
        <v>20100101</v>
      </c>
      <c r="D3757" s="17">
        <v>22991231</v>
      </c>
      <c r="E3757" s="25">
        <v>0</v>
      </c>
    </row>
    <row r="3758" spans="1:5" ht="26" x14ac:dyDescent="0.3">
      <c r="A3758" s="17" t="str">
        <f>"64505"</f>
        <v>64505</v>
      </c>
      <c r="B3758" s="5" t="s">
        <v>3913</v>
      </c>
      <c r="C3758" s="17">
        <v>19900101</v>
      </c>
      <c r="D3758" s="17">
        <v>22991231</v>
      </c>
      <c r="E3758" s="25">
        <v>82.56</v>
      </c>
    </row>
    <row r="3759" spans="1:5" ht="26" x14ac:dyDescent="0.3">
      <c r="A3759" s="17" t="str">
        <f>"64510"</f>
        <v>64510</v>
      </c>
      <c r="B3759" s="5" t="s">
        <v>3914</v>
      </c>
      <c r="C3759" s="17">
        <v>19900101</v>
      </c>
      <c r="D3759" s="17">
        <v>22991231</v>
      </c>
      <c r="E3759" s="25">
        <v>451.6</v>
      </c>
    </row>
    <row r="3760" spans="1:5" ht="26" x14ac:dyDescent="0.3">
      <c r="A3760" s="17" t="str">
        <f>"64517"</f>
        <v>64517</v>
      </c>
      <c r="B3760" s="5" t="s">
        <v>3915</v>
      </c>
      <c r="C3760" s="17">
        <v>20040101</v>
      </c>
      <c r="D3760" s="17">
        <v>22991231</v>
      </c>
      <c r="E3760" s="25">
        <v>451.6</v>
      </c>
    </row>
    <row r="3761" spans="1:5" ht="26" x14ac:dyDescent="0.3">
      <c r="A3761" s="17" t="str">
        <f>"64520"</f>
        <v>64520</v>
      </c>
      <c r="B3761" s="5" t="s">
        <v>3916</v>
      </c>
      <c r="C3761" s="17">
        <v>19900101</v>
      </c>
      <c r="D3761" s="17">
        <v>22991231</v>
      </c>
      <c r="E3761" s="25">
        <v>451.6</v>
      </c>
    </row>
    <row r="3762" spans="1:5" ht="26" x14ac:dyDescent="0.3">
      <c r="A3762" s="17" t="str">
        <f>"64530"</f>
        <v>64530</v>
      </c>
      <c r="B3762" s="5" t="s">
        <v>3917</v>
      </c>
      <c r="C3762" s="17">
        <v>19900101</v>
      </c>
      <c r="D3762" s="17">
        <v>22991231</v>
      </c>
      <c r="E3762" s="25">
        <v>451.6</v>
      </c>
    </row>
    <row r="3763" spans="1:5" ht="26" x14ac:dyDescent="0.3">
      <c r="A3763" s="17" t="str">
        <f>"64553"</f>
        <v>64553</v>
      </c>
      <c r="B3763" s="5" t="s">
        <v>3918</v>
      </c>
      <c r="C3763" s="17">
        <v>19900101</v>
      </c>
      <c r="D3763" s="17">
        <v>22991231</v>
      </c>
      <c r="E3763" s="25">
        <v>10915.84</v>
      </c>
    </row>
    <row r="3764" spans="1:5" ht="26" x14ac:dyDescent="0.3">
      <c r="A3764" s="17" t="str">
        <f>"64555"</f>
        <v>64555</v>
      </c>
      <c r="B3764" s="5" t="s">
        <v>3919</v>
      </c>
      <c r="C3764" s="17">
        <v>19900101</v>
      </c>
      <c r="D3764" s="17">
        <v>22991231</v>
      </c>
      <c r="E3764" s="25">
        <v>5363.31</v>
      </c>
    </row>
    <row r="3765" spans="1:5" ht="26" x14ac:dyDescent="0.3">
      <c r="A3765" s="17" t="str">
        <f>"64561"</f>
        <v>64561</v>
      </c>
      <c r="B3765" s="5" t="s">
        <v>3920</v>
      </c>
      <c r="C3765" s="17">
        <v>20051001</v>
      </c>
      <c r="D3765" s="17">
        <v>22991231</v>
      </c>
      <c r="E3765" s="25">
        <v>4811.3500000000004</v>
      </c>
    </row>
    <row r="3766" spans="1:5" x14ac:dyDescent="0.3">
      <c r="A3766" s="17" t="str">
        <f>"64566"</f>
        <v>64566</v>
      </c>
      <c r="B3766" s="5" t="s">
        <v>3921</v>
      </c>
      <c r="C3766" s="17">
        <v>20110101</v>
      </c>
      <c r="D3766" s="17">
        <v>22991231</v>
      </c>
      <c r="E3766" s="25">
        <v>88.2</v>
      </c>
    </row>
    <row r="3767" spans="1:5" ht="26" x14ac:dyDescent="0.3">
      <c r="A3767" s="17" t="str">
        <f>"64568"</f>
        <v>64568</v>
      </c>
      <c r="B3767" s="5" t="s">
        <v>3922</v>
      </c>
      <c r="C3767" s="17">
        <v>20110101</v>
      </c>
      <c r="D3767" s="17">
        <v>22991231</v>
      </c>
      <c r="E3767" s="25">
        <v>24510.3</v>
      </c>
    </row>
    <row r="3768" spans="1:5" ht="26" x14ac:dyDescent="0.3">
      <c r="A3768" s="17" t="str">
        <f>"64569"</f>
        <v>64569</v>
      </c>
      <c r="B3768" s="5" t="s">
        <v>3923</v>
      </c>
      <c r="C3768" s="17">
        <v>20110101</v>
      </c>
      <c r="D3768" s="17">
        <v>22991231</v>
      </c>
      <c r="E3768" s="25">
        <v>11488.94</v>
      </c>
    </row>
    <row r="3769" spans="1:5" ht="26" x14ac:dyDescent="0.3">
      <c r="A3769" s="17" t="str">
        <f>"64570"</f>
        <v>64570</v>
      </c>
      <c r="B3769" s="5" t="s">
        <v>3924</v>
      </c>
      <c r="C3769" s="17">
        <v>20110101</v>
      </c>
      <c r="D3769" s="17">
        <v>22991231</v>
      </c>
      <c r="E3769" s="25">
        <v>2877.66</v>
      </c>
    </row>
    <row r="3770" spans="1:5" ht="26" x14ac:dyDescent="0.3">
      <c r="A3770" s="17" t="str">
        <f>"64575"</f>
        <v>64575</v>
      </c>
      <c r="B3770" s="5" t="s">
        <v>3925</v>
      </c>
      <c r="C3770" s="17">
        <v>19900101</v>
      </c>
      <c r="D3770" s="17">
        <v>22991231</v>
      </c>
      <c r="E3770" s="25">
        <v>10835.63</v>
      </c>
    </row>
    <row r="3771" spans="1:5" x14ac:dyDescent="0.3">
      <c r="A3771" s="17" t="str">
        <f>"64580"</f>
        <v>64580</v>
      </c>
      <c r="B3771" s="5" t="s">
        <v>3926</v>
      </c>
      <c r="C3771" s="17">
        <v>19900101</v>
      </c>
      <c r="D3771" s="17">
        <v>22991231</v>
      </c>
      <c r="E3771" s="25">
        <v>15125.41</v>
      </c>
    </row>
    <row r="3772" spans="1:5" ht="26" x14ac:dyDescent="0.3">
      <c r="A3772" s="17" t="str">
        <f>"64581"</f>
        <v>64581</v>
      </c>
      <c r="B3772" s="5" t="s">
        <v>3927</v>
      </c>
      <c r="C3772" s="17">
        <v>20160101</v>
      </c>
      <c r="D3772" s="17">
        <v>22991231</v>
      </c>
      <c r="E3772" s="25">
        <v>5116.22</v>
      </c>
    </row>
    <row r="3773" spans="1:5" ht="39" x14ac:dyDescent="0.3">
      <c r="A3773" s="17" t="str">
        <f>"64582"</f>
        <v>64582</v>
      </c>
      <c r="B3773" s="5" t="s">
        <v>3928</v>
      </c>
      <c r="C3773" s="17">
        <v>20230101</v>
      </c>
      <c r="D3773" s="17">
        <v>22991231</v>
      </c>
      <c r="E3773" s="25">
        <v>23732.639999999999</v>
      </c>
    </row>
    <row r="3774" spans="1:5" ht="39" x14ac:dyDescent="0.3">
      <c r="A3774" s="17" t="str">
        <f>"64583"</f>
        <v>64583</v>
      </c>
      <c r="B3774" s="5" t="s">
        <v>3929</v>
      </c>
      <c r="C3774" s="17">
        <v>20230101</v>
      </c>
      <c r="D3774" s="17">
        <v>22991231</v>
      </c>
      <c r="E3774" s="25">
        <v>10324.58</v>
      </c>
    </row>
    <row r="3775" spans="1:5" ht="39" x14ac:dyDescent="0.3">
      <c r="A3775" s="17" t="str">
        <f>"64584"</f>
        <v>64584</v>
      </c>
      <c r="B3775" s="5" t="s">
        <v>3930</v>
      </c>
      <c r="C3775" s="17">
        <v>20230101</v>
      </c>
      <c r="D3775" s="17">
        <v>22991231</v>
      </c>
      <c r="E3775" s="25">
        <v>2877.66</v>
      </c>
    </row>
    <row r="3776" spans="1:5" ht="26" x14ac:dyDescent="0.3">
      <c r="A3776" s="17" t="str">
        <f>"64585"</f>
        <v>64585</v>
      </c>
      <c r="B3776" s="5" t="s">
        <v>3931</v>
      </c>
      <c r="C3776" s="17">
        <v>19900101</v>
      </c>
      <c r="D3776" s="17">
        <v>22991231</v>
      </c>
      <c r="E3776" s="25">
        <v>1813.03</v>
      </c>
    </row>
    <row r="3777" spans="1:5" ht="26" x14ac:dyDescent="0.3">
      <c r="A3777" s="17" t="str">
        <f>"64590"</f>
        <v>64590</v>
      </c>
      <c r="B3777" s="5" t="s">
        <v>3932</v>
      </c>
      <c r="C3777" s="17">
        <v>19900101</v>
      </c>
      <c r="D3777" s="17">
        <v>22991231</v>
      </c>
      <c r="E3777" s="25">
        <v>18137.79</v>
      </c>
    </row>
    <row r="3778" spans="1:5" ht="39" x14ac:dyDescent="0.3">
      <c r="A3778" s="17" t="str">
        <f>"64595"</f>
        <v>64595</v>
      </c>
      <c r="B3778" s="5" t="s">
        <v>3933</v>
      </c>
      <c r="C3778" s="17">
        <v>19900101</v>
      </c>
      <c r="D3778" s="17">
        <v>22991231</v>
      </c>
      <c r="E3778" s="25">
        <v>1813.03</v>
      </c>
    </row>
    <row r="3779" spans="1:5" ht="26" x14ac:dyDescent="0.3">
      <c r="A3779" s="17" t="str">
        <f>"64596"</f>
        <v>64596</v>
      </c>
      <c r="B3779" s="5" t="s">
        <v>3934</v>
      </c>
      <c r="C3779" s="17">
        <v>20240101</v>
      </c>
      <c r="D3779" s="17">
        <v>22991231</v>
      </c>
      <c r="E3779" s="25">
        <v>8810.73</v>
      </c>
    </row>
    <row r="3780" spans="1:5" ht="39" x14ac:dyDescent="0.3">
      <c r="A3780" s="17" t="str">
        <f>"64597"</f>
        <v>64597</v>
      </c>
      <c r="B3780" s="5" t="s">
        <v>3935</v>
      </c>
      <c r="C3780" s="17">
        <v>20240101</v>
      </c>
      <c r="D3780" s="17">
        <v>22991231</v>
      </c>
      <c r="E3780" s="25">
        <v>0</v>
      </c>
    </row>
    <row r="3781" spans="1:5" ht="26" x14ac:dyDescent="0.3">
      <c r="A3781" s="17" t="str">
        <f>"64598"</f>
        <v>64598</v>
      </c>
      <c r="B3781" s="5" t="s">
        <v>3936</v>
      </c>
      <c r="C3781" s="17">
        <v>20240101</v>
      </c>
      <c r="D3781" s="17">
        <v>22991231</v>
      </c>
      <c r="E3781" s="25">
        <v>1813.03</v>
      </c>
    </row>
    <row r="3782" spans="1:5" x14ac:dyDescent="0.3">
      <c r="A3782" s="17" t="str">
        <f>"64600"</f>
        <v>64600</v>
      </c>
      <c r="B3782" s="5" t="s">
        <v>3937</v>
      </c>
      <c r="C3782" s="17">
        <v>19900101</v>
      </c>
      <c r="D3782" s="17">
        <v>22991231</v>
      </c>
      <c r="E3782" s="25">
        <v>451.6</v>
      </c>
    </row>
    <row r="3783" spans="1:5" ht="26" x14ac:dyDescent="0.3">
      <c r="A3783" s="17" t="str">
        <f>"64605"</f>
        <v>64605</v>
      </c>
      <c r="B3783" s="5" t="s">
        <v>3938</v>
      </c>
      <c r="C3783" s="17">
        <v>19900101</v>
      </c>
      <c r="D3783" s="17">
        <v>22991231</v>
      </c>
      <c r="E3783" s="25">
        <v>857.51</v>
      </c>
    </row>
    <row r="3784" spans="1:5" ht="26" x14ac:dyDescent="0.3">
      <c r="A3784" s="17" t="str">
        <f>"64610"</f>
        <v>64610</v>
      </c>
      <c r="B3784" s="5" t="s">
        <v>3939</v>
      </c>
      <c r="C3784" s="17">
        <v>19930101</v>
      </c>
      <c r="D3784" s="17">
        <v>22991231</v>
      </c>
      <c r="E3784" s="25">
        <v>857.51</v>
      </c>
    </row>
    <row r="3785" spans="1:5" ht="26" x14ac:dyDescent="0.3">
      <c r="A3785" s="17" t="str">
        <f>"64611"</f>
        <v>64611</v>
      </c>
      <c r="B3785" s="5" t="s">
        <v>3940</v>
      </c>
      <c r="C3785" s="17">
        <v>20110101</v>
      </c>
      <c r="D3785" s="17">
        <v>22991231</v>
      </c>
      <c r="E3785" s="25">
        <v>80.69</v>
      </c>
    </row>
    <row r="3786" spans="1:5" ht="26" x14ac:dyDescent="0.3">
      <c r="A3786" s="17" t="str">
        <f>"64612"</f>
        <v>64612</v>
      </c>
      <c r="B3786" s="5" t="s">
        <v>3941</v>
      </c>
      <c r="C3786" s="17">
        <v>19920115</v>
      </c>
      <c r="D3786" s="17">
        <v>22991231</v>
      </c>
      <c r="E3786" s="25">
        <v>76.62</v>
      </c>
    </row>
    <row r="3787" spans="1:5" ht="26" x14ac:dyDescent="0.3">
      <c r="A3787" s="17" t="str">
        <f>"64615"</f>
        <v>64615</v>
      </c>
      <c r="B3787" s="5" t="s">
        <v>3942</v>
      </c>
      <c r="C3787" s="17">
        <v>20130101</v>
      </c>
      <c r="D3787" s="17">
        <v>22991231</v>
      </c>
      <c r="E3787" s="25">
        <v>67.56</v>
      </c>
    </row>
    <row r="3788" spans="1:5" ht="26" x14ac:dyDescent="0.3">
      <c r="A3788" s="17" t="str">
        <f>"64616"</f>
        <v>64616</v>
      </c>
      <c r="B3788" s="5" t="s">
        <v>3943</v>
      </c>
      <c r="C3788" s="17">
        <v>20230101</v>
      </c>
      <c r="D3788" s="17">
        <v>22991231</v>
      </c>
      <c r="E3788" s="25">
        <v>66.930000000000007</v>
      </c>
    </row>
    <row r="3789" spans="1:5" ht="26" x14ac:dyDescent="0.3">
      <c r="A3789" s="17" t="str">
        <f>"64617"</f>
        <v>64617</v>
      </c>
      <c r="B3789" s="5" t="s">
        <v>3944</v>
      </c>
      <c r="C3789" s="17">
        <v>20230101</v>
      </c>
      <c r="D3789" s="17">
        <v>22991231</v>
      </c>
      <c r="E3789" s="25">
        <v>84.44</v>
      </c>
    </row>
    <row r="3790" spans="1:5" x14ac:dyDescent="0.3">
      <c r="A3790" s="17" t="str">
        <f>"64620"</f>
        <v>64620</v>
      </c>
      <c r="B3790" s="5" t="s">
        <v>3945</v>
      </c>
      <c r="C3790" s="17">
        <v>19900101</v>
      </c>
      <c r="D3790" s="17">
        <v>22991231</v>
      </c>
      <c r="E3790" s="25">
        <v>451.6</v>
      </c>
    </row>
    <row r="3791" spans="1:5" ht="26" x14ac:dyDescent="0.3">
      <c r="A3791" s="17" t="str">
        <f>"64624"</f>
        <v>64624</v>
      </c>
      <c r="B3791" s="5" t="s">
        <v>3946</v>
      </c>
      <c r="C3791" s="17">
        <v>20200101</v>
      </c>
      <c r="D3791" s="17">
        <v>22991231</v>
      </c>
      <c r="E3791" s="25">
        <v>857.51</v>
      </c>
    </row>
    <row r="3792" spans="1:5" ht="26" x14ac:dyDescent="0.3">
      <c r="A3792" s="17" t="str">
        <f>"64625"</f>
        <v>64625</v>
      </c>
      <c r="B3792" s="5" t="s">
        <v>3947</v>
      </c>
      <c r="C3792" s="17">
        <v>20200101</v>
      </c>
      <c r="D3792" s="17">
        <v>22991231</v>
      </c>
      <c r="E3792" s="25">
        <v>857.51</v>
      </c>
    </row>
    <row r="3793" spans="1:5" ht="39" x14ac:dyDescent="0.3">
      <c r="A3793" s="17" t="str">
        <f>"64628"</f>
        <v>64628</v>
      </c>
      <c r="B3793" s="5" t="s">
        <v>3948</v>
      </c>
      <c r="C3793" s="17">
        <v>20230101</v>
      </c>
      <c r="D3793" s="17">
        <v>22991231</v>
      </c>
      <c r="E3793" s="25">
        <v>8975.43</v>
      </c>
    </row>
    <row r="3794" spans="1:5" x14ac:dyDescent="0.3">
      <c r="A3794" s="17" t="str">
        <f>"64630"</f>
        <v>64630</v>
      </c>
      <c r="B3794" s="5" t="s">
        <v>3949</v>
      </c>
      <c r="C3794" s="17">
        <v>19900101</v>
      </c>
      <c r="D3794" s="17">
        <v>22991231</v>
      </c>
      <c r="E3794" s="25">
        <v>451.6</v>
      </c>
    </row>
    <row r="3795" spans="1:5" x14ac:dyDescent="0.3">
      <c r="A3795" s="17" t="str">
        <f>"64632"</f>
        <v>64632</v>
      </c>
      <c r="B3795" s="5" t="s">
        <v>3950</v>
      </c>
      <c r="C3795" s="17">
        <v>20090101</v>
      </c>
      <c r="D3795" s="17">
        <v>22991231</v>
      </c>
      <c r="E3795" s="25">
        <v>43.78</v>
      </c>
    </row>
    <row r="3796" spans="1:5" ht="26" x14ac:dyDescent="0.3">
      <c r="A3796" s="17" t="str">
        <f>"64633"</f>
        <v>64633</v>
      </c>
      <c r="B3796" s="5" t="s">
        <v>3951</v>
      </c>
      <c r="C3796" s="17">
        <v>20120101</v>
      </c>
      <c r="D3796" s="17">
        <v>22991231</v>
      </c>
      <c r="E3796" s="25">
        <v>857.51</v>
      </c>
    </row>
    <row r="3797" spans="1:5" ht="39" x14ac:dyDescent="0.3">
      <c r="A3797" s="17" t="str">
        <f>"64634"</f>
        <v>64634</v>
      </c>
      <c r="B3797" s="5" t="s">
        <v>3952</v>
      </c>
      <c r="C3797" s="17">
        <v>20120101</v>
      </c>
      <c r="D3797" s="17">
        <v>22991231</v>
      </c>
      <c r="E3797" s="25">
        <v>0</v>
      </c>
    </row>
    <row r="3798" spans="1:5" ht="26" x14ac:dyDescent="0.3">
      <c r="A3798" s="17" t="str">
        <f>"64635"</f>
        <v>64635</v>
      </c>
      <c r="B3798" s="5" t="s">
        <v>3953</v>
      </c>
      <c r="C3798" s="17">
        <v>20120101</v>
      </c>
      <c r="D3798" s="17">
        <v>22991231</v>
      </c>
      <c r="E3798" s="25">
        <v>857.51</v>
      </c>
    </row>
    <row r="3799" spans="1:5" ht="39" x14ac:dyDescent="0.3">
      <c r="A3799" s="17" t="str">
        <f>"64636"</f>
        <v>64636</v>
      </c>
      <c r="B3799" s="5" t="s">
        <v>3954</v>
      </c>
      <c r="C3799" s="17">
        <v>20120101</v>
      </c>
      <c r="D3799" s="17">
        <v>22991231</v>
      </c>
      <c r="E3799" s="25">
        <v>0</v>
      </c>
    </row>
    <row r="3800" spans="1:5" x14ac:dyDescent="0.3">
      <c r="A3800" s="17" t="str">
        <f>"64640"</f>
        <v>64640</v>
      </c>
      <c r="B3800" s="5" t="s">
        <v>3955</v>
      </c>
      <c r="C3800" s="17">
        <v>19900101</v>
      </c>
      <c r="D3800" s="17">
        <v>22991231</v>
      </c>
      <c r="E3800" s="25">
        <v>164.82</v>
      </c>
    </row>
    <row r="3801" spans="1:5" ht="39" x14ac:dyDescent="0.3">
      <c r="A3801" s="17" t="str">
        <f>"64642"</f>
        <v>64642</v>
      </c>
      <c r="B3801" s="5" t="s">
        <v>3956</v>
      </c>
      <c r="C3801" s="17">
        <v>20230101</v>
      </c>
      <c r="D3801" s="17">
        <v>22991231</v>
      </c>
      <c r="E3801" s="25">
        <v>80.38</v>
      </c>
    </row>
    <row r="3802" spans="1:5" ht="39" x14ac:dyDescent="0.3">
      <c r="A3802" s="17" t="str">
        <f>"64643"</f>
        <v>64643</v>
      </c>
      <c r="B3802" s="5" t="s">
        <v>3957</v>
      </c>
      <c r="C3802" s="17">
        <v>20230101</v>
      </c>
      <c r="D3802" s="17">
        <v>22991231</v>
      </c>
      <c r="E3802" s="25">
        <v>0</v>
      </c>
    </row>
    <row r="3803" spans="1:5" ht="39" x14ac:dyDescent="0.3">
      <c r="A3803" s="17" t="str">
        <f>"64644"</f>
        <v>64644</v>
      </c>
      <c r="B3803" s="5" t="s">
        <v>3958</v>
      </c>
      <c r="C3803" s="17">
        <v>20230101</v>
      </c>
      <c r="D3803" s="17">
        <v>22991231</v>
      </c>
      <c r="E3803" s="25">
        <v>98.21</v>
      </c>
    </row>
    <row r="3804" spans="1:5" ht="39" x14ac:dyDescent="0.3">
      <c r="A3804" s="17" t="str">
        <f>"64645"</f>
        <v>64645</v>
      </c>
      <c r="B3804" s="5" t="s">
        <v>3959</v>
      </c>
      <c r="C3804" s="17">
        <v>20230101</v>
      </c>
      <c r="D3804" s="17">
        <v>22991231</v>
      </c>
      <c r="E3804" s="25">
        <v>0</v>
      </c>
    </row>
    <row r="3805" spans="1:5" ht="26" x14ac:dyDescent="0.3">
      <c r="A3805" s="17" t="str">
        <f>"64646"</f>
        <v>64646</v>
      </c>
      <c r="B3805" s="5" t="s">
        <v>3960</v>
      </c>
      <c r="C3805" s="17">
        <v>20230101</v>
      </c>
      <c r="D3805" s="17">
        <v>22991231</v>
      </c>
      <c r="E3805" s="25">
        <v>80.69</v>
      </c>
    </row>
    <row r="3806" spans="1:5" ht="26" x14ac:dyDescent="0.3">
      <c r="A3806" s="17" t="str">
        <f>"64647"</f>
        <v>64647</v>
      </c>
      <c r="B3806" s="5" t="s">
        <v>3961</v>
      </c>
      <c r="C3806" s="17">
        <v>20230101</v>
      </c>
      <c r="D3806" s="17">
        <v>22991231</v>
      </c>
      <c r="E3806" s="25">
        <v>89.13</v>
      </c>
    </row>
    <row r="3807" spans="1:5" ht="26" x14ac:dyDescent="0.3">
      <c r="A3807" s="17" t="str">
        <f>"64650"</f>
        <v>64650</v>
      </c>
      <c r="B3807" s="5" t="s">
        <v>3962</v>
      </c>
      <c r="C3807" s="17">
        <v>20230101</v>
      </c>
      <c r="D3807" s="17">
        <v>22991231</v>
      </c>
      <c r="E3807" s="25">
        <v>57.86</v>
      </c>
    </row>
    <row r="3808" spans="1:5" ht="26" x14ac:dyDescent="0.3">
      <c r="A3808" s="17" t="str">
        <f>"64653"</f>
        <v>64653</v>
      </c>
      <c r="B3808" s="5" t="s">
        <v>3963</v>
      </c>
      <c r="C3808" s="17">
        <v>20230101</v>
      </c>
      <c r="D3808" s="17">
        <v>22991231</v>
      </c>
      <c r="E3808" s="25">
        <v>64.739999999999995</v>
      </c>
    </row>
    <row r="3809" spans="1:5" ht="26" x14ac:dyDescent="0.3">
      <c r="A3809" s="17" t="str">
        <f>"64680"</f>
        <v>64680</v>
      </c>
      <c r="B3809" s="5" t="s">
        <v>3964</v>
      </c>
      <c r="C3809" s="17">
        <v>19900101</v>
      </c>
      <c r="D3809" s="17">
        <v>22991231</v>
      </c>
      <c r="E3809" s="25">
        <v>451.6</v>
      </c>
    </row>
    <row r="3810" spans="1:5" ht="26" x14ac:dyDescent="0.3">
      <c r="A3810" s="17" t="str">
        <f>"64681"</f>
        <v>64681</v>
      </c>
      <c r="B3810" s="5" t="s">
        <v>3965</v>
      </c>
      <c r="C3810" s="17">
        <v>20230101</v>
      </c>
      <c r="D3810" s="17">
        <v>22991231</v>
      </c>
      <c r="E3810" s="25">
        <v>451.6</v>
      </c>
    </row>
    <row r="3811" spans="1:5" x14ac:dyDescent="0.3">
      <c r="A3811" s="17" t="str">
        <f>"64702"</f>
        <v>64702</v>
      </c>
      <c r="B3811" s="5" t="s">
        <v>3966</v>
      </c>
      <c r="C3811" s="17">
        <v>19900101</v>
      </c>
      <c r="D3811" s="17">
        <v>22991231</v>
      </c>
      <c r="E3811" s="25">
        <v>857.51</v>
      </c>
    </row>
    <row r="3812" spans="1:5" x14ac:dyDescent="0.3">
      <c r="A3812" s="17" t="str">
        <f>"64704"</f>
        <v>64704</v>
      </c>
      <c r="B3812" s="5" t="s">
        <v>3967</v>
      </c>
      <c r="C3812" s="17">
        <v>19900101</v>
      </c>
      <c r="D3812" s="17">
        <v>22991231</v>
      </c>
      <c r="E3812" s="25">
        <v>857.51</v>
      </c>
    </row>
    <row r="3813" spans="1:5" x14ac:dyDescent="0.3">
      <c r="A3813" s="17" t="str">
        <f>"64708"</f>
        <v>64708</v>
      </c>
      <c r="B3813" s="5" t="s">
        <v>3968</v>
      </c>
      <c r="C3813" s="17">
        <v>19900101</v>
      </c>
      <c r="D3813" s="17">
        <v>22991231</v>
      </c>
      <c r="E3813" s="25">
        <v>857.51</v>
      </c>
    </row>
    <row r="3814" spans="1:5" x14ac:dyDescent="0.3">
      <c r="A3814" s="17" t="str">
        <f>"64712"</f>
        <v>64712</v>
      </c>
      <c r="B3814" s="5" t="s">
        <v>3969</v>
      </c>
      <c r="C3814" s="17">
        <v>19900101</v>
      </c>
      <c r="D3814" s="17">
        <v>22991231</v>
      </c>
      <c r="E3814" s="25">
        <v>857.51</v>
      </c>
    </row>
    <row r="3815" spans="1:5" x14ac:dyDescent="0.3">
      <c r="A3815" s="17" t="str">
        <f>"64713"</f>
        <v>64713</v>
      </c>
      <c r="B3815" s="5" t="s">
        <v>3970</v>
      </c>
      <c r="C3815" s="17">
        <v>19900101</v>
      </c>
      <c r="D3815" s="17">
        <v>22991231</v>
      </c>
      <c r="E3815" s="25">
        <v>857.51</v>
      </c>
    </row>
    <row r="3816" spans="1:5" x14ac:dyDescent="0.3">
      <c r="A3816" s="17" t="str">
        <f>"64714"</f>
        <v>64714</v>
      </c>
      <c r="B3816" s="5" t="s">
        <v>3971</v>
      </c>
      <c r="C3816" s="17">
        <v>19900101</v>
      </c>
      <c r="D3816" s="17">
        <v>22991231</v>
      </c>
      <c r="E3816" s="25">
        <v>857.51</v>
      </c>
    </row>
    <row r="3817" spans="1:5" x14ac:dyDescent="0.3">
      <c r="A3817" s="17" t="str">
        <f>"64716"</f>
        <v>64716</v>
      </c>
      <c r="B3817" s="5" t="s">
        <v>3972</v>
      </c>
      <c r="C3817" s="17">
        <v>19900101</v>
      </c>
      <c r="D3817" s="17">
        <v>22991231</v>
      </c>
      <c r="E3817" s="25">
        <v>1079.94</v>
      </c>
    </row>
    <row r="3818" spans="1:5" x14ac:dyDescent="0.3">
      <c r="A3818" s="17" t="str">
        <f>"64718"</f>
        <v>64718</v>
      </c>
      <c r="B3818" s="5" t="s">
        <v>3973</v>
      </c>
      <c r="C3818" s="17">
        <v>19900101</v>
      </c>
      <c r="D3818" s="17">
        <v>22991231</v>
      </c>
      <c r="E3818" s="25">
        <v>857.51</v>
      </c>
    </row>
    <row r="3819" spans="1:5" x14ac:dyDescent="0.3">
      <c r="A3819" s="17" t="str">
        <f>"64719"</f>
        <v>64719</v>
      </c>
      <c r="B3819" s="5" t="s">
        <v>3974</v>
      </c>
      <c r="C3819" s="17">
        <v>19900101</v>
      </c>
      <c r="D3819" s="17">
        <v>22991231</v>
      </c>
      <c r="E3819" s="25">
        <v>857.51</v>
      </c>
    </row>
    <row r="3820" spans="1:5" x14ac:dyDescent="0.3">
      <c r="A3820" s="17" t="str">
        <f>"64721"</f>
        <v>64721</v>
      </c>
      <c r="B3820" s="5" t="s">
        <v>3975</v>
      </c>
      <c r="C3820" s="17">
        <v>19900101</v>
      </c>
      <c r="D3820" s="17">
        <v>22991231</v>
      </c>
      <c r="E3820" s="25">
        <v>857.51</v>
      </c>
    </row>
    <row r="3821" spans="1:5" x14ac:dyDescent="0.3">
      <c r="A3821" s="17" t="str">
        <f>"64722"</f>
        <v>64722</v>
      </c>
      <c r="B3821" s="5" t="s">
        <v>3976</v>
      </c>
      <c r="C3821" s="17">
        <v>19900101</v>
      </c>
      <c r="D3821" s="17">
        <v>22991231</v>
      </c>
      <c r="E3821" s="25">
        <v>857.51</v>
      </c>
    </row>
    <row r="3822" spans="1:5" x14ac:dyDescent="0.3">
      <c r="A3822" s="17" t="str">
        <f>"64726"</f>
        <v>64726</v>
      </c>
      <c r="B3822" s="5" t="s">
        <v>3977</v>
      </c>
      <c r="C3822" s="17">
        <v>19900101</v>
      </c>
      <c r="D3822" s="17">
        <v>22991231</v>
      </c>
      <c r="E3822" s="25">
        <v>857.51</v>
      </c>
    </row>
    <row r="3823" spans="1:5" x14ac:dyDescent="0.3">
      <c r="A3823" s="17" t="str">
        <f>"64727"</f>
        <v>64727</v>
      </c>
      <c r="B3823" s="5" t="s">
        <v>3978</v>
      </c>
      <c r="C3823" s="17">
        <v>19900101</v>
      </c>
      <c r="D3823" s="17">
        <v>22991231</v>
      </c>
      <c r="E3823" s="25">
        <v>0</v>
      </c>
    </row>
    <row r="3824" spans="1:5" ht="26" x14ac:dyDescent="0.3">
      <c r="A3824" s="17" t="str">
        <f>"64732"</f>
        <v>64732</v>
      </c>
      <c r="B3824" s="5" t="s">
        <v>3979</v>
      </c>
      <c r="C3824" s="17">
        <v>19900101</v>
      </c>
      <c r="D3824" s="17">
        <v>22991231</v>
      </c>
      <c r="E3824" s="25">
        <v>857.51</v>
      </c>
    </row>
    <row r="3825" spans="1:5" ht="26" x14ac:dyDescent="0.3">
      <c r="A3825" s="17" t="str">
        <f>"64734"</f>
        <v>64734</v>
      </c>
      <c r="B3825" s="5" t="s">
        <v>3980</v>
      </c>
      <c r="C3825" s="17">
        <v>19900101</v>
      </c>
      <c r="D3825" s="17">
        <v>22991231</v>
      </c>
      <c r="E3825" s="25">
        <v>857.51</v>
      </c>
    </row>
    <row r="3826" spans="1:5" ht="26" x14ac:dyDescent="0.3">
      <c r="A3826" s="17" t="str">
        <f>"64736"</f>
        <v>64736</v>
      </c>
      <c r="B3826" s="5" t="s">
        <v>3981</v>
      </c>
      <c r="C3826" s="17">
        <v>19900101</v>
      </c>
      <c r="D3826" s="17">
        <v>22991231</v>
      </c>
      <c r="E3826" s="25">
        <v>857.51</v>
      </c>
    </row>
    <row r="3827" spans="1:5" x14ac:dyDescent="0.3">
      <c r="A3827" s="17" t="str">
        <f>"64738"</f>
        <v>64738</v>
      </c>
      <c r="B3827" s="5" t="s">
        <v>3982</v>
      </c>
      <c r="C3827" s="17">
        <v>19900101</v>
      </c>
      <c r="D3827" s="17">
        <v>22991231</v>
      </c>
      <c r="E3827" s="25">
        <v>857.51</v>
      </c>
    </row>
    <row r="3828" spans="1:5" x14ac:dyDescent="0.3">
      <c r="A3828" s="17" t="str">
        <f>"64740"</f>
        <v>64740</v>
      </c>
      <c r="B3828" s="5" t="s">
        <v>3983</v>
      </c>
      <c r="C3828" s="17">
        <v>19900101</v>
      </c>
      <c r="D3828" s="17">
        <v>22991231</v>
      </c>
      <c r="E3828" s="25">
        <v>857.51</v>
      </c>
    </row>
    <row r="3829" spans="1:5" x14ac:dyDescent="0.3">
      <c r="A3829" s="17" t="str">
        <f>"64742"</f>
        <v>64742</v>
      </c>
      <c r="B3829" s="5" t="s">
        <v>3984</v>
      </c>
      <c r="C3829" s="17">
        <v>19900101</v>
      </c>
      <c r="D3829" s="17">
        <v>22991231</v>
      </c>
      <c r="E3829" s="25">
        <v>857.51</v>
      </c>
    </row>
    <row r="3830" spans="1:5" x14ac:dyDescent="0.3">
      <c r="A3830" s="17" t="str">
        <f>"64744"</f>
        <v>64744</v>
      </c>
      <c r="B3830" s="5" t="s">
        <v>3985</v>
      </c>
      <c r="C3830" s="17">
        <v>19900101</v>
      </c>
      <c r="D3830" s="17">
        <v>22991231</v>
      </c>
      <c r="E3830" s="25">
        <v>857.51</v>
      </c>
    </row>
    <row r="3831" spans="1:5" ht="26" x14ac:dyDescent="0.3">
      <c r="A3831" s="17" t="str">
        <f>"64746"</f>
        <v>64746</v>
      </c>
      <c r="B3831" s="5" t="s">
        <v>3986</v>
      </c>
      <c r="C3831" s="17">
        <v>19900101</v>
      </c>
      <c r="D3831" s="17">
        <v>22991231</v>
      </c>
      <c r="E3831" s="25">
        <v>857.51</v>
      </c>
    </row>
    <row r="3832" spans="1:5" ht="26" x14ac:dyDescent="0.3">
      <c r="A3832" s="17" t="str">
        <f>"64763"</f>
        <v>64763</v>
      </c>
      <c r="B3832" s="5" t="s">
        <v>3987</v>
      </c>
      <c r="C3832" s="17">
        <v>19900101</v>
      </c>
      <c r="D3832" s="17">
        <v>22991231</v>
      </c>
      <c r="E3832" s="25">
        <v>857.51</v>
      </c>
    </row>
    <row r="3833" spans="1:5" ht="26" x14ac:dyDescent="0.3">
      <c r="A3833" s="17" t="str">
        <f>"64766"</f>
        <v>64766</v>
      </c>
      <c r="B3833" s="5" t="s">
        <v>3988</v>
      </c>
      <c r="C3833" s="17">
        <v>19900101</v>
      </c>
      <c r="D3833" s="17">
        <v>22991231</v>
      </c>
      <c r="E3833" s="25">
        <v>857.51</v>
      </c>
    </row>
    <row r="3834" spans="1:5" x14ac:dyDescent="0.3">
      <c r="A3834" s="17" t="str">
        <f>"64771"</f>
        <v>64771</v>
      </c>
      <c r="B3834" s="5" t="s">
        <v>3989</v>
      </c>
      <c r="C3834" s="17">
        <v>19900101</v>
      </c>
      <c r="D3834" s="17">
        <v>22991231</v>
      </c>
      <c r="E3834" s="25">
        <v>857.51</v>
      </c>
    </row>
    <row r="3835" spans="1:5" x14ac:dyDescent="0.3">
      <c r="A3835" s="17" t="str">
        <f>"64772"</f>
        <v>64772</v>
      </c>
      <c r="B3835" s="5" t="s">
        <v>3990</v>
      </c>
      <c r="C3835" s="17">
        <v>19900101</v>
      </c>
      <c r="D3835" s="17">
        <v>22991231</v>
      </c>
      <c r="E3835" s="25">
        <v>857.51</v>
      </c>
    </row>
    <row r="3836" spans="1:5" x14ac:dyDescent="0.3">
      <c r="A3836" s="17" t="str">
        <f>"64774"</f>
        <v>64774</v>
      </c>
      <c r="B3836" s="5" t="s">
        <v>3991</v>
      </c>
      <c r="C3836" s="17">
        <v>19900101</v>
      </c>
      <c r="D3836" s="17">
        <v>22991231</v>
      </c>
      <c r="E3836" s="25">
        <v>857.51</v>
      </c>
    </row>
    <row r="3837" spans="1:5" ht="26" x14ac:dyDescent="0.3">
      <c r="A3837" s="17" t="str">
        <f>"64776"</f>
        <v>64776</v>
      </c>
      <c r="B3837" s="5" t="s">
        <v>3992</v>
      </c>
      <c r="C3837" s="17">
        <v>19900101</v>
      </c>
      <c r="D3837" s="17">
        <v>22991231</v>
      </c>
      <c r="E3837" s="25">
        <v>857.51</v>
      </c>
    </row>
    <row r="3838" spans="1:5" ht="26" x14ac:dyDescent="0.3">
      <c r="A3838" s="17" t="str">
        <f>"64778"</f>
        <v>64778</v>
      </c>
      <c r="B3838" s="5" t="s">
        <v>3993</v>
      </c>
      <c r="C3838" s="17">
        <v>19900101</v>
      </c>
      <c r="D3838" s="17">
        <v>22991231</v>
      </c>
      <c r="E3838" s="25">
        <v>0</v>
      </c>
    </row>
    <row r="3839" spans="1:5" ht="26" x14ac:dyDescent="0.3">
      <c r="A3839" s="17" t="str">
        <f>"64782"</f>
        <v>64782</v>
      </c>
      <c r="B3839" s="5" t="s">
        <v>3994</v>
      </c>
      <c r="C3839" s="17">
        <v>19900101</v>
      </c>
      <c r="D3839" s="17">
        <v>22991231</v>
      </c>
      <c r="E3839" s="25">
        <v>857.51</v>
      </c>
    </row>
    <row r="3840" spans="1:5" ht="26" x14ac:dyDescent="0.3">
      <c r="A3840" s="17" t="str">
        <f>"64783"</f>
        <v>64783</v>
      </c>
      <c r="B3840" s="5" t="s">
        <v>3995</v>
      </c>
      <c r="C3840" s="17">
        <v>19900101</v>
      </c>
      <c r="D3840" s="17">
        <v>22991231</v>
      </c>
      <c r="E3840" s="25">
        <v>0</v>
      </c>
    </row>
    <row r="3841" spans="1:5" x14ac:dyDescent="0.3">
      <c r="A3841" s="17" t="str">
        <f>"64784"</f>
        <v>64784</v>
      </c>
      <c r="B3841" s="5" t="s">
        <v>3996</v>
      </c>
      <c r="C3841" s="17">
        <v>19900101</v>
      </c>
      <c r="D3841" s="17">
        <v>22991231</v>
      </c>
      <c r="E3841" s="25">
        <v>857.51</v>
      </c>
    </row>
    <row r="3842" spans="1:5" x14ac:dyDescent="0.3">
      <c r="A3842" s="17" t="str">
        <f>"64786"</f>
        <v>64786</v>
      </c>
      <c r="B3842" s="5" t="s">
        <v>3997</v>
      </c>
      <c r="C3842" s="17">
        <v>19900101</v>
      </c>
      <c r="D3842" s="17">
        <v>22991231</v>
      </c>
      <c r="E3842" s="25">
        <v>2877.66</v>
      </c>
    </row>
    <row r="3843" spans="1:5" x14ac:dyDescent="0.3">
      <c r="A3843" s="17" t="str">
        <f>"64787"</f>
        <v>64787</v>
      </c>
      <c r="B3843" s="5" t="s">
        <v>3998</v>
      </c>
      <c r="C3843" s="17">
        <v>19900101</v>
      </c>
      <c r="D3843" s="17">
        <v>22991231</v>
      </c>
      <c r="E3843" s="25">
        <v>0</v>
      </c>
    </row>
    <row r="3844" spans="1:5" x14ac:dyDescent="0.3">
      <c r="A3844" s="17" t="str">
        <f>"64788"</f>
        <v>64788</v>
      </c>
      <c r="B3844" s="5" t="s">
        <v>3999</v>
      </c>
      <c r="C3844" s="17">
        <v>19900101</v>
      </c>
      <c r="D3844" s="17">
        <v>22991231</v>
      </c>
      <c r="E3844" s="25">
        <v>857.51</v>
      </c>
    </row>
    <row r="3845" spans="1:5" ht="26" x14ac:dyDescent="0.3">
      <c r="A3845" s="17" t="str">
        <f>"64790"</f>
        <v>64790</v>
      </c>
      <c r="B3845" s="5" t="s">
        <v>4000</v>
      </c>
      <c r="C3845" s="17">
        <v>19900101</v>
      </c>
      <c r="D3845" s="17">
        <v>22991231</v>
      </c>
      <c r="E3845" s="25">
        <v>857.51</v>
      </c>
    </row>
    <row r="3846" spans="1:5" ht="26" x14ac:dyDescent="0.3">
      <c r="A3846" s="17" t="str">
        <f>"64792"</f>
        <v>64792</v>
      </c>
      <c r="B3846" s="5" t="s">
        <v>4001</v>
      </c>
      <c r="C3846" s="17">
        <v>19900101</v>
      </c>
      <c r="D3846" s="17">
        <v>22991231</v>
      </c>
      <c r="E3846" s="25">
        <v>2877.66</v>
      </c>
    </row>
    <row r="3847" spans="1:5" x14ac:dyDescent="0.3">
      <c r="A3847" s="17" t="str">
        <f>"64795"</f>
        <v>64795</v>
      </c>
      <c r="B3847" s="5" t="s">
        <v>4002</v>
      </c>
      <c r="C3847" s="17">
        <v>19900101</v>
      </c>
      <c r="D3847" s="17">
        <v>22991231</v>
      </c>
      <c r="E3847" s="25">
        <v>857.51</v>
      </c>
    </row>
    <row r="3848" spans="1:5" x14ac:dyDescent="0.3">
      <c r="A3848" s="17" t="str">
        <f>"64802"</f>
        <v>64802</v>
      </c>
      <c r="B3848" s="5" t="s">
        <v>4003</v>
      </c>
      <c r="C3848" s="17">
        <v>19900101</v>
      </c>
      <c r="D3848" s="17">
        <v>22991231</v>
      </c>
      <c r="E3848" s="25">
        <v>1079.94</v>
      </c>
    </row>
    <row r="3849" spans="1:5" ht="26" x14ac:dyDescent="0.3">
      <c r="A3849" s="17" t="str">
        <f>"64804"</f>
        <v>64804</v>
      </c>
      <c r="B3849" s="5" t="s">
        <v>4004</v>
      </c>
      <c r="C3849" s="17">
        <v>19900101</v>
      </c>
      <c r="D3849" s="17">
        <v>22991231</v>
      </c>
      <c r="E3849" s="24" t="s">
        <v>7128</v>
      </c>
    </row>
    <row r="3850" spans="1:5" x14ac:dyDescent="0.3">
      <c r="A3850" s="17" t="str">
        <f>"64820"</f>
        <v>64820</v>
      </c>
      <c r="B3850" s="5" t="s">
        <v>4005</v>
      </c>
      <c r="C3850" s="17">
        <v>20230101</v>
      </c>
      <c r="D3850" s="17">
        <v>22991231</v>
      </c>
      <c r="E3850" s="25">
        <v>857.51</v>
      </c>
    </row>
    <row r="3851" spans="1:5" ht="26" x14ac:dyDescent="0.3">
      <c r="A3851" s="17" t="str">
        <f>"64821"</f>
        <v>64821</v>
      </c>
      <c r="B3851" s="5" t="s">
        <v>4006</v>
      </c>
      <c r="C3851" s="17">
        <v>20030401</v>
      </c>
      <c r="D3851" s="17">
        <v>22991231</v>
      </c>
      <c r="E3851" s="25">
        <v>1450.8</v>
      </c>
    </row>
    <row r="3852" spans="1:5" ht="26" x14ac:dyDescent="0.3">
      <c r="A3852" s="17" t="str">
        <f>"64822"</f>
        <v>64822</v>
      </c>
      <c r="B3852" s="5" t="s">
        <v>4007</v>
      </c>
      <c r="C3852" s="17">
        <v>20230101</v>
      </c>
      <c r="D3852" s="17">
        <v>22991231</v>
      </c>
      <c r="E3852" s="25">
        <v>1450.8</v>
      </c>
    </row>
    <row r="3853" spans="1:5" x14ac:dyDescent="0.3">
      <c r="A3853" s="17" t="str">
        <f>"64823"</f>
        <v>64823</v>
      </c>
      <c r="B3853" s="5" t="s">
        <v>4008</v>
      </c>
      <c r="C3853" s="17">
        <v>20230101</v>
      </c>
      <c r="D3853" s="17">
        <v>22991231</v>
      </c>
      <c r="E3853" s="25">
        <v>1450.8</v>
      </c>
    </row>
    <row r="3854" spans="1:5" ht="26" x14ac:dyDescent="0.3">
      <c r="A3854" s="17" t="str">
        <f>"64831"</f>
        <v>64831</v>
      </c>
      <c r="B3854" s="5" t="s">
        <v>4009</v>
      </c>
      <c r="C3854" s="17">
        <v>19900101</v>
      </c>
      <c r="D3854" s="17">
        <v>22991231</v>
      </c>
      <c r="E3854" s="25">
        <v>857.51</v>
      </c>
    </row>
    <row r="3855" spans="1:5" ht="26" x14ac:dyDescent="0.3">
      <c r="A3855" s="17" t="str">
        <f>"64832"</f>
        <v>64832</v>
      </c>
      <c r="B3855" s="5" t="s">
        <v>4010</v>
      </c>
      <c r="C3855" s="17">
        <v>19900101</v>
      </c>
      <c r="D3855" s="17">
        <v>22991231</v>
      </c>
      <c r="E3855" s="25">
        <v>0</v>
      </c>
    </row>
    <row r="3856" spans="1:5" x14ac:dyDescent="0.3">
      <c r="A3856" s="17" t="str">
        <f>"64834"</f>
        <v>64834</v>
      </c>
      <c r="B3856" s="5" t="s">
        <v>4011</v>
      </c>
      <c r="C3856" s="17">
        <v>19900101</v>
      </c>
      <c r="D3856" s="17">
        <v>22991231</v>
      </c>
      <c r="E3856" s="25">
        <v>2877.66</v>
      </c>
    </row>
    <row r="3857" spans="1:5" x14ac:dyDescent="0.3">
      <c r="A3857" s="17" t="str">
        <f>"64835"</f>
        <v>64835</v>
      </c>
      <c r="B3857" s="5" t="s">
        <v>4012</v>
      </c>
      <c r="C3857" s="17">
        <v>19900101</v>
      </c>
      <c r="D3857" s="17">
        <v>22991231</v>
      </c>
      <c r="E3857" s="25">
        <v>2877.66</v>
      </c>
    </row>
    <row r="3858" spans="1:5" x14ac:dyDescent="0.3">
      <c r="A3858" s="17" t="str">
        <f>"64836"</f>
        <v>64836</v>
      </c>
      <c r="B3858" s="5" t="s">
        <v>4013</v>
      </c>
      <c r="C3858" s="17">
        <v>19900101</v>
      </c>
      <c r="D3858" s="17">
        <v>22991231</v>
      </c>
      <c r="E3858" s="25">
        <v>2877.66</v>
      </c>
    </row>
    <row r="3859" spans="1:5" ht="26" x14ac:dyDescent="0.3">
      <c r="A3859" s="17" t="str">
        <f>"64837"</f>
        <v>64837</v>
      </c>
      <c r="B3859" s="5" t="s">
        <v>4014</v>
      </c>
      <c r="C3859" s="17">
        <v>19900101</v>
      </c>
      <c r="D3859" s="17">
        <v>22991231</v>
      </c>
      <c r="E3859" s="25">
        <v>0</v>
      </c>
    </row>
    <row r="3860" spans="1:5" x14ac:dyDescent="0.3">
      <c r="A3860" s="17" t="str">
        <f>"64840"</f>
        <v>64840</v>
      </c>
      <c r="B3860" s="5" t="s">
        <v>4015</v>
      </c>
      <c r="C3860" s="17">
        <v>19900101</v>
      </c>
      <c r="D3860" s="17">
        <v>22991231</v>
      </c>
      <c r="E3860" s="25">
        <v>2877.66</v>
      </c>
    </row>
    <row r="3861" spans="1:5" ht="26" x14ac:dyDescent="0.3">
      <c r="A3861" s="17" t="str">
        <f>"64856"</f>
        <v>64856</v>
      </c>
      <c r="B3861" s="5" t="s">
        <v>4016</v>
      </c>
      <c r="C3861" s="17">
        <v>19900101</v>
      </c>
      <c r="D3861" s="17">
        <v>22991231</v>
      </c>
      <c r="E3861" s="25">
        <v>2877.66</v>
      </c>
    </row>
    <row r="3862" spans="1:5" x14ac:dyDescent="0.3">
      <c r="A3862" s="17" t="str">
        <f>"64857"</f>
        <v>64857</v>
      </c>
      <c r="B3862" s="5" t="s">
        <v>4017</v>
      </c>
      <c r="C3862" s="17">
        <v>19900101</v>
      </c>
      <c r="D3862" s="17">
        <v>22991231</v>
      </c>
      <c r="E3862" s="25">
        <v>2877.66</v>
      </c>
    </row>
    <row r="3863" spans="1:5" x14ac:dyDescent="0.3">
      <c r="A3863" s="17" t="str">
        <f>"64858"</f>
        <v>64858</v>
      </c>
      <c r="B3863" s="5" t="s">
        <v>4018</v>
      </c>
      <c r="C3863" s="17">
        <v>19900101</v>
      </c>
      <c r="D3863" s="17">
        <v>22991231</v>
      </c>
      <c r="E3863" s="25">
        <v>1429.52</v>
      </c>
    </row>
    <row r="3864" spans="1:5" x14ac:dyDescent="0.3">
      <c r="A3864" s="17" t="str">
        <f>"64859"</f>
        <v>64859</v>
      </c>
      <c r="B3864" s="5" t="s">
        <v>4019</v>
      </c>
      <c r="C3864" s="17">
        <v>19900101</v>
      </c>
      <c r="D3864" s="17">
        <v>22991231</v>
      </c>
      <c r="E3864" s="25">
        <v>0</v>
      </c>
    </row>
    <row r="3865" spans="1:5" x14ac:dyDescent="0.3">
      <c r="A3865" s="17" t="str">
        <f>"64861"</f>
        <v>64861</v>
      </c>
      <c r="B3865" s="5" t="s">
        <v>4020</v>
      </c>
      <c r="C3865" s="17">
        <v>19900101</v>
      </c>
      <c r="D3865" s="17">
        <v>22991231</v>
      </c>
      <c r="E3865" s="25">
        <v>857.51</v>
      </c>
    </row>
    <row r="3866" spans="1:5" x14ac:dyDescent="0.3">
      <c r="A3866" s="17" t="str">
        <f>"64862"</f>
        <v>64862</v>
      </c>
      <c r="B3866" s="5" t="s">
        <v>4021</v>
      </c>
      <c r="C3866" s="17">
        <v>19900101</v>
      </c>
      <c r="D3866" s="17">
        <v>22991231</v>
      </c>
      <c r="E3866" s="25">
        <v>2877.66</v>
      </c>
    </row>
    <row r="3867" spans="1:5" x14ac:dyDescent="0.3">
      <c r="A3867" s="17" t="str">
        <f>"64864"</f>
        <v>64864</v>
      </c>
      <c r="B3867" s="5" t="s">
        <v>4022</v>
      </c>
      <c r="C3867" s="17">
        <v>19900101</v>
      </c>
      <c r="D3867" s="17">
        <v>22991231</v>
      </c>
      <c r="E3867" s="25">
        <v>2877.66</v>
      </c>
    </row>
    <row r="3868" spans="1:5" x14ac:dyDescent="0.3">
      <c r="A3868" s="17" t="str">
        <f>"64865"</f>
        <v>64865</v>
      </c>
      <c r="B3868" s="5" t="s">
        <v>4023</v>
      </c>
      <c r="C3868" s="17">
        <v>19900101</v>
      </c>
      <c r="D3868" s="17">
        <v>22991231</v>
      </c>
      <c r="E3868" s="25">
        <v>3624.11</v>
      </c>
    </row>
    <row r="3869" spans="1:5" x14ac:dyDescent="0.3">
      <c r="A3869" s="17" t="str">
        <f>"64872"</f>
        <v>64872</v>
      </c>
      <c r="B3869" s="5" t="s">
        <v>4024</v>
      </c>
      <c r="C3869" s="17">
        <v>19900101</v>
      </c>
      <c r="D3869" s="17">
        <v>22991231</v>
      </c>
      <c r="E3869" s="25">
        <v>0</v>
      </c>
    </row>
    <row r="3870" spans="1:5" x14ac:dyDescent="0.3">
      <c r="A3870" s="17" t="str">
        <f>"64874"</f>
        <v>64874</v>
      </c>
      <c r="B3870" s="5" t="s">
        <v>4025</v>
      </c>
      <c r="C3870" s="17">
        <v>19900101</v>
      </c>
      <c r="D3870" s="17">
        <v>22991231</v>
      </c>
      <c r="E3870" s="25">
        <v>0</v>
      </c>
    </row>
    <row r="3871" spans="1:5" ht="26" x14ac:dyDescent="0.3">
      <c r="A3871" s="17" t="str">
        <f>"64876"</f>
        <v>64876</v>
      </c>
      <c r="B3871" s="5" t="s">
        <v>4026</v>
      </c>
      <c r="C3871" s="17">
        <v>19900101</v>
      </c>
      <c r="D3871" s="17">
        <v>22991231</v>
      </c>
      <c r="E3871" s="25">
        <v>0</v>
      </c>
    </row>
    <row r="3872" spans="1:5" x14ac:dyDescent="0.3">
      <c r="A3872" s="17" t="str">
        <f>"64885"</f>
        <v>64885</v>
      </c>
      <c r="B3872" s="5" t="s">
        <v>4027</v>
      </c>
      <c r="C3872" s="17">
        <v>19920115</v>
      </c>
      <c r="D3872" s="17">
        <v>22991231</v>
      </c>
      <c r="E3872" s="25">
        <v>4293.9799999999996</v>
      </c>
    </row>
    <row r="3873" spans="1:5" x14ac:dyDescent="0.3">
      <c r="A3873" s="17" t="str">
        <f>"64886"</f>
        <v>64886</v>
      </c>
      <c r="B3873" s="5" t="s">
        <v>4028</v>
      </c>
      <c r="C3873" s="17">
        <v>19920115</v>
      </c>
      <c r="D3873" s="17">
        <v>22991231</v>
      </c>
      <c r="E3873" s="25">
        <v>2877.66</v>
      </c>
    </row>
    <row r="3874" spans="1:5" x14ac:dyDescent="0.3">
      <c r="A3874" s="17" t="str">
        <f>"64890"</f>
        <v>64890</v>
      </c>
      <c r="B3874" s="5" t="s">
        <v>4029</v>
      </c>
      <c r="C3874" s="17">
        <v>19900101</v>
      </c>
      <c r="D3874" s="17">
        <v>22991231</v>
      </c>
      <c r="E3874" s="25">
        <v>4377.0600000000004</v>
      </c>
    </row>
    <row r="3875" spans="1:5" x14ac:dyDescent="0.3">
      <c r="A3875" s="17" t="str">
        <f>"64891"</f>
        <v>64891</v>
      </c>
      <c r="B3875" s="5" t="s">
        <v>4030</v>
      </c>
      <c r="C3875" s="17">
        <v>19900101</v>
      </c>
      <c r="D3875" s="17">
        <v>22991231</v>
      </c>
      <c r="E3875" s="25">
        <v>3624.11</v>
      </c>
    </row>
    <row r="3876" spans="1:5" x14ac:dyDescent="0.3">
      <c r="A3876" s="17" t="str">
        <f>"64892"</f>
        <v>64892</v>
      </c>
      <c r="B3876" s="5" t="s">
        <v>4031</v>
      </c>
      <c r="C3876" s="17">
        <v>19900101</v>
      </c>
      <c r="D3876" s="17">
        <v>22991231</v>
      </c>
      <c r="E3876" s="25">
        <v>4408.6000000000004</v>
      </c>
    </row>
    <row r="3877" spans="1:5" x14ac:dyDescent="0.3">
      <c r="A3877" s="17" t="str">
        <f>"64893"</f>
        <v>64893</v>
      </c>
      <c r="B3877" s="5" t="s">
        <v>4032</v>
      </c>
      <c r="C3877" s="17">
        <v>19900101</v>
      </c>
      <c r="D3877" s="17">
        <v>22991231</v>
      </c>
      <c r="E3877" s="25">
        <v>4467.1099999999997</v>
      </c>
    </row>
    <row r="3878" spans="1:5" ht="26" x14ac:dyDescent="0.3">
      <c r="A3878" s="17" t="str">
        <f>"64895"</f>
        <v>64895</v>
      </c>
      <c r="B3878" s="5" t="s">
        <v>4033</v>
      </c>
      <c r="C3878" s="17">
        <v>19900101</v>
      </c>
      <c r="D3878" s="17">
        <v>22991231</v>
      </c>
      <c r="E3878" s="25">
        <v>2877.66</v>
      </c>
    </row>
    <row r="3879" spans="1:5" ht="26" x14ac:dyDescent="0.3">
      <c r="A3879" s="17" t="str">
        <f>"64896"</f>
        <v>64896</v>
      </c>
      <c r="B3879" s="5" t="s">
        <v>4034</v>
      </c>
      <c r="C3879" s="17">
        <v>19900101</v>
      </c>
      <c r="D3879" s="17">
        <v>22991231</v>
      </c>
      <c r="E3879" s="25">
        <v>2877.66</v>
      </c>
    </row>
    <row r="3880" spans="1:5" ht="26" x14ac:dyDescent="0.3">
      <c r="A3880" s="17" t="str">
        <f>"64897"</f>
        <v>64897</v>
      </c>
      <c r="B3880" s="5" t="s">
        <v>4035</v>
      </c>
      <c r="C3880" s="17">
        <v>19900101</v>
      </c>
      <c r="D3880" s="17">
        <v>22991231</v>
      </c>
      <c r="E3880" s="25">
        <v>3899.81</v>
      </c>
    </row>
    <row r="3881" spans="1:5" ht="26" x14ac:dyDescent="0.3">
      <c r="A3881" s="17" t="str">
        <f>"64898"</f>
        <v>64898</v>
      </c>
      <c r="B3881" s="5" t="s">
        <v>4036</v>
      </c>
      <c r="C3881" s="17">
        <v>19900101</v>
      </c>
      <c r="D3881" s="17">
        <v>22991231</v>
      </c>
      <c r="E3881" s="25">
        <v>2877.66</v>
      </c>
    </row>
    <row r="3882" spans="1:5" ht="26" x14ac:dyDescent="0.3">
      <c r="A3882" s="17" t="str">
        <f>"64901"</f>
        <v>64901</v>
      </c>
      <c r="B3882" s="5" t="s">
        <v>4037</v>
      </c>
      <c r="C3882" s="17">
        <v>19900101</v>
      </c>
      <c r="D3882" s="17">
        <v>22991231</v>
      </c>
      <c r="E3882" s="25">
        <v>0</v>
      </c>
    </row>
    <row r="3883" spans="1:5" x14ac:dyDescent="0.3">
      <c r="A3883" s="17" t="str">
        <f>"64902"</f>
        <v>64902</v>
      </c>
      <c r="B3883" s="5" t="s">
        <v>4038</v>
      </c>
      <c r="C3883" s="17">
        <v>19900101</v>
      </c>
      <c r="D3883" s="17">
        <v>22991231</v>
      </c>
      <c r="E3883" s="25">
        <v>0</v>
      </c>
    </row>
    <row r="3884" spans="1:5" x14ac:dyDescent="0.3">
      <c r="A3884" s="17" t="str">
        <f>"64905"</f>
        <v>64905</v>
      </c>
      <c r="B3884" s="5" t="s">
        <v>4039</v>
      </c>
      <c r="C3884" s="17">
        <v>19900101</v>
      </c>
      <c r="D3884" s="17">
        <v>22991231</v>
      </c>
      <c r="E3884" s="25">
        <v>2877.66</v>
      </c>
    </row>
    <row r="3885" spans="1:5" x14ac:dyDescent="0.3">
      <c r="A3885" s="17" t="str">
        <f>"64907"</f>
        <v>64907</v>
      </c>
      <c r="B3885" s="5" t="s">
        <v>4040</v>
      </c>
      <c r="C3885" s="17">
        <v>19900101</v>
      </c>
      <c r="D3885" s="17">
        <v>22991231</v>
      </c>
      <c r="E3885" s="25">
        <v>2877.66</v>
      </c>
    </row>
    <row r="3886" spans="1:5" x14ac:dyDescent="0.3">
      <c r="A3886" s="17" t="str">
        <f>"64910"</f>
        <v>64910</v>
      </c>
      <c r="B3886" s="5" t="s">
        <v>4041</v>
      </c>
      <c r="C3886" s="17">
        <v>20230101</v>
      </c>
      <c r="D3886" s="17">
        <v>22991231</v>
      </c>
      <c r="E3886" s="25">
        <v>4095.57</v>
      </c>
    </row>
    <row r="3887" spans="1:5" x14ac:dyDescent="0.3">
      <c r="A3887" s="17" t="str">
        <f>"64912"</f>
        <v>64912</v>
      </c>
      <c r="B3887" s="5" t="s">
        <v>4042</v>
      </c>
      <c r="C3887" s="17">
        <v>20180101</v>
      </c>
      <c r="D3887" s="17">
        <v>22991231</v>
      </c>
      <c r="E3887" s="25">
        <v>4373.93</v>
      </c>
    </row>
    <row r="3888" spans="1:5" ht="26" x14ac:dyDescent="0.3">
      <c r="A3888" s="17" t="str">
        <f>"64913"</f>
        <v>64913</v>
      </c>
      <c r="B3888" s="5" t="s">
        <v>4043</v>
      </c>
      <c r="C3888" s="17">
        <v>20180101</v>
      </c>
      <c r="D3888" s="17">
        <v>22991231</v>
      </c>
      <c r="E3888" s="25">
        <v>0</v>
      </c>
    </row>
    <row r="3889" spans="1:5" x14ac:dyDescent="0.3">
      <c r="A3889" s="17" t="str">
        <f>"64999"</f>
        <v>64999</v>
      </c>
      <c r="B3889" s="5" t="s">
        <v>4044</v>
      </c>
      <c r="C3889" s="17">
        <v>19900101</v>
      </c>
      <c r="D3889" s="17">
        <v>22991231</v>
      </c>
      <c r="E3889" s="24" t="s">
        <v>7128</v>
      </c>
    </row>
    <row r="3890" spans="1:5" x14ac:dyDescent="0.3">
      <c r="A3890" s="17" t="str">
        <f>"65091"</f>
        <v>65091</v>
      </c>
      <c r="B3890" s="5" t="s">
        <v>4045</v>
      </c>
      <c r="C3890" s="17">
        <v>19900101</v>
      </c>
      <c r="D3890" s="17">
        <v>22991231</v>
      </c>
      <c r="E3890" s="25">
        <v>1420.59</v>
      </c>
    </row>
    <row r="3891" spans="1:5" ht="26" x14ac:dyDescent="0.3">
      <c r="A3891" s="17" t="str">
        <f>"65093"</f>
        <v>65093</v>
      </c>
      <c r="B3891" s="5" t="s">
        <v>4046</v>
      </c>
      <c r="C3891" s="17">
        <v>19900101</v>
      </c>
      <c r="D3891" s="17">
        <v>22991231</v>
      </c>
      <c r="E3891" s="25">
        <v>1420.59</v>
      </c>
    </row>
    <row r="3892" spans="1:5" x14ac:dyDescent="0.3">
      <c r="A3892" s="17" t="str">
        <f>"65101"</f>
        <v>65101</v>
      </c>
      <c r="B3892" s="5" t="s">
        <v>4047</v>
      </c>
      <c r="C3892" s="17">
        <v>19900101</v>
      </c>
      <c r="D3892" s="17">
        <v>22991231</v>
      </c>
      <c r="E3892" s="25">
        <v>1420.59</v>
      </c>
    </row>
    <row r="3893" spans="1:5" x14ac:dyDescent="0.3">
      <c r="A3893" s="17" t="str">
        <f>"65103"</f>
        <v>65103</v>
      </c>
      <c r="B3893" s="5" t="s">
        <v>4048</v>
      </c>
      <c r="C3893" s="17">
        <v>19900101</v>
      </c>
      <c r="D3893" s="17">
        <v>22991231</v>
      </c>
      <c r="E3893" s="25">
        <v>1420.59</v>
      </c>
    </row>
    <row r="3894" spans="1:5" ht="26" x14ac:dyDescent="0.3">
      <c r="A3894" s="17" t="str">
        <f>"65105"</f>
        <v>65105</v>
      </c>
      <c r="B3894" s="5" t="s">
        <v>4049</v>
      </c>
      <c r="C3894" s="17">
        <v>19900101</v>
      </c>
      <c r="D3894" s="17">
        <v>22991231</v>
      </c>
      <c r="E3894" s="25">
        <v>1420.59</v>
      </c>
    </row>
    <row r="3895" spans="1:5" x14ac:dyDescent="0.3">
      <c r="A3895" s="17" t="str">
        <f>"65110"</f>
        <v>65110</v>
      </c>
      <c r="B3895" s="5" t="s">
        <v>4050</v>
      </c>
      <c r="C3895" s="17">
        <v>19900101</v>
      </c>
      <c r="D3895" s="17">
        <v>22991231</v>
      </c>
      <c r="E3895" s="25">
        <v>1420.59</v>
      </c>
    </row>
    <row r="3896" spans="1:5" ht="26" x14ac:dyDescent="0.3">
      <c r="A3896" s="17" t="str">
        <f>"65112"</f>
        <v>65112</v>
      </c>
      <c r="B3896" s="5" t="s">
        <v>4051</v>
      </c>
      <c r="C3896" s="17">
        <v>19900101</v>
      </c>
      <c r="D3896" s="17">
        <v>22991231</v>
      </c>
      <c r="E3896" s="25">
        <v>1420.59</v>
      </c>
    </row>
    <row r="3897" spans="1:5" ht="26" x14ac:dyDescent="0.3">
      <c r="A3897" s="17" t="str">
        <f>"65114"</f>
        <v>65114</v>
      </c>
      <c r="B3897" s="5" t="s">
        <v>4052</v>
      </c>
      <c r="C3897" s="17">
        <v>19900101</v>
      </c>
      <c r="D3897" s="17">
        <v>22991231</v>
      </c>
      <c r="E3897" s="25">
        <v>1420.59</v>
      </c>
    </row>
    <row r="3898" spans="1:5" x14ac:dyDescent="0.3">
      <c r="A3898" s="17" t="str">
        <f>"65125"</f>
        <v>65125</v>
      </c>
      <c r="B3898" s="5" t="s">
        <v>4053</v>
      </c>
      <c r="C3898" s="17">
        <v>19920115</v>
      </c>
      <c r="D3898" s="17">
        <v>22991231</v>
      </c>
      <c r="E3898" s="25">
        <v>934.62</v>
      </c>
    </row>
    <row r="3899" spans="1:5" ht="26" x14ac:dyDescent="0.3">
      <c r="A3899" s="17" t="str">
        <f>"65130"</f>
        <v>65130</v>
      </c>
      <c r="B3899" s="5" t="s">
        <v>4054</v>
      </c>
      <c r="C3899" s="17">
        <v>19900101</v>
      </c>
      <c r="D3899" s="17">
        <v>22991231</v>
      </c>
      <c r="E3899" s="25">
        <v>1420.59</v>
      </c>
    </row>
    <row r="3900" spans="1:5" x14ac:dyDescent="0.3">
      <c r="A3900" s="17" t="str">
        <f>"65135"</f>
        <v>65135</v>
      </c>
      <c r="B3900" s="5" t="s">
        <v>4055</v>
      </c>
      <c r="C3900" s="17">
        <v>19900101</v>
      </c>
      <c r="D3900" s="17">
        <v>22991231</v>
      </c>
      <c r="E3900" s="25">
        <v>1834.14</v>
      </c>
    </row>
    <row r="3901" spans="1:5" ht="26" x14ac:dyDescent="0.3">
      <c r="A3901" s="17" t="str">
        <f>"65140"</f>
        <v>65140</v>
      </c>
      <c r="B3901" s="5" t="s">
        <v>4056</v>
      </c>
      <c r="C3901" s="17">
        <v>19900101</v>
      </c>
      <c r="D3901" s="17">
        <v>22991231</v>
      </c>
      <c r="E3901" s="25">
        <v>1420.59</v>
      </c>
    </row>
    <row r="3902" spans="1:5" x14ac:dyDescent="0.3">
      <c r="A3902" s="17" t="str">
        <f>"65150"</f>
        <v>65150</v>
      </c>
      <c r="B3902" s="5" t="s">
        <v>4057</v>
      </c>
      <c r="C3902" s="17">
        <v>19900101</v>
      </c>
      <c r="D3902" s="17">
        <v>22991231</v>
      </c>
      <c r="E3902" s="25">
        <v>1420.59</v>
      </c>
    </row>
    <row r="3903" spans="1:5" ht="26" x14ac:dyDescent="0.3">
      <c r="A3903" s="17" t="str">
        <f>"65155"</f>
        <v>65155</v>
      </c>
      <c r="B3903" s="5" t="s">
        <v>4058</v>
      </c>
      <c r="C3903" s="17">
        <v>19900101</v>
      </c>
      <c r="D3903" s="17">
        <v>22991231</v>
      </c>
      <c r="E3903" s="25">
        <v>1420.59</v>
      </c>
    </row>
    <row r="3904" spans="1:5" x14ac:dyDescent="0.3">
      <c r="A3904" s="17" t="str">
        <f>"65175"</f>
        <v>65175</v>
      </c>
      <c r="B3904" s="5" t="s">
        <v>4059</v>
      </c>
      <c r="C3904" s="17">
        <v>19900101</v>
      </c>
      <c r="D3904" s="17">
        <v>22991231</v>
      </c>
      <c r="E3904" s="25">
        <v>1420.59</v>
      </c>
    </row>
    <row r="3905" spans="1:5" ht="26" x14ac:dyDescent="0.3">
      <c r="A3905" s="17" t="str">
        <f>"65205"</f>
        <v>65205</v>
      </c>
      <c r="B3905" s="5" t="s">
        <v>4060</v>
      </c>
      <c r="C3905" s="17">
        <v>19900101</v>
      </c>
      <c r="D3905" s="17">
        <v>22991231</v>
      </c>
      <c r="E3905" s="25">
        <v>0</v>
      </c>
    </row>
    <row r="3906" spans="1:5" ht="26" x14ac:dyDescent="0.3">
      <c r="A3906" s="17" t="str">
        <f>"65210"</f>
        <v>65210</v>
      </c>
      <c r="B3906" s="5" t="s">
        <v>4061</v>
      </c>
      <c r="C3906" s="17">
        <v>19900101</v>
      </c>
      <c r="D3906" s="17">
        <v>22991231</v>
      </c>
      <c r="E3906" s="25">
        <v>0</v>
      </c>
    </row>
    <row r="3907" spans="1:5" x14ac:dyDescent="0.3">
      <c r="A3907" s="17" t="str">
        <f>"65220"</f>
        <v>65220</v>
      </c>
      <c r="B3907" s="5" t="s">
        <v>4062</v>
      </c>
      <c r="C3907" s="17">
        <v>19900101</v>
      </c>
      <c r="D3907" s="17">
        <v>22991231</v>
      </c>
      <c r="E3907" s="25">
        <v>0</v>
      </c>
    </row>
    <row r="3908" spans="1:5" ht="26" x14ac:dyDescent="0.3">
      <c r="A3908" s="17" t="str">
        <f>"65222"</f>
        <v>65222</v>
      </c>
      <c r="B3908" s="5" t="s">
        <v>4063</v>
      </c>
      <c r="C3908" s="17">
        <v>19900101</v>
      </c>
      <c r="D3908" s="17">
        <v>22991231</v>
      </c>
      <c r="E3908" s="25">
        <v>0</v>
      </c>
    </row>
    <row r="3909" spans="1:5" x14ac:dyDescent="0.3">
      <c r="A3909" s="17" t="str">
        <f>"65235"</f>
        <v>65235</v>
      </c>
      <c r="B3909" s="5" t="s">
        <v>4064</v>
      </c>
      <c r="C3909" s="17">
        <v>19900101</v>
      </c>
      <c r="D3909" s="17">
        <v>22991231</v>
      </c>
      <c r="E3909" s="25">
        <v>1130.6099999999999</v>
      </c>
    </row>
    <row r="3910" spans="1:5" x14ac:dyDescent="0.3">
      <c r="A3910" s="17" t="str">
        <f>"65260"</f>
        <v>65260</v>
      </c>
      <c r="B3910" s="5" t="s">
        <v>4065</v>
      </c>
      <c r="C3910" s="17">
        <v>19900101</v>
      </c>
      <c r="D3910" s="17">
        <v>22991231</v>
      </c>
      <c r="E3910" s="25">
        <v>1130.6099999999999</v>
      </c>
    </row>
    <row r="3911" spans="1:5" x14ac:dyDescent="0.3">
      <c r="A3911" s="17" t="str">
        <f>"65265"</f>
        <v>65265</v>
      </c>
      <c r="B3911" s="5" t="s">
        <v>4066</v>
      </c>
      <c r="C3911" s="17">
        <v>19900101</v>
      </c>
      <c r="D3911" s="17">
        <v>22991231</v>
      </c>
      <c r="E3911" s="25">
        <v>1130.6099999999999</v>
      </c>
    </row>
    <row r="3912" spans="1:5" x14ac:dyDescent="0.3">
      <c r="A3912" s="17" t="str">
        <f>"65270"</f>
        <v>65270</v>
      </c>
      <c r="B3912" s="5" t="s">
        <v>4067</v>
      </c>
      <c r="C3912" s="17">
        <v>19900101</v>
      </c>
      <c r="D3912" s="17">
        <v>22991231</v>
      </c>
      <c r="E3912" s="25">
        <v>934.62</v>
      </c>
    </row>
    <row r="3913" spans="1:5" ht="26" x14ac:dyDescent="0.3">
      <c r="A3913" s="17" t="str">
        <f>"65272"</f>
        <v>65272</v>
      </c>
      <c r="B3913" s="5" t="s">
        <v>4068</v>
      </c>
      <c r="C3913" s="17">
        <v>19900101</v>
      </c>
      <c r="D3913" s="17">
        <v>22991231</v>
      </c>
      <c r="E3913" s="25">
        <v>934.62</v>
      </c>
    </row>
    <row r="3914" spans="1:5" x14ac:dyDescent="0.3">
      <c r="A3914" s="17" t="str">
        <f>"65275"</f>
        <v>65275</v>
      </c>
      <c r="B3914" s="5" t="s">
        <v>4069</v>
      </c>
      <c r="C3914" s="17">
        <v>19900101</v>
      </c>
      <c r="D3914" s="17">
        <v>22991231</v>
      </c>
      <c r="E3914" s="25">
        <v>1420.59</v>
      </c>
    </row>
    <row r="3915" spans="1:5" ht="26" x14ac:dyDescent="0.3">
      <c r="A3915" s="17" t="str">
        <f>"65280"</f>
        <v>65280</v>
      </c>
      <c r="B3915" s="5" t="s">
        <v>4070</v>
      </c>
      <c r="C3915" s="17">
        <v>19900101</v>
      </c>
      <c r="D3915" s="17">
        <v>22991231</v>
      </c>
      <c r="E3915" s="25">
        <v>2469.58</v>
      </c>
    </row>
    <row r="3916" spans="1:5" ht="26" x14ac:dyDescent="0.3">
      <c r="A3916" s="17" t="str">
        <f>"65285"</f>
        <v>65285</v>
      </c>
      <c r="B3916" s="5" t="s">
        <v>4071</v>
      </c>
      <c r="C3916" s="17">
        <v>19900101</v>
      </c>
      <c r="D3916" s="17">
        <v>22991231</v>
      </c>
      <c r="E3916" s="25">
        <v>2469.58</v>
      </c>
    </row>
    <row r="3917" spans="1:5" ht="26" x14ac:dyDescent="0.3">
      <c r="A3917" s="17" t="str">
        <f>"65286"</f>
        <v>65286</v>
      </c>
      <c r="B3917" s="5" t="s">
        <v>4072</v>
      </c>
      <c r="C3917" s="17">
        <v>19900101</v>
      </c>
      <c r="D3917" s="17">
        <v>22991231</v>
      </c>
      <c r="E3917" s="25">
        <v>427.53</v>
      </c>
    </row>
    <row r="3918" spans="1:5" x14ac:dyDescent="0.3">
      <c r="A3918" s="17" t="str">
        <f>"65290"</f>
        <v>65290</v>
      </c>
      <c r="B3918" s="5" t="s">
        <v>4073</v>
      </c>
      <c r="C3918" s="17">
        <v>19900101</v>
      </c>
      <c r="D3918" s="17">
        <v>22991231</v>
      </c>
      <c r="E3918" s="25">
        <v>1420.59</v>
      </c>
    </row>
    <row r="3919" spans="1:5" x14ac:dyDescent="0.3">
      <c r="A3919" s="17" t="str">
        <f>"65400"</f>
        <v>65400</v>
      </c>
      <c r="B3919" s="5" t="s">
        <v>4074</v>
      </c>
      <c r="C3919" s="17">
        <v>19900101</v>
      </c>
      <c r="D3919" s="17">
        <v>22991231</v>
      </c>
      <c r="E3919" s="25">
        <v>501.63</v>
      </c>
    </row>
    <row r="3920" spans="1:5" x14ac:dyDescent="0.3">
      <c r="A3920" s="17" t="str">
        <f>"65410"</f>
        <v>65410</v>
      </c>
      <c r="B3920" s="5" t="s">
        <v>4075</v>
      </c>
      <c r="C3920" s="17">
        <v>19900101</v>
      </c>
      <c r="D3920" s="17">
        <v>22991231</v>
      </c>
      <c r="E3920" s="25">
        <v>934.62</v>
      </c>
    </row>
    <row r="3921" spans="1:5" x14ac:dyDescent="0.3">
      <c r="A3921" s="17" t="str">
        <f>"65420"</f>
        <v>65420</v>
      </c>
      <c r="B3921" s="5" t="s">
        <v>4076</v>
      </c>
      <c r="C3921" s="17">
        <v>19900101</v>
      </c>
      <c r="D3921" s="17">
        <v>22991231</v>
      </c>
      <c r="E3921" s="25">
        <v>934.62</v>
      </c>
    </row>
    <row r="3922" spans="1:5" ht="26" x14ac:dyDescent="0.3">
      <c r="A3922" s="17" t="str">
        <f>"65426"</f>
        <v>65426</v>
      </c>
      <c r="B3922" s="5" t="s">
        <v>4077</v>
      </c>
      <c r="C3922" s="17">
        <v>19900101</v>
      </c>
      <c r="D3922" s="17">
        <v>22991231</v>
      </c>
      <c r="E3922" s="25">
        <v>934.62</v>
      </c>
    </row>
    <row r="3923" spans="1:5" x14ac:dyDescent="0.3">
      <c r="A3923" s="17" t="str">
        <f>"65430"</f>
        <v>65430</v>
      </c>
      <c r="B3923" s="5" t="s">
        <v>4078</v>
      </c>
      <c r="C3923" s="17">
        <v>19900101</v>
      </c>
      <c r="D3923" s="17">
        <v>22991231</v>
      </c>
      <c r="E3923" s="25">
        <v>0</v>
      </c>
    </row>
    <row r="3924" spans="1:5" x14ac:dyDescent="0.3">
      <c r="A3924" s="17" t="str">
        <f>"65435"</f>
        <v>65435</v>
      </c>
      <c r="B3924" s="5" t="s">
        <v>4079</v>
      </c>
      <c r="C3924" s="17">
        <v>19900101</v>
      </c>
      <c r="D3924" s="17">
        <v>22991231</v>
      </c>
      <c r="E3924" s="25">
        <v>45.97</v>
      </c>
    </row>
    <row r="3925" spans="1:5" ht="26" x14ac:dyDescent="0.3">
      <c r="A3925" s="17" t="str">
        <f>"65436"</f>
        <v>65436</v>
      </c>
      <c r="B3925" s="5" t="s">
        <v>4080</v>
      </c>
      <c r="C3925" s="17">
        <v>19900101</v>
      </c>
      <c r="D3925" s="17">
        <v>22991231</v>
      </c>
      <c r="E3925" s="25">
        <v>199.23</v>
      </c>
    </row>
    <row r="3926" spans="1:5" x14ac:dyDescent="0.3">
      <c r="A3926" s="17" t="str">
        <f>"65450"</f>
        <v>65450</v>
      </c>
      <c r="B3926" s="5" t="s">
        <v>4081</v>
      </c>
      <c r="C3926" s="17">
        <v>19900101</v>
      </c>
      <c r="D3926" s="17">
        <v>22991231</v>
      </c>
      <c r="E3926" s="25">
        <v>144.33000000000001</v>
      </c>
    </row>
    <row r="3927" spans="1:5" x14ac:dyDescent="0.3">
      <c r="A3927" s="17" t="str">
        <f>"65600"</f>
        <v>65600</v>
      </c>
      <c r="B3927" s="5" t="s">
        <v>4082</v>
      </c>
      <c r="C3927" s="17">
        <v>19900101</v>
      </c>
      <c r="D3927" s="17">
        <v>22991231</v>
      </c>
      <c r="E3927" s="25">
        <v>267.72000000000003</v>
      </c>
    </row>
    <row r="3928" spans="1:5" ht="26" x14ac:dyDescent="0.3">
      <c r="A3928" s="17" t="str">
        <f>"65710"</f>
        <v>65710</v>
      </c>
      <c r="B3928" s="5" t="s">
        <v>4083</v>
      </c>
      <c r="C3928" s="17">
        <v>19900101</v>
      </c>
      <c r="D3928" s="17">
        <v>22991231</v>
      </c>
      <c r="E3928" s="25">
        <v>2469.58</v>
      </c>
    </row>
    <row r="3929" spans="1:5" ht="39" x14ac:dyDescent="0.3">
      <c r="A3929" s="17" t="str">
        <f>"65730"</f>
        <v>65730</v>
      </c>
      <c r="B3929" s="5" t="s">
        <v>4084</v>
      </c>
      <c r="C3929" s="17">
        <v>19900101</v>
      </c>
      <c r="D3929" s="17">
        <v>22991231</v>
      </c>
      <c r="E3929" s="25">
        <v>1953.31</v>
      </c>
    </row>
    <row r="3930" spans="1:5" ht="26" x14ac:dyDescent="0.3">
      <c r="A3930" s="17" t="str">
        <f>"65750"</f>
        <v>65750</v>
      </c>
      <c r="B3930" s="5" t="s">
        <v>4085</v>
      </c>
      <c r="C3930" s="17">
        <v>19900101</v>
      </c>
      <c r="D3930" s="17">
        <v>22991231</v>
      </c>
      <c r="E3930" s="25">
        <v>2469.58</v>
      </c>
    </row>
    <row r="3931" spans="1:5" ht="26" x14ac:dyDescent="0.3">
      <c r="A3931" s="17" t="str">
        <f>"65755"</f>
        <v>65755</v>
      </c>
      <c r="B3931" s="5" t="s">
        <v>4086</v>
      </c>
      <c r="C3931" s="17">
        <v>19910401</v>
      </c>
      <c r="D3931" s="17">
        <v>22991231</v>
      </c>
      <c r="E3931" s="25">
        <v>1953.31</v>
      </c>
    </row>
    <row r="3932" spans="1:5" x14ac:dyDescent="0.3">
      <c r="A3932" s="17" t="str">
        <f>"65756"</f>
        <v>65756</v>
      </c>
      <c r="B3932" s="5" t="s">
        <v>4087</v>
      </c>
      <c r="C3932" s="17">
        <v>20090101</v>
      </c>
      <c r="D3932" s="17">
        <v>22991231</v>
      </c>
      <c r="E3932" s="25">
        <v>1953.31</v>
      </c>
    </row>
    <row r="3933" spans="1:5" x14ac:dyDescent="0.3">
      <c r="A3933" s="17" t="str">
        <f>"65757"</f>
        <v>65757</v>
      </c>
      <c r="B3933" s="5" t="s">
        <v>4088</v>
      </c>
      <c r="C3933" s="17">
        <v>20090101</v>
      </c>
      <c r="D3933" s="17">
        <v>22991231</v>
      </c>
      <c r="E3933" s="25">
        <v>0</v>
      </c>
    </row>
    <row r="3934" spans="1:5" x14ac:dyDescent="0.3">
      <c r="A3934" s="17" t="str">
        <f>"65760"</f>
        <v>65760</v>
      </c>
      <c r="B3934" s="5" t="s">
        <v>4089</v>
      </c>
      <c r="C3934" s="17">
        <v>19900101</v>
      </c>
      <c r="D3934" s="17">
        <v>22991231</v>
      </c>
      <c r="E3934" s="24" t="s">
        <v>7128</v>
      </c>
    </row>
    <row r="3935" spans="1:5" x14ac:dyDescent="0.3">
      <c r="A3935" s="17" t="str">
        <f>"65765"</f>
        <v>65765</v>
      </c>
      <c r="B3935" s="5" t="s">
        <v>4090</v>
      </c>
      <c r="C3935" s="17">
        <v>19900101</v>
      </c>
      <c r="D3935" s="17">
        <v>22991231</v>
      </c>
      <c r="E3935" s="24" t="s">
        <v>7128</v>
      </c>
    </row>
    <row r="3936" spans="1:5" x14ac:dyDescent="0.3">
      <c r="A3936" s="17" t="str">
        <f>"65767"</f>
        <v>65767</v>
      </c>
      <c r="B3936" s="5" t="s">
        <v>4091</v>
      </c>
      <c r="C3936" s="17">
        <v>19900101</v>
      </c>
      <c r="D3936" s="17">
        <v>22991231</v>
      </c>
      <c r="E3936" s="24" t="s">
        <v>7128</v>
      </c>
    </row>
    <row r="3937" spans="1:5" x14ac:dyDescent="0.3">
      <c r="A3937" s="17" t="str">
        <f>"65770"</f>
        <v>65770</v>
      </c>
      <c r="B3937" s="5" t="s">
        <v>4092</v>
      </c>
      <c r="C3937" s="17">
        <v>19900101</v>
      </c>
      <c r="D3937" s="17">
        <v>22991231</v>
      </c>
      <c r="E3937" s="25">
        <v>10280.450000000001</v>
      </c>
    </row>
    <row r="3938" spans="1:5" x14ac:dyDescent="0.3">
      <c r="A3938" s="17" t="str">
        <f>"65772"</f>
        <v>65772</v>
      </c>
      <c r="B3938" s="5" t="s">
        <v>4093</v>
      </c>
      <c r="C3938" s="17">
        <v>19900101</v>
      </c>
      <c r="D3938" s="17">
        <v>22991231</v>
      </c>
      <c r="E3938" s="25">
        <v>501.63</v>
      </c>
    </row>
    <row r="3939" spans="1:5" x14ac:dyDescent="0.3">
      <c r="A3939" s="17" t="str">
        <f>"65775"</f>
        <v>65775</v>
      </c>
      <c r="B3939" s="5" t="s">
        <v>4094</v>
      </c>
      <c r="C3939" s="17">
        <v>19900101</v>
      </c>
      <c r="D3939" s="17">
        <v>22991231</v>
      </c>
      <c r="E3939" s="25">
        <v>934.62</v>
      </c>
    </row>
    <row r="3940" spans="1:5" ht="26" x14ac:dyDescent="0.3">
      <c r="A3940" s="17" t="str">
        <f>"65778"</f>
        <v>65778</v>
      </c>
      <c r="B3940" s="5" t="s">
        <v>4095</v>
      </c>
      <c r="C3940" s="17">
        <v>20110101</v>
      </c>
      <c r="D3940" s="17">
        <v>22991231</v>
      </c>
      <c r="E3940" s="25">
        <v>0</v>
      </c>
    </row>
    <row r="3941" spans="1:5" ht="26" x14ac:dyDescent="0.3">
      <c r="A3941" s="17" t="str">
        <f>"65779"</f>
        <v>65779</v>
      </c>
      <c r="B3941" s="5" t="s">
        <v>4096</v>
      </c>
      <c r="C3941" s="17">
        <v>20110101</v>
      </c>
      <c r="D3941" s="17">
        <v>22991231</v>
      </c>
      <c r="E3941" s="25">
        <v>0</v>
      </c>
    </row>
    <row r="3942" spans="1:5" x14ac:dyDescent="0.3">
      <c r="A3942" s="17" t="str">
        <f>"65780"</f>
        <v>65780</v>
      </c>
      <c r="B3942" s="5" t="s">
        <v>4097</v>
      </c>
      <c r="C3942" s="17">
        <v>20051001</v>
      </c>
      <c r="D3942" s="17">
        <v>22991231</v>
      </c>
      <c r="E3942" s="25">
        <v>1420.59</v>
      </c>
    </row>
    <row r="3943" spans="1:5" x14ac:dyDescent="0.3">
      <c r="A3943" s="17" t="str">
        <f>"65781"</f>
        <v>65781</v>
      </c>
      <c r="B3943" s="5" t="s">
        <v>4098</v>
      </c>
      <c r="C3943" s="17">
        <v>20051001</v>
      </c>
      <c r="D3943" s="17">
        <v>22991231</v>
      </c>
      <c r="E3943" s="25">
        <v>3658.21</v>
      </c>
    </row>
    <row r="3944" spans="1:5" ht="26" x14ac:dyDescent="0.3">
      <c r="A3944" s="17" t="str">
        <f>"65782"</f>
        <v>65782</v>
      </c>
      <c r="B3944" s="5" t="s">
        <v>4099</v>
      </c>
      <c r="C3944" s="17">
        <v>20051001</v>
      </c>
      <c r="D3944" s="17">
        <v>22991231</v>
      </c>
      <c r="E3944" s="25">
        <v>1420.59</v>
      </c>
    </row>
    <row r="3945" spans="1:5" x14ac:dyDescent="0.3">
      <c r="A3945" s="17" t="str">
        <f>"65785"</f>
        <v>65785</v>
      </c>
      <c r="B3945" s="5" t="s">
        <v>4100</v>
      </c>
      <c r="C3945" s="17">
        <v>20230101</v>
      </c>
      <c r="D3945" s="17">
        <v>22991231</v>
      </c>
      <c r="E3945" s="25">
        <v>1805.85</v>
      </c>
    </row>
    <row r="3946" spans="1:5" x14ac:dyDescent="0.3">
      <c r="A3946" s="17" t="str">
        <f>"65800"</f>
        <v>65800</v>
      </c>
      <c r="B3946" s="5" t="s">
        <v>4101</v>
      </c>
      <c r="C3946" s="17">
        <v>19970801</v>
      </c>
      <c r="D3946" s="17">
        <v>22991231</v>
      </c>
      <c r="E3946" s="25">
        <v>1130.6099999999999</v>
      </c>
    </row>
    <row r="3947" spans="1:5" x14ac:dyDescent="0.3">
      <c r="A3947" s="17" t="str">
        <f>"65810"</f>
        <v>65810</v>
      </c>
      <c r="B3947" s="5" t="s">
        <v>4102</v>
      </c>
      <c r="C3947" s="17">
        <v>19900101</v>
      </c>
      <c r="D3947" s="17">
        <v>22991231</v>
      </c>
      <c r="E3947" s="25">
        <v>1130.6099999999999</v>
      </c>
    </row>
    <row r="3948" spans="1:5" x14ac:dyDescent="0.3">
      <c r="A3948" s="17" t="str">
        <f>"65815"</f>
        <v>65815</v>
      </c>
      <c r="B3948" s="5" t="s">
        <v>4103</v>
      </c>
      <c r="C3948" s="17">
        <v>19900101</v>
      </c>
      <c r="D3948" s="17">
        <v>22991231</v>
      </c>
      <c r="E3948" s="25">
        <v>1130.6099999999999</v>
      </c>
    </row>
    <row r="3949" spans="1:5" x14ac:dyDescent="0.3">
      <c r="A3949" s="17" t="str">
        <f>"65820"</f>
        <v>65820</v>
      </c>
      <c r="B3949" s="5" t="s">
        <v>4104</v>
      </c>
      <c r="C3949" s="17">
        <v>19900101</v>
      </c>
      <c r="D3949" s="17">
        <v>22991231</v>
      </c>
      <c r="E3949" s="25">
        <v>1953.31</v>
      </c>
    </row>
    <row r="3950" spans="1:5" x14ac:dyDescent="0.3">
      <c r="A3950" s="17" t="str">
        <f>"65850"</f>
        <v>65850</v>
      </c>
      <c r="B3950" s="5" t="s">
        <v>4105</v>
      </c>
      <c r="C3950" s="17">
        <v>19900101</v>
      </c>
      <c r="D3950" s="17">
        <v>22991231</v>
      </c>
      <c r="E3950" s="25">
        <v>1130.6099999999999</v>
      </c>
    </row>
    <row r="3951" spans="1:5" x14ac:dyDescent="0.3">
      <c r="A3951" s="17" t="str">
        <f>"65855"</f>
        <v>65855</v>
      </c>
      <c r="B3951" s="5" t="s">
        <v>4106</v>
      </c>
      <c r="C3951" s="17">
        <v>19900101</v>
      </c>
      <c r="D3951" s="17">
        <v>22991231</v>
      </c>
      <c r="E3951" s="25">
        <v>127.29</v>
      </c>
    </row>
    <row r="3952" spans="1:5" x14ac:dyDescent="0.3">
      <c r="A3952" s="17" t="str">
        <f>"65860"</f>
        <v>65860</v>
      </c>
      <c r="B3952" s="5" t="s">
        <v>4107</v>
      </c>
      <c r="C3952" s="17">
        <v>20230101</v>
      </c>
      <c r="D3952" s="17">
        <v>22991231</v>
      </c>
      <c r="E3952" s="25">
        <v>165.76</v>
      </c>
    </row>
    <row r="3953" spans="1:5" x14ac:dyDescent="0.3">
      <c r="A3953" s="17" t="str">
        <f>"65865"</f>
        <v>65865</v>
      </c>
      <c r="B3953" s="5" t="s">
        <v>4108</v>
      </c>
      <c r="C3953" s="17">
        <v>19900101</v>
      </c>
      <c r="D3953" s="17">
        <v>22991231</v>
      </c>
      <c r="E3953" s="25">
        <v>1130.6099999999999</v>
      </c>
    </row>
    <row r="3954" spans="1:5" ht="26" x14ac:dyDescent="0.3">
      <c r="A3954" s="17" t="str">
        <f>"65870"</f>
        <v>65870</v>
      </c>
      <c r="B3954" s="5" t="s">
        <v>4109</v>
      </c>
      <c r="C3954" s="17">
        <v>19900101</v>
      </c>
      <c r="D3954" s="17">
        <v>22991231</v>
      </c>
      <c r="E3954" s="25">
        <v>1130.6099999999999</v>
      </c>
    </row>
    <row r="3955" spans="1:5" ht="26" x14ac:dyDescent="0.3">
      <c r="A3955" s="17" t="str">
        <f>"65875"</f>
        <v>65875</v>
      </c>
      <c r="B3955" s="5" t="s">
        <v>4110</v>
      </c>
      <c r="C3955" s="17">
        <v>19900101</v>
      </c>
      <c r="D3955" s="17">
        <v>22991231</v>
      </c>
      <c r="E3955" s="25">
        <v>1130.6099999999999</v>
      </c>
    </row>
    <row r="3956" spans="1:5" x14ac:dyDescent="0.3">
      <c r="A3956" s="17" t="str">
        <f>"65880"</f>
        <v>65880</v>
      </c>
      <c r="B3956" s="5" t="s">
        <v>4111</v>
      </c>
      <c r="C3956" s="17">
        <v>19900101</v>
      </c>
      <c r="D3956" s="17">
        <v>22991231</v>
      </c>
      <c r="E3956" s="25">
        <v>1953.31</v>
      </c>
    </row>
    <row r="3957" spans="1:5" x14ac:dyDescent="0.3">
      <c r="A3957" s="17" t="str">
        <f>"65900"</f>
        <v>65900</v>
      </c>
      <c r="B3957" s="5" t="s">
        <v>4112</v>
      </c>
      <c r="C3957" s="17">
        <v>19900101</v>
      </c>
      <c r="D3957" s="17">
        <v>22991231</v>
      </c>
      <c r="E3957" s="25">
        <v>1130.6099999999999</v>
      </c>
    </row>
    <row r="3958" spans="1:5" x14ac:dyDescent="0.3">
      <c r="A3958" s="17" t="str">
        <f>"65920"</f>
        <v>65920</v>
      </c>
      <c r="B3958" s="5" t="s">
        <v>4113</v>
      </c>
      <c r="C3958" s="17">
        <v>19900101</v>
      </c>
      <c r="D3958" s="17">
        <v>22991231</v>
      </c>
      <c r="E3958" s="25">
        <v>1130.6099999999999</v>
      </c>
    </row>
    <row r="3959" spans="1:5" x14ac:dyDescent="0.3">
      <c r="A3959" s="17" t="str">
        <f>"65930"</f>
        <v>65930</v>
      </c>
      <c r="B3959" s="5" t="s">
        <v>4114</v>
      </c>
      <c r="C3959" s="17">
        <v>19900101</v>
      </c>
      <c r="D3959" s="17">
        <v>22991231</v>
      </c>
      <c r="E3959" s="25">
        <v>1130.6099999999999</v>
      </c>
    </row>
    <row r="3960" spans="1:5" x14ac:dyDescent="0.3">
      <c r="A3960" s="17">
        <v>66020</v>
      </c>
      <c r="B3960" s="5" t="s">
        <v>4115</v>
      </c>
      <c r="C3960" s="17">
        <v>20230101</v>
      </c>
      <c r="D3960" s="17">
        <v>22991231</v>
      </c>
      <c r="E3960" s="25">
        <v>1130.6099999999999</v>
      </c>
    </row>
    <row r="3961" spans="1:5" x14ac:dyDescent="0.3">
      <c r="A3961" s="17" t="str">
        <f>"66030"</f>
        <v>66030</v>
      </c>
      <c r="B3961" s="5" t="s">
        <v>4116</v>
      </c>
      <c r="C3961" s="17">
        <v>19970801</v>
      </c>
      <c r="D3961" s="17">
        <v>22991231</v>
      </c>
      <c r="E3961" s="25">
        <v>1130.6099999999999</v>
      </c>
    </row>
    <row r="3962" spans="1:5" x14ac:dyDescent="0.3">
      <c r="A3962" s="17" t="str">
        <f>"66130"</f>
        <v>66130</v>
      </c>
      <c r="B3962" s="5" t="s">
        <v>4117</v>
      </c>
      <c r="C3962" s="17">
        <v>19900101</v>
      </c>
      <c r="D3962" s="17">
        <v>22991231</v>
      </c>
      <c r="E3962" s="25">
        <v>934.62</v>
      </c>
    </row>
    <row r="3963" spans="1:5" ht="26" x14ac:dyDescent="0.3">
      <c r="A3963" s="17" t="str">
        <f>"66150"</f>
        <v>66150</v>
      </c>
      <c r="B3963" s="5" t="s">
        <v>4118</v>
      </c>
      <c r="C3963" s="17">
        <v>19900101</v>
      </c>
      <c r="D3963" s="17">
        <v>22991231</v>
      </c>
      <c r="E3963" s="25">
        <v>1953.31</v>
      </c>
    </row>
    <row r="3964" spans="1:5" ht="26" x14ac:dyDescent="0.3">
      <c r="A3964" s="17" t="str">
        <f>"66155"</f>
        <v>66155</v>
      </c>
      <c r="B3964" s="5" t="s">
        <v>4119</v>
      </c>
      <c r="C3964" s="17">
        <v>19900101</v>
      </c>
      <c r="D3964" s="17">
        <v>22991231</v>
      </c>
      <c r="E3964" s="25">
        <v>2690.29</v>
      </c>
    </row>
    <row r="3965" spans="1:5" ht="26" x14ac:dyDescent="0.3">
      <c r="A3965" s="17" t="str">
        <f>"66160"</f>
        <v>66160</v>
      </c>
      <c r="B3965" s="5" t="s">
        <v>4120</v>
      </c>
      <c r="C3965" s="17">
        <v>19900101</v>
      </c>
      <c r="D3965" s="17">
        <v>22991231</v>
      </c>
      <c r="E3965" s="25">
        <v>1130.6099999999999</v>
      </c>
    </row>
    <row r="3966" spans="1:5" ht="26" x14ac:dyDescent="0.3">
      <c r="A3966" s="17" t="str">
        <f>"66170"</f>
        <v>66170</v>
      </c>
      <c r="B3966" s="5" t="s">
        <v>4121</v>
      </c>
      <c r="C3966" s="17">
        <v>19900101</v>
      </c>
      <c r="D3966" s="17">
        <v>22991231</v>
      </c>
      <c r="E3966" s="25">
        <v>1130.6099999999999</v>
      </c>
    </row>
    <row r="3967" spans="1:5" ht="26" x14ac:dyDescent="0.3">
      <c r="A3967" s="17" t="str">
        <f>"66172"</f>
        <v>66172</v>
      </c>
      <c r="B3967" s="5" t="s">
        <v>4122</v>
      </c>
      <c r="C3967" s="17">
        <v>19940101</v>
      </c>
      <c r="D3967" s="17">
        <v>22991231</v>
      </c>
      <c r="E3967" s="25">
        <v>1130.6099999999999</v>
      </c>
    </row>
    <row r="3968" spans="1:5" x14ac:dyDescent="0.3">
      <c r="A3968" s="17" t="str">
        <f>"66174"</f>
        <v>66174</v>
      </c>
      <c r="B3968" s="5" t="s">
        <v>4123</v>
      </c>
      <c r="C3968" s="17">
        <v>20110101</v>
      </c>
      <c r="D3968" s="17">
        <v>22991231</v>
      </c>
      <c r="E3968" s="25">
        <v>1953.31</v>
      </c>
    </row>
    <row r="3969" spans="1:5" ht="26" x14ac:dyDescent="0.3">
      <c r="A3969" s="17" t="str">
        <f>"66175"</f>
        <v>66175</v>
      </c>
      <c r="B3969" s="5" t="s">
        <v>4124</v>
      </c>
      <c r="C3969" s="17">
        <v>20110101</v>
      </c>
      <c r="D3969" s="17">
        <v>22991231</v>
      </c>
      <c r="E3969" s="25">
        <v>3401.34</v>
      </c>
    </row>
    <row r="3970" spans="1:5" x14ac:dyDescent="0.3">
      <c r="A3970" s="17" t="str">
        <f>"66179"</f>
        <v>66179</v>
      </c>
      <c r="B3970" s="5" t="s">
        <v>4125</v>
      </c>
      <c r="C3970" s="17">
        <v>20230101</v>
      </c>
      <c r="D3970" s="17">
        <v>22991231</v>
      </c>
      <c r="E3970" s="25">
        <v>3114.73</v>
      </c>
    </row>
    <row r="3971" spans="1:5" ht="26" x14ac:dyDescent="0.3">
      <c r="A3971" s="17" t="str">
        <f>"66180"</f>
        <v>66180</v>
      </c>
      <c r="B3971" s="5" t="s">
        <v>4126</v>
      </c>
      <c r="C3971" s="17">
        <v>19910401</v>
      </c>
      <c r="D3971" s="17">
        <v>22991231</v>
      </c>
      <c r="E3971" s="25">
        <v>2508.04</v>
      </c>
    </row>
    <row r="3972" spans="1:5" x14ac:dyDescent="0.3">
      <c r="A3972" s="17" t="str">
        <f>"66183"</f>
        <v>66183</v>
      </c>
      <c r="B3972" s="5" t="s">
        <v>4127</v>
      </c>
      <c r="C3972" s="17">
        <v>20230101</v>
      </c>
      <c r="D3972" s="17">
        <v>22991231</v>
      </c>
      <c r="E3972" s="25">
        <v>2789.01</v>
      </c>
    </row>
    <row r="3973" spans="1:5" x14ac:dyDescent="0.3">
      <c r="A3973" s="17" t="str">
        <f>"66184"</f>
        <v>66184</v>
      </c>
      <c r="B3973" s="5" t="s">
        <v>4128</v>
      </c>
      <c r="C3973" s="17">
        <v>20230101</v>
      </c>
      <c r="D3973" s="17">
        <v>22991231</v>
      </c>
      <c r="E3973" s="25">
        <v>1130.6099999999999</v>
      </c>
    </row>
    <row r="3974" spans="1:5" x14ac:dyDescent="0.3">
      <c r="A3974" s="17" t="str">
        <f>"66185"</f>
        <v>66185</v>
      </c>
      <c r="B3974" s="5" t="s">
        <v>4129</v>
      </c>
      <c r="C3974" s="17">
        <v>19910401</v>
      </c>
      <c r="D3974" s="17">
        <v>22991231</v>
      </c>
      <c r="E3974" s="25">
        <v>1130.6099999999999</v>
      </c>
    </row>
    <row r="3975" spans="1:5" ht="26" x14ac:dyDescent="0.3">
      <c r="A3975" s="17" t="str">
        <f>"66225"</f>
        <v>66225</v>
      </c>
      <c r="B3975" s="5" t="s">
        <v>4130</v>
      </c>
      <c r="C3975" s="17">
        <v>19900101</v>
      </c>
      <c r="D3975" s="17">
        <v>22991231</v>
      </c>
      <c r="E3975" s="25">
        <v>3110.18</v>
      </c>
    </row>
    <row r="3976" spans="1:5" x14ac:dyDescent="0.3">
      <c r="A3976" s="17" t="str">
        <f>"66250"</f>
        <v>66250</v>
      </c>
      <c r="B3976" s="5" t="s">
        <v>4131</v>
      </c>
      <c r="C3976" s="17">
        <v>19900101</v>
      </c>
      <c r="D3976" s="17">
        <v>22991231</v>
      </c>
      <c r="E3976" s="25">
        <v>934.62</v>
      </c>
    </row>
    <row r="3977" spans="1:5" x14ac:dyDescent="0.3">
      <c r="A3977" s="17" t="str">
        <f>"66500"</f>
        <v>66500</v>
      </c>
      <c r="B3977" s="5" t="s">
        <v>4132</v>
      </c>
      <c r="C3977" s="17">
        <v>19900101</v>
      </c>
      <c r="D3977" s="17">
        <v>22991231</v>
      </c>
      <c r="E3977" s="25">
        <v>1130.6099999999999</v>
      </c>
    </row>
    <row r="3978" spans="1:5" ht="26" x14ac:dyDescent="0.3">
      <c r="A3978" s="17" t="str">
        <f>"66505"</f>
        <v>66505</v>
      </c>
      <c r="B3978" s="5" t="s">
        <v>4133</v>
      </c>
      <c r="C3978" s="17">
        <v>19900101</v>
      </c>
      <c r="D3978" s="17">
        <v>22991231</v>
      </c>
      <c r="E3978" s="25">
        <v>1130.6099999999999</v>
      </c>
    </row>
    <row r="3979" spans="1:5" x14ac:dyDescent="0.3">
      <c r="A3979" s="17" t="str">
        <f>"66600"</f>
        <v>66600</v>
      </c>
      <c r="B3979" s="5" t="s">
        <v>4134</v>
      </c>
      <c r="C3979" s="17">
        <v>19900101</v>
      </c>
      <c r="D3979" s="17">
        <v>22991231</v>
      </c>
      <c r="E3979" s="25">
        <v>1953.31</v>
      </c>
    </row>
    <row r="3980" spans="1:5" ht="39" x14ac:dyDescent="0.3">
      <c r="A3980" s="17" t="str">
        <f>"66605"</f>
        <v>66605</v>
      </c>
      <c r="B3980" s="5" t="s">
        <v>4135</v>
      </c>
      <c r="C3980" s="17">
        <v>19900101</v>
      </c>
      <c r="D3980" s="17">
        <v>22991231</v>
      </c>
      <c r="E3980" s="25">
        <v>1130.6099999999999</v>
      </c>
    </row>
    <row r="3981" spans="1:5" ht="26" x14ac:dyDescent="0.3">
      <c r="A3981" s="17" t="str">
        <f>"66625"</f>
        <v>66625</v>
      </c>
      <c r="B3981" s="5" t="s">
        <v>4136</v>
      </c>
      <c r="C3981" s="17">
        <v>19900101</v>
      </c>
      <c r="D3981" s="17">
        <v>22991231</v>
      </c>
      <c r="E3981" s="25">
        <v>1130.6099999999999</v>
      </c>
    </row>
    <row r="3982" spans="1:5" ht="26" x14ac:dyDescent="0.3">
      <c r="A3982" s="17" t="str">
        <f>"66630"</f>
        <v>66630</v>
      </c>
      <c r="B3982" s="5" t="s">
        <v>4137</v>
      </c>
      <c r="C3982" s="17">
        <v>19900101</v>
      </c>
      <c r="D3982" s="17">
        <v>22991231</v>
      </c>
      <c r="E3982" s="25">
        <v>1130.6099999999999</v>
      </c>
    </row>
    <row r="3983" spans="1:5" ht="26" x14ac:dyDescent="0.3">
      <c r="A3983" s="17" t="str">
        <f>"66635"</f>
        <v>66635</v>
      </c>
      <c r="B3983" s="5" t="s">
        <v>4138</v>
      </c>
      <c r="C3983" s="17">
        <v>19900101</v>
      </c>
      <c r="D3983" s="17">
        <v>22991231</v>
      </c>
      <c r="E3983" s="25">
        <v>1130.6099999999999</v>
      </c>
    </row>
    <row r="3984" spans="1:5" x14ac:dyDescent="0.3">
      <c r="A3984" s="17" t="str">
        <f>"66680"</f>
        <v>66680</v>
      </c>
      <c r="B3984" s="5" t="s">
        <v>4139</v>
      </c>
      <c r="C3984" s="17">
        <v>19900101</v>
      </c>
      <c r="D3984" s="17">
        <v>22991231</v>
      </c>
      <c r="E3984" s="25">
        <v>1130.6099999999999</v>
      </c>
    </row>
    <row r="3985" spans="1:5" x14ac:dyDescent="0.3">
      <c r="A3985" s="17" t="str">
        <f>"66682"</f>
        <v>66682</v>
      </c>
      <c r="B3985" s="5" t="s">
        <v>4140</v>
      </c>
      <c r="C3985" s="17">
        <v>19900101</v>
      </c>
      <c r="D3985" s="17">
        <v>22991231</v>
      </c>
      <c r="E3985" s="25">
        <v>1130.6099999999999</v>
      </c>
    </row>
    <row r="3986" spans="1:5" x14ac:dyDescent="0.3">
      <c r="A3986" s="17" t="str">
        <f>"66700"</f>
        <v>66700</v>
      </c>
      <c r="B3986" s="5" t="s">
        <v>4141</v>
      </c>
      <c r="C3986" s="17">
        <v>20230101</v>
      </c>
      <c r="D3986" s="17">
        <v>22991231</v>
      </c>
      <c r="E3986" s="25">
        <v>1130.6099999999999</v>
      </c>
    </row>
    <row r="3987" spans="1:5" x14ac:dyDescent="0.3">
      <c r="A3987" s="17" t="str">
        <f>"66710"</f>
        <v>66710</v>
      </c>
      <c r="B3987" s="5" t="s">
        <v>4142</v>
      </c>
      <c r="C3987" s="17">
        <v>19920115</v>
      </c>
      <c r="D3987" s="17">
        <v>22991231</v>
      </c>
      <c r="E3987" s="25">
        <v>934.62</v>
      </c>
    </row>
    <row r="3988" spans="1:5" ht="26" x14ac:dyDescent="0.3">
      <c r="A3988" s="17" t="str">
        <f>"66711"</f>
        <v>66711</v>
      </c>
      <c r="B3988" s="5" t="s">
        <v>4143</v>
      </c>
      <c r="C3988" s="17">
        <v>20200101</v>
      </c>
      <c r="D3988" s="17">
        <v>22991231</v>
      </c>
      <c r="E3988" s="25">
        <v>1130.6099999999999</v>
      </c>
    </row>
    <row r="3989" spans="1:5" x14ac:dyDescent="0.3">
      <c r="A3989" s="17" t="str">
        <f>"66720"</f>
        <v>66720</v>
      </c>
      <c r="B3989" s="5" t="s">
        <v>4144</v>
      </c>
      <c r="C3989" s="17">
        <v>19900101</v>
      </c>
      <c r="D3989" s="17">
        <v>22991231</v>
      </c>
      <c r="E3989" s="25">
        <v>934.62</v>
      </c>
    </row>
    <row r="3990" spans="1:5" x14ac:dyDescent="0.3">
      <c r="A3990" s="17" t="str">
        <f>"66740"</f>
        <v>66740</v>
      </c>
      <c r="B3990" s="5" t="s">
        <v>4145</v>
      </c>
      <c r="C3990" s="17">
        <v>19900101</v>
      </c>
      <c r="D3990" s="17">
        <v>22991231</v>
      </c>
      <c r="E3990" s="25">
        <v>934.62</v>
      </c>
    </row>
    <row r="3991" spans="1:5" ht="26" x14ac:dyDescent="0.3">
      <c r="A3991" s="17" t="str">
        <f>"66761"</f>
        <v>66761</v>
      </c>
      <c r="B3991" s="5" t="s">
        <v>4146</v>
      </c>
      <c r="C3991" s="17">
        <v>19900101</v>
      </c>
      <c r="D3991" s="17">
        <v>22991231</v>
      </c>
      <c r="E3991" s="25">
        <v>177.95</v>
      </c>
    </row>
    <row r="3992" spans="1:5" ht="26" x14ac:dyDescent="0.3">
      <c r="A3992" s="17" t="str">
        <f>"66762"</f>
        <v>66762</v>
      </c>
      <c r="B3992" s="5" t="s">
        <v>4147</v>
      </c>
      <c r="C3992" s="17">
        <v>19900101</v>
      </c>
      <c r="D3992" s="17">
        <v>22991231</v>
      </c>
      <c r="E3992" s="25">
        <v>264.60000000000002</v>
      </c>
    </row>
    <row r="3993" spans="1:5" x14ac:dyDescent="0.3">
      <c r="A3993" s="17" t="str">
        <f>"66770"</f>
        <v>66770</v>
      </c>
      <c r="B3993" s="5" t="s">
        <v>4148</v>
      </c>
      <c r="C3993" s="17">
        <v>19900101</v>
      </c>
      <c r="D3993" s="17">
        <v>22991231</v>
      </c>
      <c r="E3993" s="25">
        <v>288</v>
      </c>
    </row>
    <row r="3994" spans="1:5" ht="26" x14ac:dyDescent="0.3">
      <c r="A3994" s="17" t="str">
        <f>"66820"</f>
        <v>66820</v>
      </c>
      <c r="B3994" s="5" t="s">
        <v>4149</v>
      </c>
      <c r="C3994" s="17">
        <v>19900101</v>
      </c>
      <c r="D3994" s="17">
        <v>22991231</v>
      </c>
      <c r="E3994" s="25">
        <v>1130.6099999999999</v>
      </c>
    </row>
    <row r="3995" spans="1:5" ht="26" x14ac:dyDescent="0.3">
      <c r="A3995" s="17" t="str">
        <f>"66821"</f>
        <v>66821</v>
      </c>
      <c r="B3995" s="5" t="s">
        <v>4150</v>
      </c>
      <c r="C3995" s="17">
        <v>19900101</v>
      </c>
      <c r="D3995" s="17">
        <v>22991231</v>
      </c>
      <c r="E3995" s="25">
        <v>288</v>
      </c>
    </row>
    <row r="3996" spans="1:5" x14ac:dyDescent="0.3">
      <c r="A3996" s="17" t="str">
        <f>"66825"</f>
        <v>66825</v>
      </c>
      <c r="B3996" s="5" t="s">
        <v>4151</v>
      </c>
      <c r="C3996" s="17">
        <v>19930101</v>
      </c>
      <c r="D3996" s="17">
        <v>22991231</v>
      </c>
      <c r="E3996" s="25">
        <v>1130.6099999999999</v>
      </c>
    </row>
    <row r="3997" spans="1:5" ht="26" x14ac:dyDescent="0.3">
      <c r="A3997" s="17" t="str">
        <f>"66830"</f>
        <v>66830</v>
      </c>
      <c r="B3997" s="5" t="s">
        <v>4152</v>
      </c>
      <c r="C3997" s="17">
        <v>19900101</v>
      </c>
      <c r="D3997" s="17">
        <v>22991231</v>
      </c>
      <c r="E3997" s="25">
        <v>1130.6099999999999</v>
      </c>
    </row>
    <row r="3998" spans="1:5" x14ac:dyDescent="0.3">
      <c r="A3998" s="17" t="str">
        <f>"66840"</f>
        <v>66840</v>
      </c>
      <c r="B3998" s="5" t="s">
        <v>4153</v>
      </c>
      <c r="C3998" s="17">
        <v>19900101</v>
      </c>
      <c r="D3998" s="17">
        <v>22991231</v>
      </c>
      <c r="E3998" s="25">
        <v>1130.6099999999999</v>
      </c>
    </row>
    <row r="3999" spans="1:5" ht="26" x14ac:dyDescent="0.3">
      <c r="A3999" s="17" t="str">
        <f>"66850"</f>
        <v>66850</v>
      </c>
      <c r="B3999" s="5" t="s">
        <v>4154</v>
      </c>
      <c r="C3999" s="17">
        <v>19900101</v>
      </c>
      <c r="D3999" s="17">
        <v>22991231</v>
      </c>
      <c r="E3999" s="25">
        <v>1130.6099999999999</v>
      </c>
    </row>
    <row r="4000" spans="1:5" x14ac:dyDescent="0.3">
      <c r="A4000" s="17" t="str">
        <f>"66852"</f>
        <v>66852</v>
      </c>
      <c r="B4000" s="5" t="s">
        <v>4155</v>
      </c>
      <c r="C4000" s="17">
        <v>19910401</v>
      </c>
      <c r="D4000" s="17">
        <v>22991231</v>
      </c>
      <c r="E4000" s="25">
        <v>1953.31</v>
      </c>
    </row>
    <row r="4001" spans="1:5" x14ac:dyDescent="0.3">
      <c r="A4001" s="17" t="str">
        <f>"66920"</f>
        <v>66920</v>
      </c>
      <c r="B4001" s="5" t="s">
        <v>4156</v>
      </c>
      <c r="C4001" s="17">
        <v>19900101</v>
      </c>
      <c r="D4001" s="17">
        <v>22991231</v>
      </c>
      <c r="E4001" s="25">
        <v>1130.6099999999999</v>
      </c>
    </row>
    <row r="4002" spans="1:5" ht="26" x14ac:dyDescent="0.3">
      <c r="A4002" s="17" t="str">
        <f>"66930"</f>
        <v>66930</v>
      </c>
      <c r="B4002" s="5" t="s">
        <v>4157</v>
      </c>
      <c r="C4002" s="17">
        <v>19900101</v>
      </c>
      <c r="D4002" s="17">
        <v>22991231</v>
      </c>
      <c r="E4002" s="25">
        <v>1953.31</v>
      </c>
    </row>
    <row r="4003" spans="1:5" ht="26" x14ac:dyDescent="0.3">
      <c r="A4003" s="17" t="str">
        <f>"66940"</f>
        <v>66940</v>
      </c>
      <c r="B4003" s="5" t="s">
        <v>4158</v>
      </c>
      <c r="C4003" s="17">
        <v>19900101</v>
      </c>
      <c r="D4003" s="17">
        <v>22991231</v>
      </c>
      <c r="E4003" s="25">
        <v>1130.6099999999999</v>
      </c>
    </row>
    <row r="4004" spans="1:5" ht="26" x14ac:dyDescent="0.3">
      <c r="A4004" s="17" t="str">
        <f>"66982"</f>
        <v>66982</v>
      </c>
      <c r="B4004" s="5" t="s">
        <v>4159</v>
      </c>
      <c r="C4004" s="17">
        <v>20010101</v>
      </c>
      <c r="D4004" s="17">
        <v>22991231</v>
      </c>
      <c r="E4004" s="25">
        <v>1130.6099999999999</v>
      </c>
    </row>
    <row r="4005" spans="1:5" ht="26" x14ac:dyDescent="0.3">
      <c r="A4005" s="17" t="str">
        <f>"66983"</f>
        <v>66983</v>
      </c>
      <c r="B4005" s="5" t="s">
        <v>4160</v>
      </c>
      <c r="C4005" s="17">
        <v>19900101</v>
      </c>
      <c r="D4005" s="17">
        <v>22991231</v>
      </c>
      <c r="E4005" s="25">
        <v>1130.6099999999999</v>
      </c>
    </row>
    <row r="4006" spans="1:5" ht="26" x14ac:dyDescent="0.3">
      <c r="A4006" s="17" t="str">
        <f>"66984"</f>
        <v>66984</v>
      </c>
      <c r="B4006" s="5" t="s">
        <v>4161</v>
      </c>
      <c r="C4006" s="17">
        <v>19900101</v>
      </c>
      <c r="D4006" s="17">
        <v>22991231</v>
      </c>
      <c r="E4006" s="25">
        <v>1130.6099999999999</v>
      </c>
    </row>
    <row r="4007" spans="1:5" x14ac:dyDescent="0.3">
      <c r="A4007" s="17" t="str">
        <f>"66985"</f>
        <v>66985</v>
      </c>
      <c r="B4007" s="5" t="s">
        <v>4162</v>
      </c>
      <c r="C4007" s="17">
        <v>19900101</v>
      </c>
      <c r="D4007" s="17">
        <v>22991231</v>
      </c>
      <c r="E4007" s="25">
        <v>1130.6099999999999</v>
      </c>
    </row>
    <row r="4008" spans="1:5" x14ac:dyDescent="0.3">
      <c r="A4008" s="17" t="str">
        <f>"66986"</f>
        <v>66986</v>
      </c>
      <c r="B4008" s="5" t="s">
        <v>4163</v>
      </c>
      <c r="C4008" s="17">
        <v>19920115</v>
      </c>
      <c r="D4008" s="17">
        <v>22991231</v>
      </c>
      <c r="E4008" s="25">
        <v>1130.6099999999999</v>
      </c>
    </row>
    <row r="4009" spans="1:5" ht="39" x14ac:dyDescent="0.3">
      <c r="A4009" s="17" t="str">
        <f>"66987"</f>
        <v>66987</v>
      </c>
      <c r="B4009" s="5" t="s">
        <v>4164</v>
      </c>
      <c r="C4009" s="17">
        <v>20200101</v>
      </c>
      <c r="D4009" s="17">
        <v>22991231</v>
      </c>
      <c r="E4009" s="25">
        <v>1953.31</v>
      </c>
    </row>
    <row r="4010" spans="1:5" ht="39" x14ac:dyDescent="0.3">
      <c r="A4010" s="17" t="str">
        <f>"66988"</f>
        <v>66988</v>
      </c>
      <c r="B4010" s="5" t="s">
        <v>4165</v>
      </c>
      <c r="C4010" s="17">
        <v>20200101</v>
      </c>
      <c r="D4010" s="17">
        <v>22991231</v>
      </c>
      <c r="E4010" s="25">
        <v>1953.31</v>
      </c>
    </row>
    <row r="4011" spans="1:5" ht="39" x14ac:dyDescent="0.3">
      <c r="A4011" s="17" t="str">
        <f>"66989"</f>
        <v>66989</v>
      </c>
      <c r="B4011" s="5" t="s">
        <v>4166</v>
      </c>
      <c r="C4011" s="17">
        <v>20220101</v>
      </c>
      <c r="D4011" s="17">
        <v>22991231</v>
      </c>
      <c r="E4011" s="25">
        <v>3500.77</v>
      </c>
    </row>
    <row r="4012" spans="1:5" x14ac:dyDescent="0.3">
      <c r="A4012" s="17" t="str">
        <f>"66990"</f>
        <v>66990</v>
      </c>
      <c r="B4012" s="5" t="s">
        <v>4167</v>
      </c>
      <c r="C4012" s="17">
        <v>20230101</v>
      </c>
      <c r="D4012" s="17">
        <v>22991231</v>
      </c>
      <c r="E4012" s="25">
        <v>0</v>
      </c>
    </row>
    <row r="4013" spans="1:5" ht="39" x14ac:dyDescent="0.3">
      <c r="A4013" s="17" t="str">
        <f>"66991"</f>
        <v>66991</v>
      </c>
      <c r="B4013" s="5" t="s">
        <v>4168</v>
      </c>
      <c r="C4013" s="17">
        <v>20220101</v>
      </c>
      <c r="D4013" s="17">
        <v>22991231</v>
      </c>
      <c r="E4013" s="25">
        <v>3565.23</v>
      </c>
    </row>
    <row r="4014" spans="1:5" x14ac:dyDescent="0.3">
      <c r="A4014" s="17" t="str">
        <f>"66999"</f>
        <v>66999</v>
      </c>
      <c r="B4014" s="5" t="s">
        <v>4169</v>
      </c>
      <c r="C4014" s="17">
        <v>19900101</v>
      </c>
      <c r="D4014" s="17">
        <v>22991231</v>
      </c>
      <c r="E4014" s="24" t="s">
        <v>7128</v>
      </c>
    </row>
    <row r="4015" spans="1:5" ht="26" x14ac:dyDescent="0.3">
      <c r="A4015" s="17" t="str">
        <f>"67005"</f>
        <v>67005</v>
      </c>
      <c r="B4015" s="5" t="s">
        <v>4170</v>
      </c>
      <c r="C4015" s="17">
        <v>19900101</v>
      </c>
      <c r="D4015" s="17">
        <v>22991231</v>
      </c>
      <c r="E4015" s="25">
        <v>1130.6099999999999</v>
      </c>
    </row>
    <row r="4016" spans="1:5" ht="26" x14ac:dyDescent="0.3">
      <c r="A4016" s="17" t="str">
        <f>"67010"</f>
        <v>67010</v>
      </c>
      <c r="B4016" s="5" t="s">
        <v>4171</v>
      </c>
      <c r="C4016" s="17">
        <v>19900101</v>
      </c>
      <c r="D4016" s="17">
        <v>22991231</v>
      </c>
      <c r="E4016" s="25">
        <v>1130.6099999999999</v>
      </c>
    </row>
    <row r="4017" spans="1:5" ht="26" x14ac:dyDescent="0.3">
      <c r="A4017" s="17" t="str">
        <f>"67015"</f>
        <v>67015</v>
      </c>
      <c r="B4017" s="5" t="s">
        <v>4172</v>
      </c>
      <c r="C4017" s="17">
        <v>19900101</v>
      </c>
      <c r="D4017" s="17">
        <v>22991231</v>
      </c>
      <c r="E4017" s="25">
        <v>1130.6099999999999</v>
      </c>
    </row>
    <row r="4018" spans="1:5" x14ac:dyDescent="0.3">
      <c r="A4018" s="17" t="str">
        <f>"67025"</f>
        <v>67025</v>
      </c>
      <c r="B4018" s="5" t="s">
        <v>4173</v>
      </c>
      <c r="C4018" s="17">
        <v>19900101</v>
      </c>
      <c r="D4018" s="17">
        <v>22991231</v>
      </c>
      <c r="E4018" s="25">
        <v>1130.6099999999999</v>
      </c>
    </row>
    <row r="4019" spans="1:5" x14ac:dyDescent="0.3">
      <c r="A4019" s="17" t="str">
        <f>"67027"</f>
        <v>67027</v>
      </c>
      <c r="B4019" s="5" t="s">
        <v>4174</v>
      </c>
      <c r="C4019" s="17">
        <v>19980101</v>
      </c>
      <c r="D4019" s="17">
        <v>22991231</v>
      </c>
      <c r="E4019" s="25">
        <v>1929.52</v>
      </c>
    </row>
    <row r="4020" spans="1:5" x14ac:dyDescent="0.3">
      <c r="A4020" s="17" t="str">
        <f>"67028"</f>
        <v>67028</v>
      </c>
      <c r="B4020" s="5" t="s">
        <v>4175</v>
      </c>
      <c r="C4020" s="17">
        <v>19910401</v>
      </c>
      <c r="D4020" s="17">
        <v>22991231</v>
      </c>
      <c r="E4020" s="25">
        <v>56.92</v>
      </c>
    </row>
    <row r="4021" spans="1:5" ht="26" x14ac:dyDescent="0.3">
      <c r="A4021" s="17" t="str">
        <f>"67030"</f>
        <v>67030</v>
      </c>
      <c r="B4021" s="5" t="s">
        <v>4176</v>
      </c>
      <c r="C4021" s="17">
        <v>19900101</v>
      </c>
      <c r="D4021" s="17">
        <v>22991231</v>
      </c>
      <c r="E4021" s="25">
        <v>1130.6099999999999</v>
      </c>
    </row>
    <row r="4022" spans="1:5" ht="26" x14ac:dyDescent="0.3">
      <c r="A4022" s="17" t="str">
        <f>"67031"</f>
        <v>67031</v>
      </c>
      <c r="B4022" s="5" t="s">
        <v>4177</v>
      </c>
      <c r="C4022" s="17">
        <v>19900101</v>
      </c>
      <c r="D4022" s="17">
        <v>22991231</v>
      </c>
      <c r="E4022" s="25">
        <v>288</v>
      </c>
    </row>
    <row r="4023" spans="1:5" ht="26" x14ac:dyDescent="0.3">
      <c r="A4023" s="17" t="str">
        <f>"67036"</f>
        <v>67036</v>
      </c>
      <c r="B4023" s="5" t="s">
        <v>4178</v>
      </c>
      <c r="C4023" s="17">
        <v>19900101</v>
      </c>
      <c r="D4023" s="17">
        <v>22991231</v>
      </c>
      <c r="E4023" s="25">
        <v>1953.31</v>
      </c>
    </row>
    <row r="4024" spans="1:5" ht="26" x14ac:dyDescent="0.3">
      <c r="A4024" s="17" t="str">
        <f>"67039"</f>
        <v>67039</v>
      </c>
      <c r="B4024" s="5" t="s">
        <v>4179</v>
      </c>
      <c r="C4024" s="17">
        <v>19910401</v>
      </c>
      <c r="D4024" s="17">
        <v>22991231</v>
      </c>
      <c r="E4024" s="25">
        <v>1953.31</v>
      </c>
    </row>
    <row r="4025" spans="1:5" ht="26" x14ac:dyDescent="0.3">
      <c r="A4025" s="17" t="str">
        <f>"67040"</f>
        <v>67040</v>
      </c>
      <c r="B4025" s="5" t="s">
        <v>4180</v>
      </c>
      <c r="C4025" s="17">
        <v>19900101</v>
      </c>
      <c r="D4025" s="17">
        <v>22991231</v>
      </c>
      <c r="E4025" s="25">
        <v>1953.31</v>
      </c>
    </row>
    <row r="4026" spans="1:5" x14ac:dyDescent="0.3">
      <c r="A4026" s="17" t="str">
        <f>"67041"</f>
        <v>67041</v>
      </c>
      <c r="B4026" s="5" t="s">
        <v>4181</v>
      </c>
      <c r="C4026" s="17">
        <v>20080101</v>
      </c>
      <c r="D4026" s="17">
        <v>22991231</v>
      </c>
      <c r="E4026" s="25">
        <v>1953.31</v>
      </c>
    </row>
    <row r="4027" spans="1:5" ht="26" x14ac:dyDescent="0.3">
      <c r="A4027" s="17" t="str">
        <f>"67042"</f>
        <v>67042</v>
      </c>
      <c r="B4027" s="5" t="s">
        <v>4182</v>
      </c>
      <c r="C4027" s="17">
        <v>20080101</v>
      </c>
      <c r="D4027" s="17">
        <v>22991231</v>
      </c>
      <c r="E4027" s="25">
        <v>1953.31</v>
      </c>
    </row>
    <row r="4028" spans="1:5" ht="26" x14ac:dyDescent="0.3">
      <c r="A4028" s="17" t="str">
        <f>"67043"</f>
        <v>67043</v>
      </c>
      <c r="B4028" s="5" t="s">
        <v>4183</v>
      </c>
      <c r="C4028" s="17">
        <v>20080101</v>
      </c>
      <c r="D4028" s="17">
        <v>22991231</v>
      </c>
      <c r="E4028" s="25">
        <v>1953.31</v>
      </c>
    </row>
    <row r="4029" spans="1:5" x14ac:dyDescent="0.3">
      <c r="A4029" s="17" t="str">
        <f>"67101"</f>
        <v>67101</v>
      </c>
      <c r="B4029" s="5" t="s">
        <v>4184</v>
      </c>
      <c r="C4029" s="17">
        <v>19900101</v>
      </c>
      <c r="D4029" s="17">
        <v>22991231</v>
      </c>
      <c r="E4029" s="25">
        <v>194.85</v>
      </c>
    </row>
    <row r="4030" spans="1:5" x14ac:dyDescent="0.3">
      <c r="A4030" s="17" t="str">
        <f>"67105"</f>
        <v>67105</v>
      </c>
      <c r="B4030" s="5" t="s">
        <v>4185</v>
      </c>
      <c r="C4030" s="17">
        <v>19900101</v>
      </c>
      <c r="D4030" s="17">
        <v>22991231</v>
      </c>
      <c r="E4030" s="25">
        <v>162.32</v>
      </c>
    </row>
    <row r="4031" spans="1:5" ht="26" x14ac:dyDescent="0.3">
      <c r="A4031" s="17" t="str">
        <f>"67107"</f>
        <v>67107</v>
      </c>
      <c r="B4031" s="5" t="s">
        <v>4186</v>
      </c>
      <c r="C4031" s="17">
        <v>19900101</v>
      </c>
      <c r="D4031" s="17">
        <v>22991231</v>
      </c>
      <c r="E4031" s="25">
        <v>1953.31</v>
      </c>
    </row>
    <row r="4032" spans="1:5" ht="26" x14ac:dyDescent="0.3">
      <c r="A4032" s="17" t="str">
        <f>"67108"</f>
        <v>67108</v>
      </c>
      <c r="B4032" s="5" t="s">
        <v>4187</v>
      </c>
      <c r="C4032" s="17">
        <v>19900101</v>
      </c>
      <c r="D4032" s="17">
        <v>22991231</v>
      </c>
      <c r="E4032" s="25">
        <v>1953.31</v>
      </c>
    </row>
    <row r="4033" spans="1:5" ht="26" x14ac:dyDescent="0.3">
      <c r="A4033" s="17" t="str">
        <f>"67110"</f>
        <v>67110</v>
      </c>
      <c r="B4033" s="5" t="s">
        <v>4188</v>
      </c>
      <c r="C4033" s="17">
        <v>19910401</v>
      </c>
      <c r="D4033" s="17">
        <v>22991231</v>
      </c>
      <c r="E4033" s="25">
        <v>483.53</v>
      </c>
    </row>
    <row r="4034" spans="1:5" ht="26" x14ac:dyDescent="0.3">
      <c r="A4034" s="17" t="str">
        <f>"67113"</f>
        <v>67113</v>
      </c>
      <c r="B4034" s="5" t="s">
        <v>4189</v>
      </c>
      <c r="C4034" s="17">
        <v>20080101</v>
      </c>
      <c r="D4034" s="17">
        <v>22991231</v>
      </c>
      <c r="E4034" s="25">
        <v>2469.58</v>
      </c>
    </row>
    <row r="4035" spans="1:5" x14ac:dyDescent="0.3">
      <c r="A4035" s="17" t="str">
        <f>"67115"</f>
        <v>67115</v>
      </c>
      <c r="B4035" s="5" t="s">
        <v>4190</v>
      </c>
      <c r="C4035" s="17">
        <v>19900101</v>
      </c>
      <c r="D4035" s="17">
        <v>22991231</v>
      </c>
      <c r="E4035" s="25">
        <v>1953.31</v>
      </c>
    </row>
    <row r="4036" spans="1:5" x14ac:dyDescent="0.3">
      <c r="A4036" s="17" t="str">
        <f>"67120"</f>
        <v>67120</v>
      </c>
      <c r="B4036" s="5" t="s">
        <v>4191</v>
      </c>
      <c r="C4036" s="17">
        <v>19900101</v>
      </c>
      <c r="D4036" s="17">
        <v>22991231</v>
      </c>
      <c r="E4036" s="25">
        <v>1130.6099999999999</v>
      </c>
    </row>
    <row r="4037" spans="1:5" x14ac:dyDescent="0.3">
      <c r="A4037" s="17" t="str">
        <f>"67121"</f>
        <v>67121</v>
      </c>
      <c r="B4037" s="5" t="s">
        <v>4192</v>
      </c>
      <c r="C4037" s="17">
        <v>19900101</v>
      </c>
      <c r="D4037" s="17">
        <v>22991231</v>
      </c>
      <c r="E4037" s="25">
        <v>1130.6099999999999</v>
      </c>
    </row>
    <row r="4038" spans="1:5" ht="26" x14ac:dyDescent="0.3">
      <c r="A4038" s="17" t="str">
        <f>"67141"</f>
        <v>67141</v>
      </c>
      <c r="B4038" s="5" t="s">
        <v>4193</v>
      </c>
      <c r="C4038" s="17">
        <v>19900101</v>
      </c>
      <c r="D4038" s="17">
        <v>22991231</v>
      </c>
      <c r="E4038" s="25">
        <v>144.33000000000001</v>
      </c>
    </row>
    <row r="4039" spans="1:5" ht="26" x14ac:dyDescent="0.3">
      <c r="A4039" s="17" t="str">
        <f>"67145"</f>
        <v>67145</v>
      </c>
      <c r="B4039" s="5" t="s">
        <v>4194</v>
      </c>
      <c r="C4039" s="17">
        <v>19900101</v>
      </c>
      <c r="D4039" s="17">
        <v>22991231</v>
      </c>
      <c r="E4039" s="25">
        <v>141.68</v>
      </c>
    </row>
    <row r="4040" spans="1:5" ht="26" x14ac:dyDescent="0.3">
      <c r="A4040" s="17" t="str">
        <f>"67208"</f>
        <v>67208</v>
      </c>
      <c r="B4040" s="5" t="s">
        <v>4195</v>
      </c>
      <c r="C4040" s="17">
        <v>19900101</v>
      </c>
      <c r="D4040" s="17">
        <v>22991231</v>
      </c>
      <c r="E4040" s="25">
        <v>144.33000000000001</v>
      </c>
    </row>
    <row r="4041" spans="1:5" x14ac:dyDescent="0.3">
      <c r="A4041" s="17" t="str">
        <f>"67210"</f>
        <v>67210</v>
      </c>
      <c r="B4041" s="5" t="s">
        <v>4196</v>
      </c>
      <c r="C4041" s="17">
        <v>19900101</v>
      </c>
      <c r="D4041" s="17">
        <v>22991231</v>
      </c>
      <c r="E4041" s="25">
        <v>265.22000000000003</v>
      </c>
    </row>
    <row r="4042" spans="1:5" ht="26" x14ac:dyDescent="0.3">
      <c r="A4042" s="17" t="str">
        <f>"67218"</f>
        <v>67218</v>
      </c>
      <c r="B4042" s="5" t="s">
        <v>4197</v>
      </c>
      <c r="C4042" s="17">
        <v>19900101</v>
      </c>
      <c r="D4042" s="17">
        <v>22991231</v>
      </c>
      <c r="E4042" s="25">
        <v>1420.59</v>
      </c>
    </row>
    <row r="4043" spans="1:5" ht="26" x14ac:dyDescent="0.3">
      <c r="A4043" s="17" t="str">
        <f>"67220"</f>
        <v>67220</v>
      </c>
      <c r="B4043" s="5" t="s">
        <v>4198</v>
      </c>
      <c r="C4043" s="17">
        <v>19990101</v>
      </c>
      <c r="D4043" s="17">
        <v>22991231</v>
      </c>
      <c r="E4043" s="25">
        <v>279.60000000000002</v>
      </c>
    </row>
    <row r="4044" spans="1:5" ht="26" x14ac:dyDescent="0.3">
      <c r="A4044" s="17" t="str">
        <f>"67221"</f>
        <v>67221</v>
      </c>
      <c r="B4044" s="5" t="s">
        <v>4199</v>
      </c>
      <c r="C4044" s="17">
        <v>20010101</v>
      </c>
      <c r="D4044" s="17">
        <v>22991231</v>
      </c>
      <c r="E4044" s="25">
        <v>136.66999999999999</v>
      </c>
    </row>
    <row r="4045" spans="1:5" ht="39" x14ac:dyDescent="0.3">
      <c r="A4045" s="17" t="str">
        <f>"67225"</f>
        <v>67225</v>
      </c>
      <c r="B4045" s="5" t="s">
        <v>4200</v>
      </c>
      <c r="C4045" s="17">
        <v>20230101</v>
      </c>
      <c r="D4045" s="17">
        <v>22991231</v>
      </c>
      <c r="E4045" s="25">
        <v>0</v>
      </c>
    </row>
    <row r="4046" spans="1:5" x14ac:dyDescent="0.3">
      <c r="A4046" s="17" t="str">
        <f>"67227"</f>
        <v>67227</v>
      </c>
      <c r="B4046" s="5" t="s">
        <v>4201</v>
      </c>
      <c r="C4046" s="17">
        <v>19900101</v>
      </c>
      <c r="D4046" s="17">
        <v>22991231</v>
      </c>
      <c r="E4046" s="25">
        <v>157.31</v>
      </c>
    </row>
    <row r="4047" spans="1:5" ht="26" x14ac:dyDescent="0.3">
      <c r="A4047" s="17" t="str">
        <f>"67228"</f>
        <v>67228</v>
      </c>
      <c r="B4047" s="5" t="s">
        <v>4202</v>
      </c>
      <c r="C4047" s="17">
        <v>19900101</v>
      </c>
      <c r="D4047" s="17">
        <v>22991231</v>
      </c>
      <c r="E4047" s="25">
        <v>167.95</v>
      </c>
    </row>
    <row r="4048" spans="1:5" ht="26" x14ac:dyDescent="0.3">
      <c r="A4048" s="17" t="str">
        <f>"67229"</f>
        <v>67229</v>
      </c>
      <c r="B4048" s="5" t="s">
        <v>4203</v>
      </c>
      <c r="C4048" s="17">
        <v>20080101</v>
      </c>
      <c r="D4048" s="17">
        <v>22991231</v>
      </c>
      <c r="E4048" s="25">
        <v>288</v>
      </c>
    </row>
    <row r="4049" spans="1:5" x14ac:dyDescent="0.3">
      <c r="A4049" s="17" t="str">
        <f>"67250"</f>
        <v>67250</v>
      </c>
      <c r="B4049" s="5" t="s">
        <v>4204</v>
      </c>
      <c r="C4049" s="17">
        <v>19900101</v>
      </c>
      <c r="D4049" s="17">
        <v>22991231</v>
      </c>
      <c r="E4049" s="25">
        <v>934.62</v>
      </c>
    </row>
    <row r="4050" spans="1:5" x14ac:dyDescent="0.3">
      <c r="A4050" s="17" t="str">
        <f>"67255"</f>
        <v>67255</v>
      </c>
      <c r="B4050" s="5" t="s">
        <v>4205</v>
      </c>
      <c r="C4050" s="17">
        <v>19900101</v>
      </c>
      <c r="D4050" s="17">
        <v>22991231</v>
      </c>
      <c r="E4050" s="25">
        <v>1953.31</v>
      </c>
    </row>
    <row r="4051" spans="1:5" x14ac:dyDescent="0.3">
      <c r="A4051" s="17" t="str">
        <f>"67311"</f>
        <v>67311</v>
      </c>
      <c r="B4051" s="5" t="s">
        <v>4206</v>
      </c>
      <c r="C4051" s="17">
        <v>19900101</v>
      </c>
      <c r="D4051" s="17">
        <v>22991231</v>
      </c>
      <c r="E4051" s="25">
        <v>934.62</v>
      </c>
    </row>
    <row r="4052" spans="1:5" ht="26" x14ac:dyDescent="0.3">
      <c r="A4052" s="17" t="str">
        <f>"67312"</f>
        <v>67312</v>
      </c>
      <c r="B4052" s="5" t="s">
        <v>4207</v>
      </c>
      <c r="C4052" s="17">
        <v>19900101</v>
      </c>
      <c r="D4052" s="17">
        <v>22991231</v>
      </c>
      <c r="E4052" s="25">
        <v>1420.59</v>
      </c>
    </row>
    <row r="4053" spans="1:5" x14ac:dyDescent="0.3">
      <c r="A4053" s="17" t="str">
        <f>"67314"</f>
        <v>67314</v>
      </c>
      <c r="B4053" s="5" t="s">
        <v>4208</v>
      </c>
      <c r="C4053" s="17">
        <v>19910401</v>
      </c>
      <c r="D4053" s="17">
        <v>22991231</v>
      </c>
      <c r="E4053" s="25">
        <v>934.62</v>
      </c>
    </row>
    <row r="4054" spans="1:5" x14ac:dyDescent="0.3">
      <c r="A4054" s="17" t="str">
        <f>"67316"</f>
        <v>67316</v>
      </c>
      <c r="B4054" s="5" t="s">
        <v>4209</v>
      </c>
      <c r="C4054" s="17">
        <v>19910401</v>
      </c>
      <c r="D4054" s="17">
        <v>22991231</v>
      </c>
      <c r="E4054" s="25">
        <v>934.62</v>
      </c>
    </row>
    <row r="4055" spans="1:5" ht="26" x14ac:dyDescent="0.3">
      <c r="A4055" s="17" t="str">
        <f>"67318"</f>
        <v>67318</v>
      </c>
      <c r="B4055" s="5" t="s">
        <v>4210</v>
      </c>
      <c r="C4055" s="17">
        <v>19910401</v>
      </c>
      <c r="D4055" s="17">
        <v>22991231</v>
      </c>
      <c r="E4055" s="25">
        <v>934.62</v>
      </c>
    </row>
    <row r="4056" spans="1:5" x14ac:dyDescent="0.3">
      <c r="A4056" s="17" t="str">
        <f>"67320"</f>
        <v>67320</v>
      </c>
      <c r="B4056" s="5" t="s">
        <v>4211</v>
      </c>
      <c r="C4056" s="17">
        <v>19900101</v>
      </c>
      <c r="D4056" s="17">
        <v>22991231</v>
      </c>
      <c r="E4056" s="25">
        <v>0</v>
      </c>
    </row>
    <row r="4057" spans="1:5" ht="26" x14ac:dyDescent="0.3">
      <c r="A4057" s="17" t="str">
        <f>"67331"</f>
        <v>67331</v>
      </c>
      <c r="B4057" s="5" t="s">
        <v>4212</v>
      </c>
      <c r="C4057" s="17">
        <v>19900101</v>
      </c>
      <c r="D4057" s="17">
        <v>22991231</v>
      </c>
      <c r="E4057" s="25">
        <v>0</v>
      </c>
    </row>
    <row r="4058" spans="1:5" ht="26" x14ac:dyDescent="0.3">
      <c r="A4058" s="17" t="str">
        <f>"67332"</f>
        <v>67332</v>
      </c>
      <c r="B4058" s="5" t="s">
        <v>4213</v>
      </c>
      <c r="C4058" s="17">
        <v>19900101</v>
      </c>
      <c r="D4058" s="17">
        <v>22991231</v>
      </c>
      <c r="E4058" s="25">
        <v>0</v>
      </c>
    </row>
    <row r="4059" spans="1:5" x14ac:dyDescent="0.3">
      <c r="A4059" s="17" t="str">
        <f>"67334"</f>
        <v>67334</v>
      </c>
      <c r="B4059" s="5" t="s">
        <v>4214</v>
      </c>
      <c r="C4059" s="17">
        <v>19900101</v>
      </c>
      <c r="D4059" s="17">
        <v>22991231</v>
      </c>
      <c r="E4059" s="25">
        <v>0</v>
      </c>
    </row>
    <row r="4060" spans="1:5" ht="26" x14ac:dyDescent="0.3">
      <c r="A4060" s="17" t="str">
        <f>"67335"</f>
        <v>67335</v>
      </c>
      <c r="B4060" s="5" t="s">
        <v>4215</v>
      </c>
      <c r="C4060" s="17">
        <v>19900101</v>
      </c>
      <c r="D4060" s="17">
        <v>22991231</v>
      </c>
      <c r="E4060" s="25">
        <v>0</v>
      </c>
    </row>
    <row r="4061" spans="1:5" x14ac:dyDescent="0.3">
      <c r="A4061" s="17" t="str">
        <f>"67340"</f>
        <v>67340</v>
      </c>
      <c r="B4061" s="5" t="s">
        <v>4216</v>
      </c>
      <c r="C4061" s="17">
        <v>19910401</v>
      </c>
      <c r="D4061" s="17">
        <v>22991231</v>
      </c>
      <c r="E4061" s="25">
        <v>0</v>
      </c>
    </row>
    <row r="4062" spans="1:5" x14ac:dyDescent="0.3">
      <c r="A4062" s="17" t="str">
        <f>"67343"</f>
        <v>67343</v>
      </c>
      <c r="B4062" s="5" t="s">
        <v>4217</v>
      </c>
      <c r="C4062" s="17">
        <v>19910401</v>
      </c>
      <c r="D4062" s="17">
        <v>22991231</v>
      </c>
      <c r="E4062" s="25">
        <v>934.62</v>
      </c>
    </row>
    <row r="4063" spans="1:5" ht="26" x14ac:dyDescent="0.3">
      <c r="A4063" s="17" t="str">
        <f>"67345"</f>
        <v>67345</v>
      </c>
      <c r="B4063" s="5" t="s">
        <v>4218</v>
      </c>
      <c r="C4063" s="17">
        <v>20230101</v>
      </c>
      <c r="D4063" s="17">
        <v>22991231</v>
      </c>
      <c r="E4063" s="25">
        <v>119.16</v>
      </c>
    </row>
    <row r="4064" spans="1:5" x14ac:dyDescent="0.3">
      <c r="A4064" s="17" t="str">
        <f>"67346"</f>
        <v>67346</v>
      </c>
      <c r="B4064" s="5" t="s">
        <v>4219</v>
      </c>
      <c r="C4064" s="17">
        <v>20070101</v>
      </c>
      <c r="D4064" s="17">
        <v>22991231</v>
      </c>
      <c r="E4064" s="25">
        <v>1420.59</v>
      </c>
    </row>
    <row r="4065" spans="1:5" x14ac:dyDescent="0.3">
      <c r="A4065" s="17" t="str">
        <f>"67400"</f>
        <v>67400</v>
      </c>
      <c r="B4065" s="5" t="s">
        <v>4220</v>
      </c>
      <c r="C4065" s="17">
        <v>19900101</v>
      </c>
      <c r="D4065" s="17">
        <v>22991231</v>
      </c>
      <c r="E4065" s="25">
        <v>1420.59</v>
      </c>
    </row>
    <row r="4066" spans="1:5" x14ac:dyDescent="0.3">
      <c r="A4066" s="17" t="str">
        <f>"67405"</f>
        <v>67405</v>
      </c>
      <c r="B4066" s="5" t="s">
        <v>4221</v>
      </c>
      <c r="C4066" s="17">
        <v>19900101</v>
      </c>
      <c r="D4066" s="17">
        <v>22991231</v>
      </c>
      <c r="E4066" s="25">
        <v>934.62</v>
      </c>
    </row>
    <row r="4067" spans="1:5" x14ac:dyDescent="0.3">
      <c r="A4067" s="17" t="str">
        <f>"67412"</f>
        <v>67412</v>
      </c>
      <c r="B4067" s="5" t="s">
        <v>4222</v>
      </c>
      <c r="C4067" s="17">
        <v>19900101</v>
      </c>
      <c r="D4067" s="17">
        <v>22991231</v>
      </c>
      <c r="E4067" s="25">
        <v>934.62</v>
      </c>
    </row>
    <row r="4068" spans="1:5" x14ac:dyDescent="0.3">
      <c r="A4068" s="17" t="str">
        <f>"67413"</f>
        <v>67413</v>
      </c>
      <c r="B4068" s="5" t="s">
        <v>4223</v>
      </c>
      <c r="C4068" s="17">
        <v>19900101</v>
      </c>
      <c r="D4068" s="17">
        <v>22991231</v>
      </c>
      <c r="E4068" s="25">
        <v>934.62</v>
      </c>
    </row>
    <row r="4069" spans="1:5" ht="26" x14ac:dyDescent="0.3">
      <c r="A4069" s="17" t="str">
        <f>"67414"</f>
        <v>67414</v>
      </c>
      <c r="B4069" s="5" t="s">
        <v>4224</v>
      </c>
      <c r="C4069" s="17">
        <v>19920115</v>
      </c>
      <c r="D4069" s="17">
        <v>22991231</v>
      </c>
      <c r="E4069" s="25">
        <v>1420.59</v>
      </c>
    </row>
    <row r="4070" spans="1:5" x14ac:dyDescent="0.3">
      <c r="A4070" s="17" t="str">
        <f>"67415"</f>
        <v>67415</v>
      </c>
      <c r="B4070" s="5" t="s">
        <v>4225</v>
      </c>
      <c r="C4070" s="17">
        <v>19900101</v>
      </c>
      <c r="D4070" s="17">
        <v>22991231</v>
      </c>
      <c r="E4070" s="25">
        <v>934.62</v>
      </c>
    </row>
    <row r="4071" spans="1:5" ht="26" x14ac:dyDescent="0.3">
      <c r="A4071" s="17" t="str">
        <f>"67420"</f>
        <v>67420</v>
      </c>
      <c r="B4071" s="5" t="s">
        <v>4226</v>
      </c>
      <c r="C4071" s="17">
        <v>19900101</v>
      </c>
      <c r="D4071" s="17">
        <v>22991231</v>
      </c>
      <c r="E4071" s="25">
        <v>1420.59</v>
      </c>
    </row>
    <row r="4072" spans="1:5" ht="26" x14ac:dyDescent="0.3">
      <c r="A4072" s="17" t="str">
        <f>"67430"</f>
        <v>67430</v>
      </c>
      <c r="B4072" s="5" t="s">
        <v>4227</v>
      </c>
      <c r="C4072" s="17">
        <v>19900101</v>
      </c>
      <c r="D4072" s="17">
        <v>22991231</v>
      </c>
      <c r="E4072" s="25">
        <v>1420.59</v>
      </c>
    </row>
    <row r="4073" spans="1:5" ht="26" x14ac:dyDescent="0.3">
      <c r="A4073" s="17" t="str">
        <f>"67440"</f>
        <v>67440</v>
      </c>
      <c r="B4073" s="5" t="s">
        <v>4228</v>
      </c>
      <c r="C4073" s="17">
        <v>19900101</v>
      </c>
      <c r="D4073" s="17">
        <v>22991231</v>
      </c>
      <c r="E4073" s="25">
        <v>1789.09</v>
      </c>
    </row>
    <row r="4074" spans="1:5" ht="26" x14ac:dyDescent="0.3">
      <c r="A4074" s="17" t="str">
        <f>"67445"</f>
        <v>67445</v>
      </c>
      <c r="B4074" s="5" t="s">
        <v>4229</v>
      </c>
      <c r="C4074" s="17">
        <v>19920115</v>
      </c>
      <c r="D4074" s="17">
        <v>22991231</v>
      </c>
      <c r="E4074" s="25">
        <v>1420.59</v>
      </c>
    </row>
    <row r="4075" spans="1:5" x14ac:dyDescent="0.3">
      <c r="A4075" s="17" t="str">
        <f>"67450"</f>
        <v>67450</v>
      </c>
      <c r="B4075" s="5" t="s">
        <v>4230</v>
      </c>
      <c r="C4075" s="17">
        <v>19900101</v>
      </c>
      <c r="D4075" s="17">
        <v>22991231</v>
      </c>
      <c r="E4075" s="25">
        <v>1420.59</v>
      </c>
    </row>
    <row r="4076" spans="1:5" x14ac:dyDescent="0.3">
      <c r="A4076" s="17" t="str">
        <f>"67500"</f>
        <v>67500</v>
      </c>
      <c r="B4076" s="5" t="s">
        <v>4231</v>
      </c>
      <c r="C4076" s="17">
        <v>19900101</v>
      </c>
      <c r="D4076" s="17">
        <v>22991231</v>
      </c>
      <c r="E4076" s="25">
        <v>32.22</v>
      </c>
    </row>
    <row r="4077" spans="1:5" x14ac:dyDescent="0.3">
      <c r="A4077" s="17" t="str">
        <f>"67505"</f>
        <v>67505</v>
      </c>
      <c r="B4077" s="5" t="s">
        <v>4232</v>
      </c>
      <c r="C4077" s="17">
        <v>19900101</v>
      </c>
      <c r="D4077" s="17">
        <v>22991231</v>
      </c>
      <c r="E4077" s="25">
        <v>40.35</v>
      </c>
    </row>
    <row r="4078" spans="1:5" ht="26" x14ac:dyDescent="0.3">
      <c r="A4078" s="17" t="str">
        <f>"67515"</f>
        <v>67515</v>
      </c>
      <c r="B4078" s="5" t="s">
        <v>4233</v>
      </c>
      <c r="C4078" s="17">
        <v>19900101</v>
      </c>
      <c r="D4078" s="17">
        <v>22991231</v>
      </c>
      <c r="E4078" s="25">
        <v>22.52</v>
      </c>
    </row>
    <row r="4079" spans="1:5" ht="26" x14ac:dyDescent="0.3">
      <c r="A4079" s="17" t="str">
        <f>"67516"</f>
        <v>67516</v>
      </c>
      <c r="B4079" s="5" t="s">
        <v>4234</v>
      </c>
      <c r="C4079" s="17">
        <v>20240101</v>
      </c>
      <c r="D4079" s="17">
        <v>22991231</v>
      </c>
      <c r="E4079" s="25">
        <v>60.37</v>
      </c>
    </row>
    <row r="4080" spans="1:5" x14ac:dyDescent="0.3">
      <c r="A4080" s="17" t="str">
        <f>"67550"</f>
        <v>67550</v>
      </c>
      <c r="B4080" s="5" t="s">
        <v>4235</v>
      </c>
      <c r="C4080" s="17">
        <v>19900101</v>
      </c>
      <c r="D4080" s="17">
        <v>22991231</v>
      </c>
      <c r="E4080" s="25">
        <v>1420.59</v>
      </c>
    </row>
    <row r="4081" spans="1:5" ht="26" x14ac:dyDescent="0.3">
      <c r="A4081" s="17" t="str">
        <f>"67560"</f>
        <v>67560</v>
      </c>
      <c r="B4081" s="5" t="s">
        <v>4236</v>
      </c>
      <c r="C4081" s="17">
        <v>19900101</v>
      </c>
      <c r="D4081" s="17">
        <v>22991231</v>
      </c>
      <c r="E4081" s="25">
        <v>1420.59</v>
      </c>
    </row>
    <row r="4082" spans="1:5" x14ac:dyDescent="0.3">
      <c r="A4082" s="17" t="str">
        <f>"67570"</f>
        <v>67570</v>
      </c>
      <c r="B4082" s="5" t="s">
        <v>4237</v>
      </c>
      <c r="C4082" s="17">
        <v>19920115</v>
      </c>
      <c r="D4082" s="17">
        <v>22991231</v>
      </c>
      <c r="E4082" s="25">
        <v>1420.59</v>
      </c>
    </row>
    <row r="4083" spans="1:5" x14ac:dyDescent="0.3">
      <c r="A4083" s="17" t="str">
        <f>"67700"</f>
        <v>67700</v>
      </c>
      <c r="B4083" s="5" t="s">
        <v>4238</v>
      </c>
      <c r="C4083" s="17">
        <v>19900101</v>
      </c>
      <c r="D4083" s="17">
        <v>22991231</v>
      </c>
      <c r="E4083" s="25">
        <v>144.33000000000001</v>
      </c>
    </row>
    <row r="4084" spans="1:5" ht="26" x14ac:dyDescent="0.3">
      <c r="A4084" s="17" t="str">
        <f>"67710"</f>
        <v>67710</v>
      </c>
      <c r="B4084" s="5" t="s">
        <v>4239</v>
      </c>
      <c r="C4084" s="17">
        <v>19900101</v>
      </c>
      <c r="D4084" s="17">
        <v>22991231</v>
      </c>
      <c r="E4084" s="25">
        <v>190.47</v>
      </c>
    </row>
    <row r="4085" spans="1:5" x14ac:dyDescent="0.3">
      <c r="A4085" s="17" t="str">
        <f>"67715"</f>
        <v>67715</v>
      </c>
      <c r="B4085" s="5" t="s">
        <v>4240</v>
      </c>
      <c r="C4085" s="17">
        <v>19900101</v>
      </c>
      <c r="D4085" s="17">
        <v>22991231</v>
      </c>
      <c r="E4085" s="25">
        <v>934.62</v>
      </c>
    </row>
    <row r="4086" spans="1:5" x14ac:dyDescent="0.3">
      <c r="A4086" s="17" t="str">
        <f>"67800"</f>
        <v>67800</v>
      </c>
      <c r="B4086" s="5" t="s">
        <v>4241</v>
      </c>
      <c r="C4086" s="17">
        <v>19900101</v>
      </c>
      <c r="D4086" s="17">
        <v>22991231</v>
      </c>
      <c r="E4086" s="25">
        <v>73.180000000000007</v>
      </c>
    </row>
    <row r="4087" spans="1:5" ht="26" x14ac:dyDescent="0.3">
      <c r="A4087" s="17" t="str">
        <f>"67801"</f>
        <v>67801</v>
      </c>
      <c r="B4087" s="5" t="s">
        <v>4242</v>
      </c>
      <c r="C4087" s="17">
        <v>19900101</v>
      </c>
      <c r="D4087" s="17">
        <v>22991231</v>
      </c>
      <c r="E4087" s="25">
        <v>88.2</v>
      </c>
    </row>
    <row r="4088" spans="1:5" ht="26" x14ac:dyDescent="0.3">
      <c r="A4088" s="17" t="str">
        <f>"67805"</f>
        <v>67805</v>
      </c>
      <c r="B4088" s="5" t="s">
        <v>4243</v>
      </c>
      <c r="C4088" s="17">
        <v>19900101</v>
      </c>
      <c r="D4088" s="17">
        <v>22991231</v>
      </c>
      <c r="E4088" s="25">
        <v>114.16</v>
      </c>
    </row>
    <row r="4089" spans="1:5" ht="26" x14ac:dyDescent="0.3">
      <c r="A4089" s="17" t="str">
        <f>"67808"</f>
        <v>67808</v>
      </c>
      <c r="B4089" s="5" t="s">
        <v>4244</v>
      </c>
      <c r="C4089" s="17">
        <v>19900101</v>
      </c>
      <c r="D4089" s="17">
        <v>22991231</v>
      </c>
      <c r="E4089" s="25">
        <v>934.62</v>
      </c>
    </row>
    <row r="4090" spans="1:5" x14ac:dyDescent="0.3">
      <c r="A4090" s="17" t="str">
        <f>"67810"</f>
        <v>67810</v>
      </c>
      <c r="B4090" s="5" t="s">
        <v>4245</v>
      </c>
      <c r="C4090" s="17">
        <v>19900101</v>
      </c>
      <c r="D4090" s="17">
        <v>22991231</v>
      </c>
      <c r="E4090" s="25">
        <v>131.66999999999999</v>
      </c>
    </row>
    <row r="4091" spans="1:5" x14ac:dyDescent="0.3">
      <c r="A4091" s="17" t="str">
        <f>"67820"</f>
        <v>67820</v>
      </c>
      <c r="B4091" s="5" t="s">
        <v>4246</v>
      </c>
      <c r="C4091" s="17">
        <v>19900101</v>
      </c>
      <c r="D4091" s="17">
        <v>22991231</v>
      </c>
      <c r="E4091" s="25">
        <v>0</v>
      </c>
    </row>
    <row r="4092" spans="1:5" x14ac:dyDescent="0.3">
      <c r="A4092" s="17" t="str">
        <f>"67825"</f>
        <v>67825</v>
      </c>
      <c r="B4092" s="5" t="s">
        <v>4247</v>
      </c>
      <c r="C4092" s="17">
        <v>19900101</v>
      </c>
      <c r="D4092" s="17">
        <v>22991231</v>
      </c>
      <c r="E4092" s="25">
        <v>77.87</v>
      </c>
    </row>
    <row r="4093" spans="1:5" x14ac:dyDescent="0.3">
      <c r="A4093" s="17" t="str">
        <f>"67830"</f>
        <v>67830</v>
      </c>
      <c r="B4093" s="5" t="s">
        <v>4248</v>
      </c>
      <c r="C4093" s="17">
        <v>19900101</v>
      </c>
      <c r="D4093" s="17">
        <v>22991231</v>
      </c>
      <c r="E4093" s="25">
        <v>501.63</v>
      </c>
    </row>
    <row r="4094" spans="1:5" x14ac:dyDescent="0.3">
      <c r="A4094" s="17" t="str">
        <f>"67835"</f>
        <v>67835</v>
      </c>
      <c r="B4094" s="5" t="s">
        <v>4249</v>
      </c>
      <c r="C4094" s="17">
        <v>19900101</v>
      </c>
      <c r="D4094" s="17">
        <v>22991231</v>
      </c>
      <c r="E4094" s="25">
        <v>934.62</v>
      </c>
    </row>
    <row r="4095" spans="1:5" x14ac:dyDescent="0.3">
      <c r="A4095" s="17" t="str">
        <f>"67840"</f>
        <v>67840</v>
      </c>
      <c r="B4095" s="5" t="s">
        <v>4250</v>
      </c>
      <c r="C4095" s="17">
        <v>19900101</v>
      </c>
      <c r="D4095" s="17">
        <v>22991231</v>
      </c>
      <c r="E4095" s="25">
        <v>191.1</v>
      </c>
    </row>
    <row r="4096" spans="1:5" ht="26" x14ac:dyDescent="0.3">
      <c r="A4096" s="17" t="str">
        <f>"67850"</f>
        <v>67850</v>
      </c>
      <c r="B4096" s="5" t="s">
        <v>4251</v>
      </c>
      <c r="C4096" s="17">
        <v>19900101</v>
      </c>
      <c r="D4096" s="17">
        <v>22991231</v>
      </c>
      <c r="E4096" s="25">
        <v>142.93</v>
      </c>
    </row>
    <row r="4097" spans="1:5" x14ac:dyDescent="0.3">
      <c r="A4097" s="17" t="str">
        <f>"67875"</f>
        <v>67875</v>
      </c>
      <c r="B4097" s="5" t="s">
        <v>4252</v>
      </c>
      <c r="C4097" s="17">
        <v>19910401</v>
      </c>
      <c r="D4097" s="17">
        <v>22991231</v>
      </c>
      <c r="E4097" s="25">
        <v>501.63</v>
      </c>
    </row>
    <row r="4098" spans="1:5" x14ac:dyDescent="0.3">
      <c r="A4098" s="17" t="str">
        <f>"67880"</f>
        <v>67880</v>
      </c>
      <c r="B4098" s="5" t="s">
        <v>4253</v>
      </c>
      <c r="C4098" s="17">
        <v>19900101</v>
      </c>
      <c r="D4098" s="17">
        <v>22991231</v>
      </c>
      <c r="E4098" s="25">
        <v>934.62</v>
      </c>
    </row>
    <row r="4099" spans="1:5" ht="26" x14ac:dyDescent="0.3">
      <c r="A4099" s="17" t="str">
        <f>"67882"</f>
        <v>67882</v>
      </c>
      <c r="B4099" s="5" t="s">
        <v>4254</v>
      </c>
      <c r="C4099" s="17">
        <v>19900101</v>
      </c>
      <c r="D4099" s="17">
        <v>22991231</v>
      </c>
      <c r="E4099" s="25">
        <v>934.62</v>
      </c>
    </row>
    <row r="4100" spans="1:5" x14ac:dyDescent="0.3">
      <c r="A4100" s="17" t="str">
        <f>"67900"</f>
        <v>67900</v>
      </c>
      <c r="B4100" s="5" t="s">
        <v>4255</v>
      </c>
      <c r="C4100" s="17">
        <v>19990101</v>
      </c>
      <c r="D4100" s="17">
        <v>22991231</v>
      </c>
      <c r="E4100" s="25">
        <v>934.62</v>
      </c>
    </row>
    <row r="4101" spans="1:5" ht="26" x14ac:dyDescent="0.3">
      <c r="A4101" s="17" t="str">
        <f>"67901"</f>
        <v>67901</v>
      </c>
      <c r="B4101" s="5" t="s">
        <v>4256</v>
      </c>
      <c r="C4101" s="17">
        <v>19900101</v>
      </c>
      <c r="D4101" s="17">
        <v>22991231</v>
      </c>
      <c r="E4101" s="25">
        <v>934.62</v>
      </c>
    </row>
    <row r="4102" spans="1:5" ht="26" x14ac:dyDescent="0.3">
      <c r="A4102" s="17" t="str">
        <f>"67902"</f>
        <v>67902</v>
      </c>
      <c r="B4102" s="5" t="s">
        <v>4257</v>
      </c>
      <c r="C4102" s="17">
        <v>19900101</v>
      </c>
      <c r="D4102" s="17">
        <v>22991231</v>
      </c>
      <c r="E4102" s="25">
        <v>1420.59</v>
      </c>
    </row>
    <row r="4103" spans="1:5" ht="26" x14ac:dyDescent="0.3">
      <c r="A4103" s="17" t="str">
        <f>"67903"</f>
        <v>67903</v>
      </c>
      <c r="B4103" s="5" t="s">
        <v>4258</v>
      </c>
      <c r="C4103" s="17">
        <v>19900101</v>
      </c>
      <c r="D4103" s="17">
        <v>22991231</v>
      </c>
      <c r="E4103" s="25">
        <v>934.62</v>
      </c>
    </row>
    <row r="4104" spans="1:5" x14ac:dyDescent="0.3">
      <c r="A4104" s="17" t="str">
        <f>"67904"</f>
        <v>67904</v>
      </c>
      <c r="B4104" s="5" t="s">
        <v>4259</v>
      </c>
      <c r="C4104" s="17">
        <v>19900101</v>
      </c>
      <c r="D4104" s="17">
        <v>22991231</v>
      </c>
      <c r="E4104" s="25">
        <v>934.62</v>
      </c>
    </row>
    <row r="4105" spans="1:5" ht="26" x14ac:dyDescent="0.3">
      <c r="A4105" s="17" t="str">
        <f>"67906"</f>
        <v>67906</v>
      </c>
      <c r="B4105" s="5" t="s">
        <v>4260</v>
      </c>
      <c r="C4105" s="17">
        <v>19900101</v>
      </c>
      <c r="D4105" s="17">
        <v>22991231</v>
      </c>
      <c r="E4105" s="25">
        <v>1420.59</v>
      </c>
    </row>
    <row r="4106" spans="1:5" ht="26" x14ac:dyDescent="0.3">
      <c r="A4106" s="17" t="str">
        <f>"67908"</f>
        <v>67908</v>
      </c>
      <c r="B4106" s="5" t="s">
        <v>4261</v>
      </c>
      <c r="C4106" s="17">
        <v>19900101</v>
      </c>
      <c r="D4106" s="17">
        <v>22991231</v>
      </c>
      <c r="E4106" s="25">
        <v>934.62</v>
      </c>
    </row>
    <row r="4107" spans="1:5" ht="26" x14ac:dyDescent="0.3">
      <c r="A4107" s="17" t="str">
        <f>"67909"</f>
        <v>67909</v>
      </c>
      <c r="B4107" s="5" t="s">
        <v>4262</v>
      </c>
      <c r="C4107" s="17">
        <v>19900101</v>
      </c>
      <c r="D4107" s="17">
        <v>22991231</v>
      </c>
      <c r="E4107" s="25">
        <v>934.62</v>
      </c>
    </row>
    <row r="4108" spans="1:5" x14ac:dyDescent="0.3">
      <c r="A4108" s="17" t="str">
        <f>"67911"</f>
        <v>67911</v>
      </c>
      <c r="B4108" s="5" t="s">
        <v>4263</v>
      </c>
      <c r="C4108" s="17">
        <v>19900101</v>
      </c>
      <c r="D4108" s="17">
        <v>22991231</v>
      </c>
      <c r="E4108" s="25">
        <v>934.62</v>
      </c>
    </row>
    <row r="4109" spans="1:5" ht="26" x14ac:dyDescent="0.3">
      <c r="A4109" s="17" t="str">
        <f>"67912"</f>
        <v>67912</v>
      </c>
      <c r="B4109" s="5" t="s">
        <v>4264</v>
      </c>
      <c r="C4109" s="17">
        <v>20051001</v>
      </c>
      <c r="D4109" s="17">
        <v>22991231</v>
      </c>
      <c r="E4109" s="25">
        <v>934.62</v>
      </c>
    </row>
    <row r="4110" spans="1:5" ht="26" x14ac:dyDescent="0.3">
      <c r="A4110" s="17" t="str">
        <f>"67914"</f>
        <v>67914</v>
      </c>
      <c r="B4110" s="5" t="s">
        <v>4265</v>
      </c>
      <c r="C4110" s="17">
        <v>19900101</v>
      </c>
      <c r="D4110" s="17">
        <v>22991231</v>
      </c>
      <c r="E4110" s="25">
        <v>934.62</v>
      </c>
    </row>
    <row r="4111" spans="1:5" ht="26" x14ac:dyDescent="0.3">
      <c r="A4111" s="17" t="str">
        <f>"67915"</f>
        <v>67915</v>
      </c>
      <c r="B4111" s="5" t="s">
        <v>4266</v>
      </c>
      <c r="C4111" s="17">
        <v>19900101</v>
      </c>
      <c r="D4111" s="17">
        <v>22991231</v>
      </c>
      <c r="E4111" s="25">
        <v>227.69</v>
      </c>
    </row>
    <row r="4112" spans="1:5" x14ac:dyDescent="0.3">
      <c r="A4112" s="17" t="str">
        <f>"67916"</f>
        <v>67916</v>
      </c>
      <c r="B4112" s="5" t="s">
        <v>4267</v>
      </c>
      <c r="C4112" s="17">
        <v>19900101</v>
      </c>
      <c r="D4112" s="17">
        <v>22991231</v>
      </c>
      <c r="E4112" s="25">
        <v>934.62</v>
      </c>
    </row>
    <row r="4113" spans="1:5" ht="26" x14ac:dyDescent="0.3">
      <c r="A4113" s="17" t="str">
        <f>"67917"</f>
        <v>67917</v>
      </c>
      <c r="B4113" s="5" t="s">
        <v>4268</v>
      </c>
      <c r="C4113" s="17">
        <v>19900101</v>
      </c>
      <c r="D4113" s="17">
        <v>22991231</v>
      </c>
      <c r="E4113" s="25">
        <v>934.62</v>
      </c>
    </row>
    <row r="4114" spans="1:5" x14ac:dyDescent="0.3">
      <c r="A4114" s="17" t="str">
        <f>"67921"</f>
        <v>67921</v>
      </c>
      <c r="B4114" s="5" t="s">
        <v>4269</v>
      </c>
      <c r="C4114" s="17">
        <v>19900101</v>
      </c>
      <c r="D4114" s="17">
        <v>22991231</v>
      </c>
      <c r="E4114" s="25">
        <v>934.62</v>
      </c>
    </row>
    <row r="4115" spans="1:5" ht="26" x14ac:dyDescent="0.3">
      <c r="A4115" s="17" t="str">
        <f>"67922"</f>
        <v>67922</v>
      </c>
      <c r="B4115" s="5" t="s">
        <v>4270</v>
      </c>
      <c r="C4115" s="17">
        <v>19900101</v>
      </c>
      <c r="D4115" s="17">
        <v>22991231</v>
      </c>
      <c r="E4115" s="25">
        <v>219.25</v>
      </c>
    </row>
    <row r="4116" spans="1:5" x14ac:dyDescent="0.3">
      <c r="A4116" s="17" t="str">
        <f>"67923"</f>
        <v>67923</v>
      </c>
      <c r="B4116" s="5" t="s">
        <v>4271</v>
      </c>
      <c r="C4116" s="17">
        <v>19900101</v>
      </c>
      <c r="D4116" s="17">
        <v>22991231</v>
      </c>
      <c r="E4116" s="25">
        <v>934.62</v>
      </c>
    </row>
    <row r="4117" spans="1:5" x14ac:dyDescent="0.3">
      <c r="A4117" s="17" t="str">
        <f>"67924"</f>
        <v>67924</v>
      </c>
      <c r="B4117" s="5" t="s">
        <v>4272</v>
      </c>
      <c r="C4117" s="17">
        <v>19900101</v>
      </c>
      <c r="D4117" s="17">
        <v>22991231</v>
      </c>
      <c r="E4117" s="25">
        <v>934.62</v>
      </c>
    </row>
    <row r="4118" spans="1:5" x14ac:dyDescent="0.3">
      <c r="A4118" s="17" t="str">
        <f>"67930"</f>
        <v>67930</v>
      </c>
      <c r="B4118" s="5" t="s">
        <v>4273</v>
      </c>
      <c r="C4118" s="17">
        <v>19900101</v>
      </c>
      <c r="D4118" s="17">
        <v>22991231</v>
      </c>
      <c r="E4118" s="25">
        <v>223</v>
      </c>
    </row>
    <row r="4119" spans="1:5" x14ac:dyDescent="0.3">
      <c r="A4119" s="17" t="str">
        <f>"67935"</f>
        <v>67935</v>
      </c>
      <c r="B4119" s="5" t="s">
        <v>4274</v>
      </c>
      <c r="C4119" s="17">
        <v>19900101</v>
      </c>
      <c r="D4119" s="17">
        <v>22991231</v>
      </c>
      <c r="E4119" s="25">
        <v>934.62</v>
      </c>
    </row>
    <row r="4120" spans="1:5" x14ac:dyDescent="0.3">
      <c r="A4120" s="17" t="str">
        <f>"67938"</f>
        <v>67938</v>
      </c>
      <c r="B4120" s="5" t="s">
        <v>4275</v>
      </c>
      <c r="C4120" s="17">
        <v>19900101</v>
      </c>
      <c r="D4120" s="17">
        <v>22991231</v>
      </c>
      <c r="E4120" s="25">
        <v>144.33000000000001</v>
      </c>
    </row>
    <row r="4121" spans="1:5" x14ac:dyDescent="0.3">
      <c r="A4121" s="17" t="str">
        <f>"67950"</f>
        <v>67950</v>
      </c>
      <c r="B4121" s="5" t="s">
        <v>4276</v>
      </c>
      <c r="C4121" s="17">
        <v>19900101</v>
      </c>
      <c r="D4121" s="17">
        <v>22991231</v>
      </c>
      <c r="E4121" s="25">
        <v>934.62</v>
      </c>
    </row>
    <row r="4122" spans="1:5" ht="26" x14ac:dyDescent="0.3">
      <c r="A4122" s="17" t="str">
        <f>"67961"</f>
        <v>67961</v>
      </c>
      <c r="B4122" s="5" t="s">
        <v>4277</v>
      </c>
      <c r="C4122" s="17">
        <v>19900101</v>
      </c>
      <c r="D4122" s="17">
        <v>22991231</v>
      </c>
      <c r="E4122" s="25">
        <v>934.62</v>
      </c>
    </row>
    <row r="4123" spans="1:5" ht="26" x14ac:dyDescent="0.3">
      <c r="A4123" s="17" t="str">
        <f>"67966"</f>
        <v>67966</v>
      </c>
      <c r="B4123" s="5" t="s">
        <v>4278</v>
      </c>
      <c r="C4123" s="17">
        <v>19900101</v>
      </c>
      <c r="D4123" s="17">
        <v>22991231</v>
      </c>
      <c r="E4123" s="25">
        <v>934.62</v>
      </c>
    </row>
    <row r="4124" spans="1:5" ht="26" x14ac:dyDescent="0.3">
      <c r="A4124" s="17" t="str">
        <f>"67971"</f>
        <v>67971</v>
      </c>
      <c r="B4124" s="5" t="s">
        <v>4279</v>
      </c>
      <c r="C4124" s="17">
        <v>19900101</v>
      </c>
      <c r="D4124" s="17">
        <v>22991231</v>
      </c>
      <c r="E4124" s="25">
        <v>934.62</v>
      </c>
    </row>
    <row r="4125" spans="1:5" ht="26" x14ac:dyDescent="0.3">
      <c r="A4125" s="17" t="str">
        <f>"67973"</f>
        <v>67973</v>
      </c>
      <c r="B4125" s="5" t="s">
        <v>4280</v>
      </c>
      <c r="C4125" s="17">
        <v>19900101</v>
      </c>
      <c r="D4125" s="17">
        <v>22991231</v>
      </c>
      <c r="E4125" s="25">
        <v>934.62</v>
      </c>
    </row>
    <row r="4126" spans="1:5" ht="26" x14ac:dyDescent="0.3">
      <c r="A4126" s="17" t="str">
        <f>"67974"</f>
        <v>67974</v>
      </c>
      <c r="B4126" s="5" t="s">
        <v>4281</v>
      </c>
      <c r="C4126" s="17">
        <v>19900101</v>
      </c>
      <c r="D4126" s="17">
        <v>22991231</v>
      </c>
      <c r="E4126" s="25">
        <v>1420.59</v>
      </c>
    </row>
    <row r="4127" spans="1:5" ht="26" x14ac:dyDescent="0.3">
      <c r="A4127" s="17" t="str">
        <f>"67975"</f>
        <v>67975</v>
      </c>
      <c r="B4127" s="5" t="s">
        <v>4282</v>
      </c>
      <c r="C4127" s="17">
        <v>19900101</v>
      </c>
      <c r="D4127" s="17">
        <v>22991231</v>
      </c>
      <c r="E4127" s="25">
        <v>934.62</v>
      </c>
    </row>
    <row r="4128" spans="1:5" x14ac:dyDescent="0.3">
      <c r="A4128" s="17" t="str">
        <f>"68020"</f>
        <v>68020</v>
      </c>
      <c r="B4128" s="5" t="s">
        <v>4283</v>
      </c>
      <c r="C4128" s="17">
        <v>19900101</v>
      </c>
      <c r="D4128" s="17">
        <v>22991231</v>
      </c>
      <c r="E4128" s="25">
        <v>65.989999999999995</v>
      </c>
    </row>
    <row r="4129" spans="1:5" ht="26" x14ac:dyDescent="0.3">
      <c r="A4129" s="17" t="str">
        <f>"68040"</f>
        <v>68040</v>
      </c>
      <c r="B4129" s="5" t="s">
        <v>4284</v>
      </c>
      <c r="C4129" s="17">
        <v>19900101</v>
      </c>
      <c r="D4129" s="17">
        <v>22991231</v>
      </c>
      <c r="E4129" s="25">
        <v>30.34</v>
      </c>
    </row>
    <row r="4130" spans="1:5" x14ac:dyDescent="0.3">
      <c r="A4130" s="17" t="str">
        <f>"68100"</f>
        <v>68100</v>
      </c>
      <c r="B4130" s="5" t="s">
        <v>4285</v>
      </c>
      <c r="C4130" s="17">
        <v>19900101</v>
      </c>
      <c r="D4130" s="17">
        <v>22991231</v>
      </c>
      <c r="E4130" s="25">
        <v>122.29</v>
      </c>
    </row>
    <row r="4131" spans="1:5" ht="26" x14ac:dyDescent="0.3">
      <c r="A4131" s="17" t="str">
        <f>"68110"</f>
        <v>68110</v>
      </c>
      <c r="B4131" s="5" t="s">
        <v>4286</v>
      </c>
      <c r="C4131" s="17">
        <v>19900101</v>
      </c>
      <c r="D4131" s="17">
        <v>22991231</v>
      </c>
      <c r="E4131" s="25">
        <v>159.82</v>
      </c>
    </row>
    <row r="4132" spans="1:5" ht="26" x14ac:dyDescent="0.3">
      <c r="A4132" s="17" t="str">
        <f>"68115"</f>
        <v>68115</v>
      </c>
      <c r="B4132" s="5" t="s">
        <v>4287</v>
      </c>
      <c r="C4132" s="17">
        <v>19900101</v>
      </c>
      <c r="D4132" s="17">
        <v>22991231</v>
      </c>
      <c r="E4132" s="25">
        <v>934.62</v>
      </c>
    </row>
    <row r="4133" spans="1:5" x14ac:dyDescent="0.3">
      <c r="A4133" s="17" t="str">
        <f>"68130"</f>
        <v>68130</v>
      </c>
      <c r="B4133" s="5" t="s">
        <v>4288</v>
      </c>
      <c r="C4133" s="17">
        <v>19900101</v>
      </c>
      <c r="D4133" s="17">
        <v>22991231</v>
      </c>
      <c r="E4133" s="25">
        <v>934.62</v>
      </c>
    </row>
    <row r="4134" spans="1:5" x14ac:dyDescent="0.3">
      <c r="A4134" s="17" t="str">
        <f>"68135"</f>
        <v>68135</v>
      </c>
      <c r="B4134" s="5" t="s">
        <v>4289</v>
      </c>
      <c r="C4134" s="17">
        <v>19900101</v>
      </c>
      <c r="D4134" s="17">
        <v>22991231</v>
      </c>
      <c r="E4134" s="25">
        <v>83.51</v>
      </c>
    </row>
    <row r="4135" spans="1:5" x14ac:dyDescent="0.3">
      <c r="A4135" s="17" t="str">
        <f>"68200"</f>
        <v>68200</v>
      </c>
      <c r="B4135" s="5" t="s">
        <v>4290</v>
      </c>
      <c r="C4135" s="17">
        <v>19900101</v>
      </c>
      <c r="D4135" s="17">
        <v>22991231</v>
      </c>
      <c r="E4135" s="25">
        <v>0</v>
      </c>
    </row>
    <row r="4136" spans="1:5" ht="26" x14ac:dyDescent="0.3">
      <c r="A4136" s="17" t="str">
        <f>"68320"</f>
        <v>68320</v>
      </c>
      <c r="B4136" s="5" t="s">
        <v>4291</v>
      </c>
      <c r="C4136" s="17">
        <v>19900101</v>
      </c>
      <c r="D4136" s="17">
        <v>22991231</v>
      </c>
      <c r="E4136" s="25">
        <v>934.62</v>
      </c>
    </row>
    <row r="4137" spans="1:5" ht="26" x14ac:dyDescent="0.3">
      <c r="A4137" s="17" t="str">
        <f>"68325"</f>
        <v>68325</v>
      </c>
      <c r="B4137" s="5" t="s">
        <v>4292</v>
      </c>
      <c r="C4137" s="17">
        <v>19900101</v>
      </c>
      <c r="D4137" s="17">
        <v>22991231</v>
      </c>
      <c r="E4137" s="25">
        <v>1420.59</v>
      </c>
    </row>
    <row r="4138" spans="1:5" ht="26" x14ac:dyDescent="0.3">
      <c r="A4138" s="17" t="str">
        <f>"68326"</f>
        <v>68326</v>
      </c>
      <c r="B4138" s="5" t="s">
        <v>4293</v>
      </c>
      <c r="C4138" s="17">
        <v>19900101</v>
      </c>
      <c r="D4138" s="17">
        <v>22991231</v>
      </c>
      <c r="E4138" s="25">
        <v>1420.59</v>
      </c>
    </row>
    <row r="4139" spans="1:5" ht="26" x14ac:dyDescent="0.3">
      <c r="A4139" s="17" t="str">
        <f>"68328"</f>
        <v>68328</v>
      </c>
      <c r="B4139" s="5" t="s">
        <v>4294</v>
      </c>
      <c r="C4139" s="17">
        <v>19900101</v>
      </c>
      <c r="D4139" s="17">
        <v>22991231</v>
      </c>
      <c r="E4139" s="25">
        <v>934.62</v>
      </c>
    </row>
    <row r="4140" spans="1:5" x14ac:dyDescent="0.3">
      <c r="A4140" s="17" t="str">
        <f>"68330"</f>
        <v>68330</v>
      </c>
      <c r="B4140" s="5" t="s">
        <v>4295</v>
      </c>
      <c r="C4140" s="17">
        <v>19900101</v>
      </c>
      <c r="D4140" s="17">
        <v>22991231</v>
      </c>
      <c r="E4140" s="25">
        <v>1130.6099999999999</v>
      </c>
    </row>
    <row r="4141" spans="1:5" x14ac:dyDescent="0.3">
      <c r="A4141" s="17" t="str">
        <f>"68335"</f>
        <v>68335</v>
      </c>
      <c r="B4141" s="5" t="s">
        <v>4296</v>
      </c>
      <c r="C4141" s="17">
        <v>19900101</v>
      </c>
      <c r="D4141" s="17">
        <v>22991231</v>
      </c>
      <c r="E4141" s="25">
        <v>1420.59</v>
      </c>
    </row>
    <row r="4142" spans="1:5" x14ac:dyDescent="0.3">
      <c r="A4142" s="17" t="str">
        <f>"68340"</f>
        <v>68340</v>
      </c>
      <c r="B4142" s="5" t="s">
        <v>4297</v>
      </c>
      <c r="C4142" s="17">
        <v>19900101</v>
      </c>
      <c r="D4142" s="17">
        <v>22991231</v>
      </c>
      <c r="E4142" s="25">
        <v>934.62</v>
      </c>
    </row>
    <row r="4143" spans="1:5" x14ac:dyDescent="0.3">
      <c r="A4143" s="17" t="str">
        <f>"68360"</f>
        <v>68360</v>
      </c>
      <c r="B4143" s="5" t="s">
        <v>4298</v>
      </c>
      <c r="C4143" s="17">
        <v>19900101</v>
      </c>
      <c r="D4143" s="17">
        <v>22991231</v>
      </c>
      <c r="E4143" s="25">
        <v>1420.59</v>
      </c>
    </row>
    <row r="4144" spans="1:5" x14ac:dyDescent="0.3">
      <c r="A4144" s="17" t="str">
        <f>"68362"</f>
        <v>68362</v>
      </c>
      <c r="B4144" s="5" t="s">
        <v>4299</v>
      </c>
      <c r="C4144" s="17">
        <v>19900101</v>
      </c>
      <c r="D4144" s="17">
        <v>22991231</v>
      </c>
      <c r="E4144" s="25">
        <v>934.62</v>
      </c>
    </row>
    <row r="4145" spans="1:5" x14ac:dyDescent="0.3">
      <c r="A4145" s="17" t="str">
        <f>"68371"</f>
        <v>68371</v>
      </c>
      <c r="B4145" s="5" t="s">
        <v>4300</v>
      </c>
      <c r="C4145" s="17">
        <v>20051001</v>
      </c>
      <c r="D4145" s="17">
        <v>22991231</v>
      </c>
      <c r="E4145" s="25">
        <v>934.62</v>
      </c>
    </row>
    <row r="4146" spans="1:5" x14ac:dyDescent="0.3">
      <c r="A4146" s="17" t="str">
        <f>"68399"</f>
        <v>68399</v>
      </c>
      <c r="B4146" s="5" t="s">
        <v>4301</v>
      </c>
      <c r="C4146" s="17">
        <v>19900101</v>
      </c>
      <c r="D4146" s="17">
        <v>22991231</v>
      </c>
      <c r="E4146" s="24" t="s">
        <v>7128</v>
      </c>
    </row>
    <row r="4147" spans="1:5" x14ac:dyDescent="0.3">
      <c r="A4147" s="17" t="str">
        <f>"68400"</f>
        <v>68400</v>
      </c>
      <c r="B4147" s="5" t="s">
        <v>4302</v>
      </c>
      <c r="C4147" s="17">
        <v>19900101</v>
      </c>
      <c r="D4147" s="17">
        <v>22991231</v>
      </c>
      <c r="E4147" s="25">
        <v>218.93</v>
      </c>
    </row>
    <row r="4148" spans="1:5" x14ac:dyDescent="0.3">
      <c r="A4148" s="17" t="str">
        <f>"68420"</f>
        <v>68420</v>
      </c>
      <c r="B4148" s="5" t="s">
        <v>4303</v>
      </c>
      <c r="C4148" s="17">
        <v>19900101</v>
      </c>
      <c r="D4148" s="17">
        <v>22991231</v>
      </c>
      <c r="E4148" s="25">
        <v>230.19</v>
      </c>
    </row>
    <row r="4149" spans="1:5" x14ac:dyDescent="0.3">
      <c r="A4149" s="17" t="str">
        <f>"68440"</f>
        <v>68440</v>
      </c>
      <c r="B4149" s="5" t="s">
        <v>4304</v>
      </c>
      <c r="C4149" s="17">
        <v>19900101</v>
      </c>
      <c r="D4149" s="17">
        <v>22991231</v>
      </c>
      <c r="E4149" s="25">
        <v>64.739999999999995</v>
      </c>
    </row>
    <row r="4150" spans="1:5" x14ac:dyDescent="0.3">
      <c r="A4150" s="17" t="str">
        <f>"68500"</f>
        <v>68500</v>
      </c>
      <c r="B4150" s="5" t="s">
        <v>4305</v>
      </c>
      <c r="C4150" s="17">
        <v>19900101</v>
      </c>
      <c r="D4150" s="17">
        <v>22991231</v>
      </c>
      <c r="E4150" s="25">
        <v>1420.59</v>
      </c>
    </row>
    <row r="4151" spans="1:5" x14ac:dyDescent="0.3">
      <c r="A4151" s="17" t="str">
        <f>"68505"</f>
        <v>68505</v>
      </c>
      <c r="B4151" s="5" t="s">
        <v>4306</v>
      </c>
      <c r="C4151" s="17">
        <v>19900101</v>
      </c>
      <c r="D4151" s="17">
        <v>22991231</v>
      </c>
      <c r="E4151" s="25">
        <v>1420.59</v>
      </c>
    </row>
    <row r="4152" spans="1:5" x14ac:dyDescent="0.3">
      <c r="A4152" s="17" t="str">
        <f>"68510"</f>
        <v>68510</v>
      </c>
      <c r="B4152" s="5" t="s">
        <v>4307</v>
      </c>
      <c r="C4152" s="17">
        <v>19900101</v>
      </c>
      <c r="D4152" s="17">
        <v>22991231</v>
      </c>
      <c r="E4152" s="25">
        <v>934.62</v>
      </c>
    </row>
    <row r="4153" spans="1:5" x14ac:dyDescent="0.3">
      <c r="A4153" s="17" t="str">
        <f>"68520"</f>
        <v>68520</v>
      </c>
      <c r="B4153" s="5" t="s">
        <v>4308</v>
      </c>
      <c r="C4153" s="17">
        <v>19900101</v>
      </c>
      <c r="D4153" s="17">
        <v>22991231</v>
      </c>
      <c r="E4153" s="25">
        <v>1420.59</v>
      </c>
    </row>
    <row r="4154" spans="1:5" x14ac:dyDescent="0.3">
      <c r="A4154" s="17" t="str">
        <f>"68525"</f>
        <v>68525</v>
      </c>
      <c r="B4154" s="5" t="s">
        <v>4309</v>
      </c>
      <c r="C4154" s="17">
        <v>19900101</v>
      </c>
      <c r="D4154" s="17">
        <v>22991231</v>
      </c>
      <c r="E4154" s="25">
        <v>934.62</v>
      </c>
    </row>
    <row r="4155" spans="1:5" ht="26" x14ac:dyDescent="0.3">
      <c r="A4155" s="17" t="str">
        <f>"68530"</f>
        <v>68530</v>
      </c>
      <c r="B4155" s="5" t="s">
        <v>4310</v>
      </c>
      <c r="C4155" s="17">
        <v>19900101</v>
      </c>
      <c r="D4155" s="17">
        <v>22991231</v>
      </c>
      <c r="E4155" s="25">
        <v>144.33000000000001</v>
      </c>
    </row>
    <row r="4156" spans="1:5" x14ac:dyDescent="0.3">
      <c r="A4156" s="17" t="str">
        <f>"68540"</f>
        <v>68540</v>
      </c>
      <c r="B4156" s="5" t="s">
        <v>4311</v>
      </c>
      <c r="C4156" s="17">
        <v>19900101</v>
      </c>
      <c r="D4156" s="17">
        <v>22991231</v>
      </c>
      <c r="E4156" s="25">
        <v>934.62</v>
      </c>
    </row>
    <row r="4157" spans="1:5" ht="26" x14ac:dyDescent="0.3">
      <c r="A4157" s="17" t="str">
        <f>"68550"</f>
        <v>68550</v>
      </c>
      <c r="B4157" s="5" t="s">
        <v>4312</v>
      </c>
      <c r="C4157" s="17">
        <v>19900101</v>
      </c>
      <c r="D4157" s="17">
        <v>22991231</v>
      </c>
      <c r="E4157" s="25">
        <v>1420.59</v>
      </c>
    </row>
    <row r="4158" spans="1:5" x14ac:dyDescent="0.3">
      <c r="A4158" s="17" t="str">
        <f>"68700"</f>
        <v>68700</v>
      </c>
      <c r="B4158" s="5" t="s">
        <v>4313</v>
      </c>
      <c r="C4158" s="17">
        <v>19900101</v>
      </c>
      <c r="D4158" s="17">
        <v>22991231</v>
      </c>
      <c r="E4158" s="25">
        <v>934.62</v>
      </c>
    </row>
    <row r="4159" spans="1:5" x14ac:dyDescent="0.3">
      <c r="A4159" s="17" t="str">
        <f>"68705"</f>
        <v>68705</v>
      </c>
      <c r="B4159" s="5" t="s">
        <v>4314</v>
      </c>
      <c r="C4159" s="17">
        <v>19900101</v>
      </c>
      <c r="D4159" s="17">
        <v>22991231</v>
      </c>
      <c r="E4159" s="25">
        <v>144.33000000000001</v>
      </c>
    </row>
    <row r="4160" spans="1:5" ht="26" x14ac:dyDescent="0.3">
      <c r="A4160" s="17" t="str">
        <f>"68720"</f>
        <v>68720</v>
      </c>
      <c r="B4160" s="5" t="s">
        <v>4315</v>
      </c>
      <c r="C4160" s="17">
        <v>19900101</v>
      </c>
      <c r="D4160" s="17">
        <v>22991231</v>
      </c>
      <c r="E4160" s="25">
        <v>1420.59</v>
      </c>
    </row>
    <row r="4161" spans="1:5" x14ac:dyDescent="0.3">
      <c r="A4161" s="17" t="str">
        <f>"68745"</f>
        <v>68745</v>
      </c>
      <c r="B4161" s="5" t="s">
        <v>4316</v>
      </c>
      <c r="C4161" s="17">
        <v>19900101</v>
      </c>
      <c r="D4161" s="17">
        <v>22991231</v>
      </c>
      <c r="E4161" s="25">
        <v>1420.59</v>
      </c>
    </row>
    <row r="4162" spans="1:5" ht="26" x14ac:dyDescent="0.3">
      <c r="A4162" s="17" t="str">
        <f>"68750"</f>
        <v>68750</v>
      </c>
      <c r="B4162" s="5" t="s">
        <v>4317</v>
      </c>
      <c r="C4162" s="17">
        <v>19900101</v>
      </c>
      <c r="D4162" s="17">
        <v>22991231</v>
      </c>
      <c r="E4162" s="25">
        <v>1420.59</v>
      </c>
    </row>
    <row r="4163" spans="1:5" ht="26" x14ac:dyDescent="0.3">
      <c r="A4163" s="17" t="str">
        <f>"68760"</f>
        <v>68760</v>
      </c>
      <c r="B4163" s="5" t="s">
        <v>4318</v>
      </c>
      <c r="C4163" s="17">
        <v>19900101</v>
      </c>
      <c r="D4163" s="17">
        <v>22991231</v>
      </c>
      <c r="E4163" s="25">
        <v>144.33000000000001</v>
      </c>
    </row>
    <row r="4164" spans="1:5" x14ac:dyDescent="0.3">
      <c r="A4164" s="17" t="str">
        <f>"68761"</f>
        <v>68761</v>
      </c>
      <c r="B4164" s="5" t="s">
        <v>4319</v>
      </c>
      <c r="C4164" s="17">
        <v>20230101</v>
      </c>
      <c r="D4164" s="17">
        <v>22991231</v>
      </c>
      <c r="E4164" s="25">
        <v>89.76</v>
      </c>
    </row>
    <row r="4165" spans="1:5" x14ac:dyDescent="0.3">
      <c r="A4165" s="17" t="str">
        <f>"68770"</f>
        <v>68770</v>
      </c>
      <c r="B4165" s="5" t="s">
        <v>4320</v>
      </c>
      <c r="C4165" s="17">
        <v>19900101</v>
      </c>
      <c r="D4165" s="17">
        <v>22991231</v>
      </c>
      <c r="E4165" s="25">
        <v>934.62</v>
      </c>
    </row>
    <row r="4166" spans="1:5" x14ac:dyDescent="0.3">
      <c r="A4166" s="17" t="str">
        <f>"68801"</f>
        <v>68801</v>
      </c>
      <c r="B4166" s="5" t="s">
        <v>4321</v>
      </c>
      <c r="C4166" s="17">
        <v>19970101</v>
      </c>
      <c r="D4166" s="17">
        <v>22991231</v>
      </c>
      <c r="E4166" s="25">
        <v>0</v>
      </c>
    </row>
    <row r="4167" spans="1:5" x14ac:dyDescent="0.3">
      <c r="A4167" s="17" t="str">
        <f>"68810"</f>
        <v>68810</v>
      </c>
      <c r="B4167" s="5" t="s">
        <v>4322</v>
      </c>
      <c r="C4167" s="17">
        <v>19970101</v>
      </c>
      <c r="D4167" s="17">
        <v>22991231</v>
      </c>
      <c r="E4167" s="25">
        <v>144.33000000000001</v>
      </c>
    </row>
    <row r="4168" spans="1:5" ht="26" x14ac:dyDescent="0.3">
      <c r="A4168" s="17" t="str">
        <f>"68811"</f>
        <v>68811</v>
      </c>
      <c r="B4168" s="5" t="s">
        <v>4323</v>
      </c>
      <c r="C4168" s="17">
        <v>19970101</v>
      </c>
      <c r="D4168" s="17">
        <v>22991231</v>
      </c>
      <c r="E4168" s="25">
        <v>934.62</v>
      </c>
    </row>
    <row r="4169" spans="1:5" ht="26" x14ac:dyDescent="0.3">
      <c r="A4169" s="17" t="str">
        <f>"68815"</f>
        <v>68815</v>
      </c>
      <c r="B4169" s="5" t="s">
        <v>4324</v>
      </c>
      <c r="C4169" s="17">
        <v>19970101</v>
      </c>
      <c r="D4169" s="17">
        <v>22991231</v>
      </c>
      <c r="E4169" s="25">
        <v>934.62</v>
      </c>
    </row>
    <row r="4170" spans="1:5" ht="26" x14ac:dyDescent="0.3">
      <c r="A4170" s="17" t="str">
        <f>"68816"</f>
        <v>68816</v>
      </c>
      <c r="B4170" s="5" t="s">
        <v>4325</v>
      </c>
      <c r="C4170" s="17">
        <v>20080101</v>
      </c>
      <c r="D4170" s="17">
        <v>22991231</v>
      </c>
      <c r="E4170" s="25">
        <v>1199.98</v>
      </c>
    </row>
    <row r="4171" spans="1:5" x14ac:dyDescent="0.3">
      <c r="A4171" s="17" t="str">
        <f>"68840"</f>
        <v>68840</v>
      </c>
      <c r="B4171" s="5" t="s">
        <v>4326</v>
      </c>
      <c r="C4171" s="17">
        <v>19900101</v>
      </c>
      <c r="D4171" s="17">
        <v>22991231</v>
      </c>
      <c r="E4171" s="25">
        <v>81.010000000000005</v>
      </c>
    </row>
    <row r="4172" spans="1:5" ht="26" x14ac:dyDescent="0.3">
      <c r="A4172" s="17" t="str">
        <f>"68841"</f>
        <v>68841</v>
      </c>
      <c r="B4172" s="5" t="s">
        <v>4327</v>
      </c>
      <c r="C4172" s="17">
        <v>20240101</v>
      </c>
      <c r="D4172" s="17">
        <v>22991231</v>
      </c>
      <c r="E4172" s="25">
        <v>0</v>
      </c>
    </row>
    <row r="4173" spans="1:5" x14ac:dyDescent="0.3">
      <c r="A4173" s="17" t="str">
        <f>"68850"</f>
        <v>68850</v>
      </c>
      <c r="B4173" s="5" t="s">
        <v>4328</v>
      </c>
      <c r="C4173" s="17">
        <v>19900101</v>
      </c>
      <c r="D4173" s="17">
        <v>22991231</v>
      </c>
      <c r="E4173" s="25">
        <v>0</v>
      </c>
    </row>
    <row r="4174" spans="1:5" ht="26" x14ac:dyDescent="0.3">
      <c r="A4174" s="17" t="str">
        <f>"68899"</f>
        <v>68899</v>
      </c>
      <c r="B4174" s="5" t="s">
        <v>4329</v>
      </c>
      <c r="C4174" s="17">
        <v>19900101</v>
      </c>
      <c r="D4174" s="17">
        <v>22991231</v>
      </c>
      <c r="E4174" s="24" t="s">
        <v>7128</v>
      </c>
    </row>
    <row r="4175" spans="1:5" ht="26" x14ac:dyDescent="0.3">
      <c r="A4175" s="17" t="str">
        <f>"69000"</f>
        <v>69000</v>
      </c>
      <c r="B4175" s="5" t="s">
        <v>4330</v>
      </c>
      <c r="C4175" s="17">
        <v>19900101</v>
      </c>
      <c r="D4175" s="17">
        <v>22991231</v>
      </c>
      <c r="E4175" s="25">
        <v>121.66</v>
      </c>
    </row>
    <row r="4176" spans="1:5" ht="26" x14ac:dyDescent="0.3">
      <c r="A4176" s="17" t="str">
        <f>"69005"</f>
        <v>69005</v>
      </c>
      <c r="B4176" s="5" t="s">
        <v>4331</v>
      </c>
      <c r="C4176" s="17">
        <v>19900101</v>
      </c>
      <c r="D4176" s="17">
        <v>22991231</v>
      </c>
      <c r="E4176" s="25">
        <v>129.47999999999999</v>
      </c>
    </row>
    <row r="4177" spans="1:5" x14ac:dyDescent="0.3">
      <c r="A4177" s="17" t="str">
        <f>"69020"</f>
        <v>69020</v>
      </c>
      <c r="B4177" s="5" t="s">
        <v>4332</v>
      </c>
      <c r="C4177" s="17">
        <v>19900101</v>
      </c>
      <c r="D4177" s="17">
        <v>22991231</v>
      </c>
      <c r="E4177" s="25">
        <v>164.51</v>
      </c>
    </row>
    <row r="4178" spans="1:5" x14ac:dyDescent="0.3">
      <c r="A4178" s="17" t="str">
        <f>"69100"</f>
        <v>69100</v>
      </c>
      <c r="B4178" s="5" t="s">
        <v>4333</v>
      </c>
      <c r="C4178" s="17">
        <v>19900101</v>
      </c>
      <c r="D4178" s="17">
        <v>22991231</v>
      </c>
      <c r="E4178" s="25">
        <v>61.62</v>
      </c>
    </row>
    <row r="4179" spans="1:5" x14ac:dyDescent="0.3">
      <c r="A4179" s="17" t="str">
        <f>"69105"</f>
        <v>69105</v>
      </c>
      <c r="B4179" s="5" t="s">
        <v>4334</v>
      </c>
      <c r="C4179" s="17">
        <v>19900101</v>
      </c>
      <c r="D4179" s="17">
        <v>22991231</v>
      </c>
      <c r="E4179" s="25">
        <v>105.72</v>
      </c>
    </row>
    <row r="4180" spans="1:5" ht="26" x14ac:dyDescent="0.3">
      <c r="A4180" s="17" t="str">
        <f>"69110"</f>
        <v>69110</v>
      </c>
      <c r="B4180" s="5" t="s">
        <v>4335</v>
      </c>
      <c r="C4180" s="17">
        <v>19900101</v>
      </c>
      <c r="D4180" s="17">
        <v>22991231</v>
      </c>
      <c r="E4180" s="25">
        <v>1105.24</v>
      </c>
    </row>
    <row r="4181" spans="1:5" x14ac:dyDescent="0.3">
      <c r="A4181" s="17" t="str">
        <f>"69120"</f>
        <v>69120</v>
      </c>
      <c r="B4181" s="5" t="s">
        <v>4336</v>
      </c>
      <c r="C4181" s="17">
        <v>19900101</v>
      </c>
      <c r="D4181" s="17">
        <v>22991231</v>
      </c>
      <c r="E4181" s="25">
        <v>2637</v>
      </c>
    </row>
    <row r="4182" spans="1:5" x14ac:dyDescent="0.3">
      <c r="A4182" s="17" t="str">
        <f>"69140"</f>
        <v>69140</v>
      </c>
      <c r="B4182" s="5" t="s">
        <v>4337</v>
      </c>
      <c r="C4182" s="17">
        <v>19900101</v>
      </c>
      <c r="D4182" s="17">
        <v>22991231</v>
      </c>
      <c r="E4182" s="25">
        <v>2637</v>
      </c>
    </row>
    <row r="4183" spans="1:5" x14ac:dyDescent="0.3">
      <c r="A4183" s="17" t="str">
        <f>"69145"</f>
        <v>69145</v>
      </c>
      <c r="B4183" s="5" t="s">
        <v>4338</v>
      </c>
      <c r="C4183" s="17">
        <v>19900101</v>
      </c>
      <c r="D4183" s="17">
        <v>22991231</v>
      </c>
      <c r="E4183" s="25">
        <v>1105.24</v>
      </c>
    </row>
    <row r="4184" spans="1:5" x14ac:dyDescent="0.3">
      <c r="A4184" s="17" t="str">
        <f>"69150"</f>
        <v>69150</v>
      </c>
      <c r="B4184" s="5" t="s">
        <v>4339</v>
      </c>
      <c r="C4184" s="17">
        <v>19900101</v>
      </c>
      <c r="D4184" s="17">
        <v>22991231</v>
      </c>
      <c r="E4184" s="25">
        <v>2637</v>
      </c>
    </row>
    <row r="4185" spans="1:5" x14ac:dyDescent="0.3">
      <c r="A4185" s="17" t="str">
        <f>"69200"</f>
        <v>69200</v>
      </c>
      <c r="B4185" s="5" t="s">
        <v>4340</v>
      </c>
      <c r="C4185" s="17">
        <v>19900101</v>
      </c>
      <c r="D4185" s="17">
        <v>22991231</v>
      </c>
      <c r="E4185" s="25">
        <v>0</v>
      </c>
    </row>
    <row r="4186" spans="1:5" ht="26" x14ac:dyDescent="0.3">
      <c r="A4186" s="17" t="str">
        <f>"69205"</f>
        <v>69205</v>
      </c>
      <c r="B4186" s="5" t="s">
        <v>4341</v>
      </c>
      <c r="C4186" s="17">
        <v>19900101</v>
      </c>
      <c r="D4186" s="17">
        <v>22991231</v>
      </c>
      <c r="E4186" s="25">
        <v>652.27</v>
      </c>
    </row>
    <row r="4187" spans="1:5" x14ac:dyDescent="0.3">
      <c r="A4187" s="17" t="str">
        <f>"69209"</f>
        <v>69209</v>
      </c>
      <c r="B4187" s="5" t="s">
        <v>4342</v>
      </c>
      <c r="C4187" s="17">
        <v>20230101</v>
      </c>
      <c r="D4187" s="17">
        <v>22991231</v>
      </c>
      <c r="E4187" s="25">
        <v>0</v>
      </c>
    </row>
    <row r="4188" spans="1:5" x14ac:dyDescent="0.3">
      <c r="A4188" s="17" t="str">
        <f>"69210"</f>
        <v>69210</v>
      </c>
      <c r="B4188" s="5" t="s">
        <v>4343</v>
      </c>
      <c r="C4188" s="17">
        <v>19900101</v>
      </c>
      <c r="D4188" s="17">
        <v>22991231</v>
      </c>
      <c r="E4188" s="25">
        <v>0</v>
      </c>
    </row>
    <row r="4189" spans="1:5" ht="26" x14ac:dyDescent="0.3">
      <c r="A4189" s="17" t="str">
        <f>"69220"</f>
        <v>69220</v>
      </c>
      <c r="B4189" s="5" t="s">
        <v>4344</v>
      </c>
      <c r="C4189" s="17">
        <v>19900101</v>
      </c>
      <c r="D4189" s="17">
        <v>22991231</v>
      </c>
      <c r="E4189" s="25">
        <v>0</v>
      </c>
    </row>
    <row r="4190" spans="1:5" ht="26" x14ac:dyDescent="0.3">
      <c r="A4190" s="17" t="str">
        <f>"69222"</f>
        <v>69222</v>
      </c>
      <c r="B4190" s="5" t="s">
        <v>4345</v>
      </c>
      <c r="C4190" s="17">
        <v>19900101</v>
      </c>
      <c r="D4190" s="17">
        <v>22991231</v>
      </c>
      <c r="E4190" s="25">
        <v>152.31</v>
      </c>
    </row>
    <row r="4191" spans="1:5" x14ac:dyDescent="0.3">
      <c r="A4191" s="17" t="str">
        <f>"69300"</f>
        <v>69300</v>
      </c>
      <c r="B4191" s="5" t="s">
        <v>4346</v>
      </c>
      <c r="C4191" s="17">
        <v>19900101</v>
      </c>
      <c r="D4191" s="17">
        <v>22991231</v>
      </c>
      <c r="E4191" s="25">
        <v>1259.74</v>
      </c>
    </row>
    <row r="4192" spans="1:5" x14ac:dyDescent="0.3">
      <c r="A4192" s="17" t="str">
        <f>"69310"</f>
        <v>69310</v>
      </c>
      <c r="B4192" s="5" t="s">
        <v>4347</v>
      </c>
      <c r="C4192" s="17">
        <v>19900101</v>
      </c>
      <c r="D4192" s="17">
        <v>22991231</v>
      </c>
      <c r="E4192" s="25">
        <v>2637</v>
      </c>
    </row>
    <row r="4193" spans="1:5" x14ac:dyDescent="0.3">
      <c r="A4193" s="17" t="str">
        <f>"69320"</f>
        <v>69320</v>
      </c>
      <c r="B4193" s="5" t="s">
        <v>4348</v>
      </c>
      <c r="C4193" s="17">
        <v>19900101</v>
      </c>
      <c r="D4193" s="17">
        <v>22991231</v>
      </c>
      <c r="E4193" s="25">
        <v>2637</v>
      </c>
    </row>
    <row r="4194" spans="1:5" x14ac:dyDescent="0.3">
      <c r="A4194" s="17" t="str">
        <f>"69399"</f>
        <v>69399</v>
      </c>
      <c r="B4194" s="5" t="s">
        <v>4349</v>
      </c>
      <c r="C4194" s="17">
        <v>19900101</v>
      </c>
      <c r="D4194" s="17">
        <v>22991231</v>
      </c>
      <c r="E4194" s="24" t="s">
        <v>7128</v>
      </c>
    </row>
    <row r="4195" spans="1:5" x14ac:dyDescent="0.3">
      <c r="A4195" s="17" t="str">
        <f>"69420"</f>
        <v>69420</v>
      </c>
      <c r="B4195" s="5" t="s">
        <v>4350</v>
      </c>
      <c r="C4195" s="17">
        <v>19900101</v>
      </c>
      <c r="D4195" s="17">
        <v>22991231</v>
      </c>
      <c r="E4195" s="25">
        <v>121.03</v>
      </c>
    </row>
    <row r="4196" spans="1:5" ht="26" x14ac:dyDescent="0.3">
      <c r="A4196" s="17" t="str">
        <f>"69421"</f>
        <v>69421</v>
      </c>
      <c r="B4196" s="5" t="s">
        <v>4351</v>
      </c>
      <c r="C4196" s="17">
        <v>19900101</v>
      </c>
      <c r="D4196" s="17">
        <v>22991231</v>
      </c>
      <c r="E4196" s="25">
        <v>1259.74</v>
      </c>
    </row>
    <row r="4197" spans="1:5" ht="26" x14ac:dyDescent="0.3">
      <c r="A4197" s="17" t="str">
        <f>"69424"</f>
        <v>69424</v>
      </c>
      <c r="B4197" s="5" t="s">
        <v>4352</v>
      </c>
      <c r="C4197" s="17">
        <v>19900101</v>
      </c>
      <c r="D4197" s="17">
        <v>22991231</v>
      </c>
      <c r="E4197" s="25">
        <v>90.39</v>
      </c>
    </row>
    <row r="4198" spans="1:5" ht="26" x14ac:dyDescent="0.3">
      <c r="A4198" s="17" t="str">
        <f>"69433"</f>
        <v>69433</v>
      </c>
      <c r="B4198" s="5" t="s">
        <v>4353</v>
      </c>
      <c r="C4198" s="17">
        <v>19900101</v>
      </c>
      <c r="D4198" s="17">
        <v>22991231</v>
      </c>
      <c r="E4198" s="25">
        <v>134.80000000000001</v>
      </c>
    </row>
    <row r="4199" spans="1:5" ht="26" x14ac:dyDescent="0.3">
      <c r="A4199" s="17" t="str">
        <f>"69436"</f>
        <v>69436</v>
      </c>
      <c r="B4199" s="5" t="s">
        <v>4354</v>
      </c>
      <c r="C4199" s="17">
        <v>19900101</v>
      </c>
      <c r="D4199" s="17">
        <v>22991231</v>
      </c>
      <c r="E4199" s="25">
        <v>636.91999999999996</v>
      </c>
    </row>
    <row r="4200" spans="1:5" x14ac:dyDescent="0.3">
      <c r="A4200" s="17" t="str">
        <f>"69440"</f>
        <v>69440</v>
      </c>
      <c r="B4200" s="5" t="s">
        <v>4355</v>
      </c>
      <c r="C4200" s="17">
        <v>19900101</v>
      </c>
      <c r="D4200" s="17">
        <v>22991231</v>
      </c>
      <c r="E4200" s="25">
        <v>1259.74</v>
      </c>
    </row>
    <row r="4201" spans="1:5" x14ac:dyDescent="0.3">
      <c r="A4201" s="17" t="str">
        <f>"69450"</f>
        <v>69450</v>
      </c>
      <c r="B4201" s="5" t="s">
        <v>4356</v>
      </c>
      <c r="C4201" s="17">
        <v>19900101</v>
      </c>
      <c r="D4201" s="17">
        <v>22991231</v>
      </c>
      <c r="E4201" s="25">
        <v>1259.74</v>
      </c>
    </row>
    <row r="4202" spans="1:5" x14ac:dyDescent="0.3">
      <c r="A4202" s="17" t="str">
        <f>"69501"</f>
        <v>69501</v>
      </c>
      <c r="B4202" s="5" t="s">
        <v>4357</v>
      </c>
      <c r="C4202" s="17">
        <v>19900101</v>
      </c>
      <c r="D4202" s="17">
        <v>22991231</v>
      </c>
      <c r="E4202" s="25">
        <v>2637</v>
      </c>
    </row>
    <row r="4203" spans="1:5" x14ac:dyDescent="0.3">
      <c r="A4203" s="17" t="str">
        <f>"69502"</f>
        <v>69502</v>
      </c>
      <c r="B4203" s="5" t="s">
        <v>4358</v>
      </c>
      <c r="C4203" s="17">
        <v>19900101</v>
      </c>
      <c r="D4203" s="17">
        <v>22991231</v>
      </c>
      <c r="E4203" s="25">
        <v>2637</v>
      </c>
    </row>
    <row r="4204" spans="1:5" ht="26" x14ac:dyDescent="0.3">
      <c r="A4204" s="17" t="str">
        <f>"69505"</f>
        <v>69505</v>
      </c>
      <c r="B4204" s="5" t="s">
        <v>4359</v>
      </c>
      <c r="C4204" s="17">
        <v>19900101</v>
      </c>
      <c r="D4204" s="17">
        <v>22991231</v>
      </c>
      <c r="E4204" s="25">
        <v>2637</v>
      </c>
    </row>
    <row r="4205" spans="1:5" x14ac:dyDescent="0.3">
      <c r="A4205" s="17" t="str">
        <f>"69511"</f>
        <v>69511</v>
      </c>
      <c r="B4205" s="5" t="s">
        <v>4360</v>
      </c>
      <c r="C4205" s="17">
        <v>19900101</v>
      </c>
      <c r="D4205" s="17">
        <v>22991231</v>
      </c>
      <c r="E4205" s="25">
        <v>2637</v>
      </c>
    </row>
    <row r="4206" spans="1:5" ht="26" x14ac:dyDescent="0.3">
      <c r="A4206" s="17" t="str">
        <f>"69530"</f>
        <v>69530</v>
      </c>
      <c r="B4206" s="5" t="s">
        <v>4361</v>
      </c>
      <c r="C4206" s="17">
        <v>19900101</v>
      </c>
      <c r="D4206" s="17">
        <v>22991231</v>
      </c>
      <c r="E4206" s="25">
        <v>2637</v>
      </c>
    </row>
    <row r="4207" spans="1:5" x14ac:dyDescent="0.3">
      <c r="A4207" s="17" t="str">
        <f>"69540"</f>
        <v>69540</v>
      </c>
      <c r="B4207" s="5" t="s">
        <v>4362</v>
      </c>
      <c r="C4207" s="17">
        <v>19900101</v>
      </c>
      <c r="D4207" s="17">
        <v>22991231</v>
      </c>
      <c r="E4207" s="25">
        <v>154.51</v>
      </c>
    </row>
    <row r="4208" spans="1:5" ht="26" x14ac:dyDescent="0.3">
      <c r="A4208" s="17" t="str">
        <f>"69550"</f>
        <v>69550</v>
      </c>
      <c r="B4208" s="5" t="s">
        <v>4363</v>
      </c>
      <c r="C4208" s="17">
        <v>19900101</v>
      </c>
      <c r="D4208" s="17">
        <v>22991231</v>
      </c>
      <c r="E4208" s="25">
        <v>2637</v>
      </c>
    </row>
    <row r="4209" spans="1:5" ht="26" x14ac:dyDescent="0.3">
      <c r="A4209" s="17" t="str">
        <f>"69552"</f>
        <v>69552</v>
      </c>
      <c r="B4209" s="5" t="s">
        <v>4364</v>
      </c>
      <c r="C4209" s="17">
        <v>19900101</v>
      </c>
      <c r="D4209" s="17">
        <v>22991231</v>
      </c>
      <c r="E4209" s="25">
        <v>2637</v>
      </c>
    </row>
    <row r="4210" spans="1:5" ht="26" x14ac:dyDescent="0.3">
      <c r="A4210" s="17" t="str">
        <f>"69601"</f>
        <v>69601</v>
      </c>
      <c r="B4210" s="5" t="s">
        <v>4365</v>
      </c>
      <c r="C4210" s="17">
        <v>19900101</v>
      </c>
      <c r="D4210" s="17">
        <v>22991231</v>
      </c>
      <c r="E4210" s="25">
        <v>2637</v>
      </c>
    </row>
    <row r="4211" spans="1:5" x14ac:dyDescent="0.3">
      <c r="A4211" s="17" t="str">
        <f>"69602"</f>
        <v>69602</v>
      </c>
      <c r="B4211" s="5" t="s">
        <v>4366</v>
      </c>
      <c r="C4211" s="17">
        <v>19900101</v>
      </c>
      <c r="D4211" s="17">
        <v>22991231</v>
      </c>
      <c r="E4211" s="25">
        <v>2637</v>
      </c>
    </row>
    <row r="4212" spans="1:5" ht="26" x14ac:dyDescent="0.3">
      <c r="A4212" s="17" t="str">
        <f>"69603"</f>
        <v>69603</v>
      </c>
      <c r="B4212" s="5" t="s">
        <v>4367</v>
      </c>
      <c r="C4212" s="17">
        <v>19900101</v>
      </c>
      <c r="D4212" s="17">
        <v>22991231</v>
      </c>
      <c r="E4212" s="25">
        <v>2637</v>
      </c>
    </row>
    <row r="4213" spans="1:5" x14ac:dyDescent="0.3">
      <c r="A4213" s="17" t="str">
        <f>"69604"</f>
        <v>69604</v>
      </c>
      <c r="B4213" s="5" t="s">
        <v>4368</v>
      </c>
      <c r="C4213" s="17">
        <v>19900101</v>
      </c>
      <c r="D4213" s="17">
        <v>22991231</v>
      </c>
      <c r="E4213" s="25">
        <v>2637</v>
      </c>
    </row>
    <row r="4214" spans="1:5" x14ac:dyDescent="0.3">
      <c r="A4214" s="17" t="str">
        <f>"69610"</f>
        <v>69610</v>
      </c>
      <c r="B4214" s="5" t="s">
        <v>4369</v>
      </c>
      <c r="C4214" s="17">
        <v>19900101</v>
      </c>
      <c r="D4214" s="17">
        <v>22991231</v>
      </c>
      <c r="E4214" s="25">
        <v>201.73</v>
      </c>
    </row>
    <row r="4215" spans="1:5" x14ac:dyDescent="0.3">
      <c r="A4215" s="17" t="str">
        <f>"69620"</f>
        <v>69620</v>
      </c>
      <c r="B4215" s="5" t="s">
        <v>4370</v>
      </c>
      <c r="C4215" s="17">
        <v>19900101</v>
      </c>
      <c r="D4215" s="17">
        <v>22991231</v>
      </c>
      <c r="E4215" s="25">
        <v>1259.74</v>
      </c>
    </row>
    <row r="4216" spans="1:5" ht="26" x14ac:dyDescent="0.3">
      <c r="A4216" s="17" t="str">
        <f>"69631"</f>
        <v>69631</v>
      </c>
      <c r="B4216" s="5" t="s">
        <v>4371</v>
      </c>
      <c r="C4216" s="17">
        <v>19900101</v>
      </c>
      <c r="D4216" s="17">
        <v>22991231</v>
      </c>
      <c r="E4216" s="25">
        <v>2637</v>
      </c>
    </row>
    <row r="4217" spans="1:5" x14ac:dyDescent="0.3">
      <c r="A4217" s="17" t="str">
        <f>"69632"</f>
        <v>69632</v>
      </c>
      <c r="B4217" s="5" t="s">
        <v>4372</v>
      </c>
      <c r="C4217" s="17">
        <v>19900101</v>
      </c>
      <c r="D4217" s="17">
        <v>22991231</v>
      </c>
      <c r="E4217" s="25">
        <v>2637</v>
      </c>
    </row>
    <row r="4218" spans="1:5" ht="26" x14ac:dyDescent="0.3">
      <c r="A4218" s="17" t="str">
        <f>"69633"</f>
        <v>69633</v>
      </c>
      <c r="B4218" s="5" t="s">
        <v>4373</v>
      </c>
      <c r="C4218" s="17">
        <v>19900101</v>
      </c>
      <c r="D4218" s="17">
        <v>22991231</v>
      </c>
      <c r="E4218" s="25">
        <v>2637</v>
      </c>
    </row>
    <row r="4219" spans="1:5" ht="26" x14ac:dyDescent="0.3">
      <c r="A4219" s="17" t="str">
        <f>"69635"</f>
        <v>69635</v>
      </c>
      <c r="B4219" s="5" t="s">
        <v>4374</v>
      </c>
      <c r="C4219" s="17">
        <v>19900101</v>
      </c>
      <c r="D4219" s="17">
        <v>22991231</v>
      </c>
      <c r="E4219" s="25">
        <v>2637</v>
      </c>
    </row>
    <row r="4220" spans="1:5" ht="26" x14ac:dyDescent="0.3">
      <c r="A4220" s="17" t="str">
        <f>"69636"</f>
        <v>69636</v>
      </c>
      <c r="B4220" s="5" t="s">
        <v>4375</v>
      </c>
      <c r="C4220" s="17">
        <v>19900101</v>
      </c>
      <c r="D4220" s="17">
        <v>22991231</v>
      </c>
      <c r="E4220" s="25">
        <v>2637</v>
      </c>
    </row>
    <row r="4221" spans="1:5" ht="26" x14ac:dyDescent="0.3">
      <c r="A4221" s="17" t="str">
        <f>"69637"</f>
        <v>69637</v>
      </c>
      <c r="B4221" s="5" t="s">
        <v>4376</v>
      </c>
      <c r="C4221" s="17">
        <v>19900101</v>
      </c>
      <c r="D4221" s="17">
        <v>22991231</v>
      </c>
      <c r="E4221" s="25">
        <v>2637</v>
      </c>
    </row>
    <row r="4222" spans="1:5" ht="26" x14ac:dyDescent="0.3">
      <c r="A4222" s="17" t="str">
        <f>"69641"</f>
        <v>69641</v>
      </c>
      <c r="B4222" s="5" t="s">
        <v>4377</v>
      </c>
      <c r="C4222" s="17">
        <v>19900101</v>
      </c>
      <c r="D4222" s="17">
        <v>22991231</v>
      </c>
      <c r="E4222" s="25">
        <v>2637</v>
      </c>
    </row>
    <row r="4223" spans="1:5" ht="26" x14ac:dyDescent="0.3">
      <c r="A4223" s="17" t="str">
        <f>"69642"</f>
        <v>69642</v>
      </c>
      <c r="B4223" s="5" t="s">
        <v>4378</v>
      </c>
      <c r="C4223" s="17">
        <v>19900101</v>
      </c>
      <c r="D4223" s="17">
        <v>22991231</v>
      </c>
      <c r="E4223" s="25">
        <v>2637</v>
      </c>
    </row>
    <row r="4224" spans="1:5" ht="26" x14ac:dyDescent="0.3">
      <c r="A4224" s="17" t="str">
        <f>"69643"</f>
        <v>69643</v>
      </c>
      <c r="B4224" s="5" t="s">
        <v>4379</v>
      </c>
      <c r="C4224" s="17">
        <v>19900101</v>
      </c>
      <c r="D4224" s="17">
        <v>22991231</v>
      </c>
      <c r="E4224" s="25">
        <v>2637</v>
      </c>
    </row>
    <row r="4225" spans="1:5" ht="26" x14ac:dyDescent="0.3">
      <c r="A4225" s="17" t="str">
        <f>"69644"</f>
        <v>69644</v>
      </c>
      <c r="B4225" s="5" t="s">
        <v>4380</v>
      </c>
      <c r="C4225" s="17">
        <v>19900101</v>
      </c>
      <c r="D4225" s="17">
        <v>22991231</v>
      </c>
      <c r="E4225" s="25">
        <v>2637</v>
      </c>
    </row>
    <row r="4226" spans="1:5" ht="26" x14ac:dyDescent="0.3">
      <c r="A4226" s="17" t="str">
        <f>"69645"</f>
        <v>69645</v>
      </c>
      <c r="B4226" s="5" t="s">
        <v>4381</v>
      </c>
      <c r="C4226" s="17">
        <v>19900101</v>
      </c>
      <c r="D4226" s="17">
        <v>22991231</v>
      </c>
      <c r="E4226" s="25">
        <v>2637</v>
      </c>
    </row>
    <row r="4227" spans="1:5" ht="26" x14ac:dyDescent="0.3">
      <c r="A4227" s="17" t="str">
        <f>"69646"</f>
        <v>69646</v>
      </c>
      <c r="B4227" s="5" t="s">
        <v>4382</v>
      </c>
      <c r="C4227" s="17">
        <v>19900101</v>
      </c>
      <c r="D4227" s="17">
        <v>22991231</v>
      </c>
      <c r="E4227" s="25">
        <v>2637</v>
      </c>
    </row>
    <row r="4228" spans="1:5" x14ac:dyDescent="0.3">
      <c r="A4228" s="17" t="str">
        <f>"69650"</f>
        <v>69650</v>
      </c>
      <c r="B4228" s="5" t="s">
        <v>4383</v>
      </c>
      <c r="C4228" s="17">
        <v>19900101</v>
      </c>
      <c r="D4228" s="17">
        <v>22991231</v>
      </c>
      <c r="E4228" s="25">
        <v>1259.74</v>
      </c>
    </row>
    <row r="4229" spans="1:5" x14ac:dyDescent="0.3">
      <c r="A4229" s="17" t="str">
        <f>"69660"</f>
        <v>69660</v>
      </c>
      <c r="B4229" s="5" t="s">
        <v>4384</v>
      </c>
      <c r="C4229" s="17">
        <v>19900101</v>
      </c>
      <c r="D4229" s="17">
        <v>22991231</v>
      </c>
      <c r="E4229" s="25">
        <v>2637</v>
      </c>
    </row>
    <row r="4230" spans="1:5" x14ac:dyDescent="0.3">
      <c r="A4230" s="17" t="str">
        <f>"69661"</f>
        <v>69661</v>
      </c>
      <c r="B4230" s="5" t="s">
        <v>4385</v>
      </c>
      <c r="C4230" s="17">
        <v>19900101</v>
      </c>
      <c r="D4230" s="17">
        <v>22991231</v>
      </c>
      <c r="E4230" s="25">
        <v>2637</v>
      </c>
    </row>
    <row r="4231" spans="1:5" x14ac:dyDescent="0.3">
      <c r="A4231" s="17" t="str">
        <f>"69662"</f>
        <v>69662</v>
      </c>
      <c r="B4231" s="5" t="s">
        <v>4386</v>
      </c>
      <c r="C4231" s="17">
        <v>19900401</v>
      </c>
      <c r="D4231" s="17">
        <v>22991231</v>
      </c>
      <c r="E4231" s="25">
        <v>2637</v>
      </c>
    </row>
    <row r="4232" spans="1:5" x14ac:dyDescent="0.3">
      <c r="A4232" s="17" t="str">
        <f>"69666"</f>
        <v>69666</v>
      </c>
      <c r="B4232" s="5" t="s">
        <v>4387</v>
      </c>
      <c r="C4232" s="17">
        <v>19900101</v>
      </c>
      <c r="D4232" s="17">
        <v>22991231</v>
      </c>
      <c r="E4232" s="25">
        <v>1259.74</v>
      </c>
    </row>
    <row r="4233" spans="1:5" x14ac:dyDescent="0.3">
      <c r="A4233" s="17" t="str">
        <f>"69667"</f>
        <v>69667</v>
      </c>
      <c r="B4233" s="5" t="s">
        <v>4388</v>
      </c>
      <c r="C4233" s="17">
        <v>19900101</v>
      </c>
      <c r="D4233" s="17">
        <v>22991231</v>
      </c>
      <c r="E4233" s="25">
        <v>1259.74</v>
      </c>
    </row>
    <row r="4234" spans="1:5" x14ac:dyDescent="0.3">
      <c r="A4234" s="17" t="str">
        <f>"69670"</f>
        <v>69670</v>
      </c>
      <c r="B4234" s="5" t="s">
        <v>4389</v>
      </c>
      <c r="C4234" s="17">
        <v>19900101</v>
      </c>
      <c r="D4234" s="17">
        <v>22991231</v>
      </c>
      <c r="E4234" s="25">
        <v>2637</v>
      </c>
    </row>
    <row r="4235" spans="1:5" x14ac:dyDescent="0.3">
      <c r="A4235" s="17" t="str">
        <f>"69676"</f>
        <v>69676</v>
      </c>
      <c r="B4235" s="5" t="s">
        <v>4390</v>
      </c>
      <c r="C4235" s="17">
        <v>19900101</v>
      </c>
      <c r="D4235" s="17">
        <v>22991231</v>
      </c>
      <c r="E4235" s="25">
        <v>1259.74</v>
      </c>
    </row>
    <row r="4236" spans="1:5" x14ac:dyDescent="0.3">
      <c r="A4236" s="17" t="str">
        <f>"69700"</f>
        <v>69700</v>
      </c>
      <c r="B4236" s="5" t="s">
        <v>4391</v>
      </c>
      <c r="C4236" s="17">
        <v>19900101</v>
      </c>
      <c r="D4236" s="17">
        <v>22991231</v>
      </c>
      <c r="E4236" s="25">
        <v>636.91999999999996</v>
      </c>
    </row>
    <row r="4237" spans="1:5" ht="39" x14ac:dyDescent="0.3">
      <c r="A4237" s="17" t="str">
        <f>"69705"</f>
        <v>69705</v>
      </c>
      <c r="B4237" s="5" t="s">
        <v>4392</v>
      </c>
      <c r="C4237" s="17">
        <v>20210101</v>
      </c>
      <c r="D4237" s="17">
        <v>22991231</v>
      </c>
      <c r="E4237" s="25">
        <v>3723.5</v>
      </c>
    </row>
    <row r="4238" spans="1:5" ht="39" x14ac:dyDescent="0.3">
      <c r="A4238" s="17" t="str">
        <f>"69706"</f>
        <v>69706</v>
      </c>
      <c r="B4238" s="5" t="s">
        <v>4393</v>
      </c>
      <c r="C4238" s="17">
        <v>20210101</v>
      </c>
      <c r="D4238" s="17">
        <v>22991231</v>
      </c>
      <c r="E4238" s="25">
        <v>3676.06</v>
      </c>
    </row>
    <row r="4239" spans="1:5" ht="26" x14ac:dyDescent="0.3">
      <c r="A4239" s="17" t="str">
        <f>"69710"</f>
        <v>69710</v>
      </c>
      <c r="B4239" s="5" t="s">
        <v>4394</v>
      </c>
      <c r="C4239" s="17">
        <v>19900101</v>
      </c>
      <c r="D4239" s="17">
        <v>22991231</v>
      </c>
      <c r="E4239" s="24" t="s">
        <v>7128</v>
      </c>
    </row>
    <row r="4240" spans="1:5" ht="26" x14ac:dyDescent="0.3">
      <c r="A4240" s="17" t="str">
        <f>"69711"</f>
        <v>69711</v>
      </c>
      <c r="B4240" s="5" t="s">
        <v>4395</v>
      </c>
      <c r="C4240" s="17">
        <v>20030401</v>
      </c>
      <c r="D4240" s="17">
        <v>22991231</v>
      </c>
      <c r="E4240" s="25">
        <v>1259.74</v>
      </c>
    </row>
    <row r="4241" spans="1:5" ht="39" x14ac:dyDescent="0.3">
      <c r="A4241" s="17" t="str">
        <f>"69714"</f>
        <v>69714</v>
      </c>
      <c r="B4241" s="5" t="s">
        <v>4396</v>
      </c>
      <c r="C4241" s="17">
        <v>20010101</v>
      </c>
      <c r="D4241" s="17">
        <v>22991231</v>
      </c>
      <c r="E4241" s="25">
        <v>9570.81</v>
      </c>
    </row>
    <row r="4242" spans="1:5" ht="39" x14ac:dyDescent="0.3">
      <c r="A4242" s="17" t="str">
        <f>"69716"</f>
        <v>69716</v>
      </c>
      <c r="B4242" s="5" t="s">
        <v>4397</v>
      </c>
      <c r="C4242" s="17">
        <v>20230101</v>
      </c>
      <c r="D4242" s="17">
        <v>22991231</v>
      </c>
      <c r="E4242" s="25">
        <v>9589.51</v>
      </c>
    </row>
    <row r="4243" spans="1:5" ht="39" x14ac:dyDescent="0.3">
      <c r="A4243" s="17" t="str">
        <f>"69717"</f>
        <v>69717</v>
      </c>
      <c r="B4243" s="5" t="s">
        <v>4398</v>
      </c>
      <c r="C4243" s="17">
        <v>20230101</v>
      </c>
      <c r="D4243" s="17">
        <v>22991231</v>
      </c>
      <c r="E4243" s="25">
        <v>5149.82</v>
      </c>
    </row>
    <row r="4244" spans="1:5" ht="39" x14ac:dyDescent="0.3">
      <c r="A4244" s="17" t="str">
        <f>"69719"</f>
        <v>69719</v>
      </c>
      <c r="B4244" s="5" t="s">
        <v>4399</v>
      </c>
      <c r="C4244" s="17">
        <v>20230101</v>
      </c>
      <c r="D4244" s="17">
        <v>22991231</v>
      </c>
      <c r="E4244" s="25">
        <v>9678.8799999999992</v>
      </c>
    </row>
    <row r="4245" spans="1:5" x14ac:dyDescent="0.3">
      <c r="A4245" s="17" t="str">
        <f>"69720"</f>
        <v>69720</v>
      </c>
      <c r="B4245" s="5" t="s">
        <v>4400</v>
      </c>
      <c r="C4245" s="17">
        <v>19900101</v>
      </c>
      <c r="D4245" s="17">
        <v>22991231</v>
      </c>
      <c r="E4245" s="25">
        <v>2637</v>
      </c>
    </row>
    <row r="4246" spans="1:5" ht="26" x14ac:dyDescent="0.3">
      <c r="A4246" s="17" t="str">
        <f>"69725"</f>
        <v>69725</v>
      </c>
      <c r="B4246" s="5" t="s">
        <v>4401</v>
      </c>
      <c r="C4246" s="17">
        <v>19900101</v>
      </c>
      <c r="D4246" s="17">
        <v>22991231</v>
      </c>
      <c r="E4246" s="24" t="s">
        <v>7128</v>
      </c>
    </row>
    <row r="4247" spans="1:5" ht="39" x14ac:dyDescent="0.3">
      <c r="A4247" s="17" t="str">
        <f>"69726"</f>
        <v>69726</v>
      </c>
      <c r="B4247" s="5" t="s">
        <v>4402</v>
      </c>
      <c r="C4247" s="17">
        <v>20230101</v>
      </c>
      <c r="D4247" s="17">
        <v>22991231</v>
      </c>
      <c r="E4247" s="25">
        <v>1450.8</v>
      </c>
    </row>
    <row r="4248" spans="1:5" ht="39" x14ac:dyDescent="0.3">
      <c r="A4248" s="17" t="str">
        <f>"69727"</f>
        <v>69727</v>
      </c>
      <c r="B4248" s="5" t="s">
        <v>4403</v>
      </c>
      <c r="C4248" s="17">
        <v>20230101</v>
      </c>
      <c r="D4248" s="17">
        <v>22991231</v>
      </c>
      <c r="E4248" s="25">
        <v>1450.8</v>
      </c>
    </row>
    <row r="4249" spans="1:5" ht="39" x14ac:dyDescent="0.3">
      <c r="A4249" s="17" t="str">
        <f>"69728"</f>
        <v>69728</v>
      </c>
      <c r="B4249" s="5" t="s">
        <v>4404</v>
      </c>
      <c r="C4249" s="17">
        <v>20230101</v>
      </c>
      <c r="D4249" s="17">
        <v>22991231</v>
      </c>
      <c r="E4249" s="25">
        <v>1450.8</v>
      </c>
    </row>
    <row r="4250" spans="1:5" ht="39" x14ac:dyDescent="0.3">
      <c r="A4250" s="17" t="str">
        <f>"69729"</f>
        <v>69729</v>
      </c>
      <c r="B4250" s="5" t="s">
        <v>4405</v>
      </c>
      <c r="C4250" s="17">
        <v>20230101</v>
      </c>
      <c r="D4250" s="17">
        <v>22991231</v>
      </c>
      <c r="E4250" s="25">
        <v>7819.46</v>
      </c>
    </row>
    <row r="4251" spans="1:5" ht="39" x14ac:dyDescent="0.3">
      <c r="A4251" s="17" t="str">
        <f>"69730"</f>
        <v>69730</v>
      </c>
      <c r="B4251" s="5" t="s">
        <v>4406</v>
      </c>
      <c r="C4251" s="17">
        <v>20230101</v>
      </c>
      <c r="D4251" s="17">
        <v>22991231</v>
      </c>
      <c r="E4251" s="25">
        <v>7819.46</v>
      </c>
    </row>
    <row r="4252" spans="1:5" ht="26" x14ac:dyDescent="0.3">
      <c r="A4252" s="17" t="str">
        <f>"69740"</f>
        <v>69740</v>
      </c>
      <c r="B4252" s="5" t="s">
        <v>4407</v>
      </c>
      <c r="C4252" s="17">
        <v>19900101</v>
      </c>
      <c r="D4252" s="17">
        <v>22991231</v>
      </c>
      <c r="E4252" s="25">
        <v>2637</v>
      </c>
    </row>
    <row r="4253" spans="1:5" ht="26" x14ac:dyDescent="0.3">
      <c r="A4253" s="17" t="str">
        <f>"69745"</f>
        <v>69745</v>
      </c>
      <c r="B4253" s="5" t="s">
        <v>4408</v>
      </c>
      <c r="C4253" s="17">
        <v>19900101</v>
      </c>
      <c r="D4253" s="17">
        <v>22991231</v>
      </c>
      <c r="E4253" s="25">
        <v>2637</v>
      </c>
    </row>
    <row r="4254" spans="1:5" x14ac:dyDescent="0.3">
      <c r="A4254" s="17" t="str">
        <f>"69799"</f>
        <v>69799</v>
      </c>
      <c r="B4254" s="5" t="s">
        <v>4409</v>
      </c>
      <c r="C4254" s="17">
        <v>19900101</v>
      </c>
      <c r="D4254" s="17">
        <v>22991231</v>
      </c>
      <c r="E4254" s="24" t="s">
        <v>7128</v>
      </c>
    </row>
    <row r="4255" spans="1:5" ht="26" x14ac:dyDescent="0.3">
      <c r="A4255" s="17" t="str">
        <f>"69801"</f>
        <v>69801</v>
      </c>
      <c r="B4255" s="5" t="s">
        <v>4410</v>
      </c>
      <c r="C4255" s="17">
        <v>19900101</v>
      </c>
      <c r="D4255" s="17">
        <v>22991231</v>
      </c>
      <c r="E4255" s="25">
        <v>141.06</v>
      </c>
    </row>
    <row r="4256" spans="1:5" x14ac:dyDescent="0.3">
      <c r="A4256" s="17" t="str">
        <f>"69805"</f>
        <v>69805</v>
      </c>
      <c r="B4256" s="5" t="s">
        <v>4411</v>
      </c>
      <c r="C4256" s="17">
        <v>19900101</v>
      </c>
      <c r="D4256" s="17">
        <v>22991231</v>
      </c>
      <c r="E4256" s="25">
        <v>2637</v>
      </c>
    </row>
    <row r="4257" spans="1:5" x14ac:dyDescent="0.3">
      <c r="A4257" s="17" t="str">
        <f>"69806"</f>
        <v>69806</v>
      </c>
      <c r="B4257" s="5" t="s">
        <v>4412</v>
      </c>
      <c r="C4257" s="17">
        <v>19900101</v>
      </c>
      <c r="D4257" s="17">
        <v>22991231</v>
      </c>
      <c r="E4257" s="25">
        <v>2637</v>
      </c>
    </row>
    <row r="4258" spans="1:5" x14ac:dyDescent="0.3">
      <c r="A4258" s="17" t="str">
        <f>"69905"</f>
        <v>69905</v>
      </c>
      <c r="B4258" s="5" t="s">
        <v>4413</v>
      </c>
      <c r="C4258" s="17">
        <v>19900101</v>
      </c>
      <c r="D4258" s="17">
        <v>22991231</v>
      </c>
      <c r="E4258" s="25">
        <v>2637</v>
      </c>
    </row>
    <row r="4259" spans="1:5" x14ac:dyDescent="0.3">
      <c r="A4259" s="17" t="str">
        <f>"69910"</f>
        <v>69910</v>
      </c>
      <c r="B4259" s="5" t="s">
        <v>4414</v>
      </c>
      <c r="C4259" s="17">
        <v>19900101</v>
      </c>
      <c r="D4259" s="17">
        <v>22991231</v>
      </c>
      <c r="E4259" s="25">
        <v>2637</v>
      </c>
    </row>
    <row r="4260" spans="1:5" ht="26" x14ac:dyDescent="0.3">
      <c r="A4260" s="17" t="str">
        <f>"69915"</f>
        <v>69915</v>
      </c>
      <c r="B4260" s="5" t="s">
        <v>4415</v>
      </c>
      <c r="C4260" s="17">
        <v>19900101</v>
      </c>
      <c r="D4260" s="17">
        <v>22991231</v>
      </c>
      <c r="E4260" s="25">
        <v>1259.74</v>
      </c>
    </row>
    <row r="4261" spans="1:5" x14ac:dyDescent="0.3">
      <c r="A4261" s="17" t="str">
        <f>"69930"</f>
        <v>69930</v>
      </c>
      <c r="B4261" s="5" t="s">
        <v>4416</v>
      </c>
      <c r="C4261" s="17">
        <v>19900101</v>
      </c>
      <c r="D4261" s="17">
        <v>22991231</v>
      </c>
      <c r="E4261" s="25">
        <v>26994.880000000001</v>
      </c>
    </row>
    <row r="4262" spans="1:5" x14ac:dyDescent="0.3">
      <c r="A4262" s="17" t="str">
        <f>"69955"</f>
        <v>69955</v>
      </c>
      <c r="B4262" s="5" t="s">
        <v>4417</v>
      </c>
      <c r="C4262" s="17">
        <v>19900101</v>
      </c>
      <c r="D4262" s="17">
        <v>22991231</v>
      </c>
      <c r="E4262" s="24" t="s">
        <v>7128</v>
      </c>
    </row>
    <row r="4263" spans="1:5" x14ac:dyDescent="0.3">
      <c r="A4263" s="17" t="str">
        <f>"69960"</f>
        <v>69960</v>
      </c>
      <c r="B4263" s="5" t="s">
        <v>4418</v>
      </c>
      <c r="C4263" s="17">
        <v>19900101</v>
      </c>
      <c r="D4263" s="17">
        <v>22991231</v>
      </c>
      <c r="E4263" s="24" t="s">
        <v>7128</v>
      </c>
    </row>
    <row r="4264" spans="1:5" ht="26" x14ac:dyDescent="0.3">
      <c r="A4264" s="17" t="str">
        <f>"69970"</f>
        <v>69970</v>
      </c>
      <c r="B4264" s="5" t="s">
        <v>4419</v>
      </c>
      <c r="C4264" s="17">
        <v>19900101</v>
      </c>
      <c r="D4264" s="17">
        <v>22991231</v>
      </c>
      <c r="E4264" s="24" t="s">
        <v>7128</v>
      </c>
    </row>
    <row r="4265" spans="1:5" x14ac:dyDescent="0.3">
      <c r="A4265" s="17" t="str">
        <f>"69990"</f>
        <v>69990</v>
      </c>
      <c r="B4265" s="5" t="s">
        <v>4420</v>
      </c>
      <c r="C4265" s="17">
        <v>20230101</v>
      </c>
      <c r="D4265" s="17">
        <v>22991231</v>
      </c>
      <c r="E4265" s="25">
        <v>0</v>
      </c>
    </row>
    <row r="4266" spans="1:5" ht="26" x14ac:dyDescent="0.3">
      <c r="A4266" s="17" t="str">
        <f>"70010"</f>
        <v>70010</v>
      </c>
      <c r="B4266" s="5" t="s">
        <v>4421</v>
      </c>
      <c r="C4266" s="17">
        <v>19900101</v>
      </c>
      <c r="D4266" s="17">
        <v>22991231</v>
      </c>
      <c r="E4266" s="25">
        <v>0</v>
      </c>
    </row>
    <row r="4267" spans="1:5" ht="26" x14ac:dyDescent="0.3">
      <c r="A4267" s="17" t="str">
        <f>"70015"</f>
        <v>70015</v>
      </c>
      <c r="B4267" s="5" t="s">
        <v>4422</v>
      </c>
      <c r="C4267" s="17">
        <v>19900101</v>
      </c>
      <c r="D4267" s="17">
        <v>22991231</v>
      </c>
      <c r="E4267" s="25">
        <v>0</v>
      </c>
    </row>
    <row r="4268" spans="1:5" x14ac:dyDescent="0.3">
      <c r="A4268" s="17" t="str">
        <f>"70030"</f>
        <v>70030</v>
      </c>
      <c r="B4268" s="5" t="s">
        <v>4423</v>
      </c>
      <c r="C4268" s="17">
        <v>19900101</v>
      </c>
      <c r="D4268" s="17">
        <v>22991231</v>
      </c>
      <c r="E4268" s="25">
        <v>0</v>
      </c>
    </row>
    <row r="4269" spans="1:5" x14ac:dyDescent="0.3">
      <c r="A4269" s="17" t="str">
        <f>"70100"</f>
        <v>70100</v>
      </c>
      <c r="B4269" s="5" t="s">
        <v>4424</v>
      </c>
      <c r="C4269" s="17">
        <v>19900101</v>
      </c>
      <c r="D4269" s="17">
        <v>22991231</v>
      </c>
      <c r="E4269" s="25">
        <v>0</v>
      </c>
    </row>
    <row r="4270" spans="1:5" x14ac:dyDescent="0.3">
      <c r="A4270" s="17" t="str">
        <f>"70110"</f>
        <v>70110</v>
      </c>
      <c r="B4270" s="5" t="s">
        <v>4425</v>
      </c>
      <c r="C4270" s="17">
        <v>19900101</v>
      </c>
      <c r="D4270" s="17">
        <v>22991231</v>
      </c>
      <c r="E4270" s="25">
        <v>0</v>
      </c>
    </row>
    <row r="4271" spans="1:5" x14ac:dyDescent="0.3">
      <c r="A4271" s="17" t="str">
        <f>"70120"</f>
        <v>70120</v>
      </c>
      <c r="B4271" s="5" t="s">
        <v>4426</v>
      </c>
      <c r="C4271" s="17">
        <v>19900101</v>
      </c>
      <c r="D4271" s="17">
        <v>22991231</v>
      </c>
      <c r="E4271" s="25">
        <v>0</v>
      </c>
    </row>
    <row r="4272" spans="1:5" ht="26" x14ac:dyDescent="0.3">
      <c r="A4272" s="17" t="str">
        <f>"70130"</f>
        <v>70130</v>
      </c>
      <c r="B4272" s="5" t="s">
        <v>4427</v>
      </c>
      <c r="C4272" s="17">
        <v>19900101</v>
      </c>
      <c r="D4272" s="17">
        <v>22991231</v>
      </c>
      <c r="E4272" s="25">
        <v>0</v>
      </c>
    </row>
    <row r="4273" spans="1:5" x14ac:dyDescent="0.3">
      <c r="A4273" s="17" t="str">
        <f>"70134"</f>
        <v>70134</v>
      </c>
      <c r="B4273" s="5" t="s">
        <v>4428</v>
      </c>
      <c r="C4273" s="17">
        <v>19900101</v>
      </c>
      <c r="D4273" s="17">
        <v>22991231</v>
      </c>
      <c r="E4273" s="25">
        <v>0</v>
      </c>
    </row>
    <row r="4274" spans="1:5" x14ac:dyDescent="0.3">
      <c r="A4274" s="17" t="str">
        <f>"70140"</f>
        <v>70140</v>
      </c>
      <c r="B4274" s="5" t="s">
        <v>4429</v>
      </c>
      <c r="C4274" s="17">
        <v>19900101</v>
      </c>
      <c r="D4274" s="17">
        <v>22991231</v>
      </c>
      <c r="E4274" s="25">
        <v>0</v>
      </c>
    </row>
    <row r="4275" spans="1:5" x14ac:dyDescent="0.3">
      <c r="A4275" s="17" t="str">
        <f>"70150"</f>
        <v>70150</v>
      </c>
      <c r="B4275" s="5" t="s">
        <v>4430</v>
      </c>
      <c r="C4275" s="17">
        <v>19900101</v>
      </c>
      <c r="D4275" s="17">
        <v>22991231</v>
      </c>
      <c r="E4275" s="25">
        <v>0</v>
      </c>
    </row>
    <row r="4276" spans="1:5" x14ac:dyDescent="0.3">
      <c r="A4276" s="17" t="str">
        <f>"70160"</f>
        <v>70160</v>
      </c>
      <c r="B4276" s="5" t="s">
        <v>4431</v>
      </c>
      <c r="C4276" s="17">
        <v>19900101</v>
      </c>
      <c r="D4276" s="17">
        <v>22991231</v>
      </c>
      <c r="E4276" s="25">
        <v>0</v>
      </c>
    </row>
    <row r="4277" spans="1:5" ht="26" x14ac:dyDescent="0.3">
      <c r="A4277" s="17" t="str">
        <f>"70170"</f>
        <v>70170</v>
      </c>
      <c r="B4277" s="5" t="s">
        <v>4432</v>
      </c>
      <c r="C4277" s="17">
        <v>19900101</v>
      </c>
      <c r="D4277" s="17">
        <v>22991231</v>
      </c>
      <c r="E4277" s="25">
        <v>0</v>
      </c>
    </row>
    <row r="4278" spans="1:5" x14ac:dyDescent="0.3">
      <c r="A4278" s="17" t="str">
        <f>"70190"</f>
        <v>70190</v>
      </c>
      <c r="B4278" s="5" t="s">
        <v>4433</v>
      </c>
      <c r="C4278" s="17">
        <v>19900101</v>
      </c>
      <c r="D4278" s="17">
        <v>22991231</v>
      </c>
      <c r="E4278" s="25">
        <v>0</v>
      </c>
    </row>
    <row r="4279" spans="1:5" x14ac:dyDescent="0.3">
      <c r="A4279" s="17" t="str">
        <f>"70200"</f>
        <v>70200</v>
      </c>
      <c r="B4279" s="5" t="s">
        <v>4434</v>
      </c>
      <c r="C4279" s="17">
        <v>19900101</v>
      </c>
      <c r="D4279" s="17">
        <v>22991231</v>
      </c>
      <c r="E4279" s="25">
        <v>0</v>
      </c>
    </row>
    <row r="4280" spans="1:5" x14ac:dyDescent="0.3">
      <c r="A4280" s="17" t="str">
        <f>"70210"</f>
        <v>70210</v>
      </c>
      <c r="B4280" s="5" t="s">
        <v>4435</v>
      </c>
      <c r="C4280" s="17">
        <v>19900101</v>
      </c>
      <c r="D4280" s="17">
        <v>22991231</v>
      </c>
      <c r="E4280" s="25">
        <v>0</v>
      </c>
    </row>
    <row r="4281" spans="1:5" x14ac:dyDescent="0.3">
      <c r="A4281" s="17" t="str">
        <f>"70220"</f>
        <v>70220</v>
      </c>
      <c r="B4281" s="5" t="s">
        <v>4436</v>
      </c>
      <c r="C4281" s="17">
        <v>19900101</v>
      </c>
      <c r="D4281" s="17">
        <v>22991231</v>
      </c>
      <c r="E4281" s="25">
        <v>0</v>
      </c>
    </row>
    <row r="4282" spans="1:5" x14ac:dyDescent="0.3">
      <c r="A4282" s="17" t="str">
        <f>"70240"</f>
        <v>70240</v>
      </c>
      <c r="B4282" s="5" t="s">
        <v>4437</v>
      </c>
      <c r="C4282" s="17">
        <v>19900101</v>
      </c>
      <c r="D4282" s="17">
        <v>22991231</v>
      </c>
      <c r="E4282" s="25">
        <v>0</v>
      </c>
    </row>
    <row r="4283" spans="1:5" x14ac:dyDescent="0.3">
      <c r="A4283" s="17" t="str">
        <f>"70250"</f>
        <v>70250</v>
      </c>
      <c r="B4283" s="5" t="s">
        <v>4438</v>
      </c>
      <c r="C4283" s="17">
        <v>19900101</v>
      </c>
      <c r="D4283" s="17">
        <v>22991231</v>
      </c>
      <c r="E4283" s="25">
        <v>0</v>
      </c>
    </row>
    <row r="4284" spans="1:5" x14ac:dyDescent="0.3">
      <c r="A4284" s="17" t="str">
        <f>"70260"</f>
        <v>70260</v>
      </c>
      <c r="B4284" s="5" t="s">
        <v>4439</v>
      </c>
      <c r="C4284" s="17">
        <v>19900101</v>
      </c>
      <c r="D4284" s="17">
        <v>22991231</v>
      </c>
      <c r="E4284" s="25">
        <v>0</v>
      </c>
    </row>
    <row r="4285" spans="1:5" x14ac:dyDescent="0.3">
      <c r="A4285" s="17" t="str">
        <f>"70300"</f>
        <v>70300</v>
      </c>
      <c r="B4285" s="5" t="s">
        <v>4440</v>
      </c>
      <c r="C4285" s="17">
        <v>19900101</v>
      </c>
      <c r="D4285" s="17">
        <v>22991231</v>
      </c>
      <c r="E4285" s="25">
        <v>0</v>
      </c>
    </row>
    <row r="4286" spans="1:5" x14ac:dyDescent="0.3">
      <c r="A4286" s="17" t="str">
        <f>"70310"</f>
        <v>70310</v>
      </c>
      <c r="B4286" s="5" t="s">
        <v>4441</v>
      </c>
      <c r="C4286" s="17">
        <v>19900101</v>
      </c>
      <c r="D4286" s="17">
        <v>22991231</v>
      </c>
      <c r="E4286" s="25">
        <v>0</v>
      </c>
    </row>
    <row r="4287" spans="1:5" x14ac:dyDescent="0.3">
      <c r="A4287" s="17" t="str">
        <f>"70320"</f>
        <v>70320</v>
      </c>
      <c r="B4287" s="5" t="s">
        <v>4442</v>
      </c>
      <c r="C4287" s="17">
        <v>19900101</v>
      </c>
      <c r="D4287" s="17">
        <v>22991231</v>
      </c>
      <c r="E4287" s="25">
        <v>0</v>
      </c>
    </row>
    <row r="4288" spans="1:5" x14ac:dyDescent="0.3">
      <c r="A4288" s="17" t="str">
        <f>"70328"</f>
        <v>70328</v>
      </c>
      <c r="B4288" s="5" t="s">
        <v>4443</v>
      </c>
      <c r="C4288" s="17">
        <v>19900101</v>
      </c>
      <c r="D4288" s="17">
        <v>22991231</v>
      </c>
      <c r="E4288" s="25">
        <v>0</v>
      </c>
    </row>
    <row r="4289" spans="1:5" x14ac:dyDescent="0.3">
      <c r="A4289" s="17" t="str">
        <f>"70330"</f>
        <v>70330</v>
      </c>
      <c r="B4289" s="5" t="s">
        <v>4444</v>
      </c>
      <c r="C4289" s="17">
        <v>19900101</v>
      </c>
      <c r="D4289" s="17">
        <v>22991231</v>
      </c>
      <c r="E4289" s="25">
        <v>0</v>
      </c>
    </row>
    <row r="4290" spans="1:5" ht="26" x14ac:dyDescent="0.3">
      <c r="A4290" s="17" t="str">
        <f>"70332"</f>
        <v>70332</v>
      </c>
      <c r="B4290" s="5" t="s">
        <v>4445</v>
      </c>
      <c r="C4290" s="17">
        <v>19900101</v>
      </c>
      <c r="D4290" s="17">
        <v>22991231</v>
      </c>
      <c r="E4290" s="25">
        <v>0</v>
      </c>
    </row>
    <row r="4291" spans="1:5" x14ac:dyDescent="0.3">
      <c r="A4291" s="17" t="str">
        <f>"70336"</f>
        <v>70336</v>
      </c>
      <c r="B4291" s="5" t="s">
        <v>4446</v>
      </c>
      <c r="C4291" s="17">
        <v>19900101</v>
      </c>
      <c r="D4291" s="17">
        <v>22991231</v>
      </c>
      <c r="E4291" s="25">
        <v>121.41</v>
      </c>
    </row>
    <row r="4292" spans="1:5" x14ac:dyDescent="0.3">
      <c r="A4292" s="17" t="str">
        <f>"70350"</f>
        <v>70350</v>
      </c>
      <c r="B4292" s="5" t="s">
        <v>4447</v>
      </c>
      <c r="C4292" s="17">
        <v>19900101</v>
      </c>
      <c r="D4292" s="17">
        <v>22991231</v>
      </c>
      <c r="E4292" s="25">
        <v>0</v>
      </c>
    </row>
    <row r="4293" spans="1:5" x14ac:dyDescent="0.3">
      <c r="A4293" s="17" t="str">
        <f>"70355"</f>
        <v>70355</v>
      </c>
      <c r="B4293" s="5" t="s">
        <v>4448</v>
      </c>
      <c r="C4293" s="17">
        <v>19900101</v>
      </c>
      <c r="D4293" s="17">
        <v>22991231</v>
      </c>
      <c r="E4293" s="25">
        <v>0</v>
      </c>
    </row>
    <row r="4294" spans="1:5" x14ac:dyDescent="0.3">
      <c r="A4294" s="17" t="str">
        <f>"70360"</f>
        <v>70360</v>
      </c>
      <c r="B4294" s="5" t="s">
        <v>4449</v>
      </c>
      <c r="C4294" s="17">
        <v>19900101</v>
      </c>
      <c r="D4294" s="17">
        <v>22991231</v>
      </c>
      <c r="E4294" s="25">
        <v>0</v>
      </c>
    </row>
    <row r="4295" spans="1:5" x14ac:dyDescent="0.3">
      <c r="A4295" s="17" t="str">
        <f>"70370"</f>
        <v>70370</v>
      </c>
      <c r="B4295" s="5" t="s">
        <v>4450</v>
      </c>
      <c r="C4295" s="17">
        <v>19900101</v>
      </c>
      <c r="D4295" s="17">
        <v>22991231</v>
      </c>
      <c r="E4295" s="25">
        <v>0</v>
      </c>
    </row>
    <row r="4296" spans="1:5" x14ac:dyDescent="0.3">
      <c r="A4296" s="17" t="str">
        <f>"70371"</f>
        <v>70371</v>
      </c>
      <c r="B4296" s="5" t="s">
        <v>4451</v>
      </c>
      <c r="C4296" s="17">
        <v>20230101</v>
      </c>
      <c r="D4296" s="17">
        <v>22991231</v>
      </c>
      <c r="E4296" s="25">
        <v>0</v>
      </c>
    </row>
    <row r="4297" spans="1:5" x14ac:dyDescent="0.3">
      <c r="A4297" s="17" t="str">
        <f>"70380"</f>
        <v>70380</v>
      </c>
      <c r="B4297" s="5" t="s">
        <v>4452</v>
      </c>
      <c r="C4297" s="17">
        <v>19900101</v>
      </c>
      <c r="D4297" s="17">
        <v>22991231</v>
      </c>
      <c r="E4297" s="25">
        <v>0</v>
      </c>
    </row>
    <row r="4298" spans="1:5" ht="26" x14ac:dyDescent="0.3">
      <c r="A4298" s="17" t="str">
        <f>"70390"</f>
        <v>70390</v>
      </c>
      <c r="B4298" s="5" t="s">
        <v>4453</v>
      </c>
      <c r="C4298" s="17">
        <v>19900101</v>
      </c>
      <c r="D4298" s="17">
        <v>22991231</v>
      </c>
      <c r="E4298" s="25">
        <v>0</v>
      </c>
    </row>
    <row r="4299" spans="1:5" x14ac:dyDescent="0.3">
      <c r="A4299" s="17" t="str">
        <f>"70450"</f>
        <v>70450</v>
      </c>
      <c r="B4299" s="5" t="s">
        <v>4454</v>
      </c>
      <c r="C4299" s="17">
        <v>19900101</v>
      </c>
      <c r="D4299" s="17">
        <v>22991231</v>
      </c>
      <c r="E4299" s="25">
        <v>54.47</v>
      </c>
    </row>
    <row r="4300" spans="1:5" x14ac:dyDescent="0.3">
      <c r="A4300" s="17" t="str">
        <f>"70460"</f>
        <v>70460</v>
      </c>
      <c r="B4300" s="5" t="s">
        <v>4455</v>
      </c>
      <c r="C4300" s="17">
        <v>19900101</v>
      </c>
      <c r="D4300" s="17">
        <v>22991231</v>
      </c>
      <c r="E4300" s="25">
        <v>91.04</v>
      </c>
    </row>
    <row r="4301" spans="1:5" ht="26" x14ac:dyDescent="0.3">
      <c r="A4301" s="17" t="str">
        <f>"70470"</f>
        <v>70470</v>
      </c>
      <c r="B4301" s="5" t="s">
        <v>4456</v>
      </c>
      <c r="C4301" s="17">
        <v>19900101</v>
      </c>
      <c r="D4301" s="17">
        <v>22991231</v>
      </c>
      <c r="E4301" s="25">
        <v>91.04</v>
      </c>
    </row>
    <row r="4302" spans="1:5" x14ac:dyDescent="0.3">
      <c r="A4302" s="17" t="str">
        <f>"70480"</f>
        <v>70480</v>
      </c>
      <c r="B4302" s="5" t="s">
        <v>4457</v>
      </c>
      <c r="C4302" s="17">
        <v>19900101</v>
      </c>
      <c r="D4302" s="17">
        <v>22991231</v>
      </c>
      <c r="E4302" s="25">
        <v>54.47</v>
      </c>
    </row>
    <row r="4303" spans="1:5" x14ac:dyDescent="0.3">
      <c r="A4303" s="17" t="str">
        <f>"70481"</f>
        <v>70481</v>
      </c>
      <c r="B4303" s="5" t="s">
        <v>4458</v>
      </c>
      <c r="C4303" s="17">
        <v>19900101</v>
      </c>
      <c r="D4303" s="17">
        <v>22991231</v>
      </c>
      <c r="E4303" s="25">
        <v>91.04</v>
      </c>
    </row>
    <row r="4304" spans="1:5" ht="26" x14ac:dyDescent="0.3">
      <c r="A4304" s="17" t="str">
        <f>"70482"</f>
        <v>70482</v>
      </c>
      <c r="B4304" s="5" t="s">
        <v>4459</v>
      </c>
      <c r="C4304" s="17">
        <v>19900101</v>
      </c>
      <c r="D4304" s="17">
        <v>22991231</v>
      </c>
      <c r="E4304" s="25">
        <v>91.04</v>
      </c>
    </row>
    <row r="4305" spans="1:5" x14ac:dyDescent="0.3">
      <c r="A4305" s="17" t="str">
        <f>"70486"</f>
        <v>70486</v>
      </c>
      <c r="B4305" s="5" t="s">
        <v>4460</v>
      </c>
      <c r="C4305" s="17">
        <v>19900101</v>
      </c>
      <c r="D4305" s="17">
        <v>22991231</v>
      </c>
      <c r="E4305" s="25">
        <v>54.47</v>
      </c>
    </row>
    <row r="4306" spans="1:5" x14ac:dyDescent="0.3">
      <c r="A4306" s="17" t="str">
        <f>"70487"</f>
        <v>70487</v>
      </c>
      <c r="B4306" s="5" t="s">
        <v>4461</v>
      </c>
      <c r="C4306" s="17">
        <v>19900101</v>
      </c>
      <c r="D4306" s="17">
        <v>22991231</v>
      </c>
      <c r="E4306" s="25">
        <v>91.04</v>
      </c>
    </row>
    <row r="4307" spans="1:5" x14ac:dyDescent="0.3">
      <c r="A4307" s="17" t="str">
        <f>"70488"</f>
        <v>70488</v>
      </c>
      <c r="B4307" s="5" t="s">
        <v>4462</v>
      </c>
      <c r="C4307" s="17">
        <v>19900101</v>
      </c>
      <c r="D4307" s="17">
        <v>22991231</v>
      </c>
      <c r="E4307" s="25">
        <v>91.04</v>
      </c>
    </row>
    <row r="4308" spans="1:5" x14ac:dyDescent="0.3">
      <c r="A4308" s="17" t="str">
        <f>"70490"</f>
        <v>70490</v>
      </c>
      <c r="B4308" s="5" t="s">
        <v>4463</v>
      </c>
      <c r="C4308" s="17">
        <v>19900101</v>
      </c>
      <c r="D4308" s="17">
        <v>22991231</v>
      </c>
      <c r="E4308" s="25">
        <v>54.47</v>
      </c>
    </row>
    <row r="4309" spans="1:5" x14ac:dyDescent="0.3">
      <c r="A4309" s="17" t="str">
        <f>"70491"</f>
        <v>70491</v>
      </c>
      <c r="B4309" s="5" t="s">
        <v>4464</v>
      </c>
      <c r="C4309" s="17">
        <v>19900101</v>
      </c>
      <c r="D4309" s="17">
        <v>22991231</v>
      </c>
      <c r="E4309" s="25">
        <v>91.04</v>
      </c>
    </row>
    <row r="4310" spans="1:5" ht="26" x14ac:dyDescent="0.3">
      <c r="A4310" s="17" t="str">
        <f>"70492"</f>
        <v>70492</v>
      </c>
      <c r="B4310" s="5" t="s">
        <v>4465</v>
      </c>
      <c r="C4310" s="17">
        <v>19900101</v>
      </c>
      <c r="D4310" s="17">
        <v>22991231</v>
      </c>
      <c r="E4310" s="25">
        <v>91.04</v>
      </c>
    </row>
    <row r="4311" spans="1:5" x14ac:dyDescent="0.3">
      <c r="A4311" s="17" t="str">
        <f>"70496"</f>
        <v>70496</v>
      </c>
      <c r="B4311" s="5" t="s">
        <v>4466</v>
      </c>
      <c r="C4311" s="17">
        <v>20230101</v>
      </c>
      <c r="D4311" s="17">
        <v>22991231</v>
      </c>
      <c r="E4311" s="25">
        <v>91.04</v>
      </c>
    </row>
    <row r="4312" spans="1:5" x14ac:dyDescent="0.3">
      <c r="A4312" s="17" t="str">
        <f>"70498"</f>
        <v>70498</v>
      </c>
      <c r="B4312" s="5" t="s">
        <v>4467</v>
      </c>
      <c r="C4312" s="17">
        <v>20230101</v>
      </c>
      <c r="D4312" s="17">
        <v>22991231</v>
      </c>
      <c r="E4312" s="25">
        <v>91.04</v>
      </c>
    </row>
    <row r="4313" spans="1:5" ht="26" x14ac:dyDescent="0.3">
      <c r="A4313" s="17" t="str">
        <f>"70540"</f>
        <v>70540</v>
      </c>
      <c r="B4313" s="5" t="s">
        <v>4468</v>
      </c>
      <c r="C4313" s="17">
        <v>20060915</v>
      </c>
      <c r="D4313" s="17">
        <v>22991231</v>
      </c>
      <c r="E4313" s="25">
        <v>121.41</v>
      </c>
    </row>
    <row r="4314" spans="1:5" ht="26" x14ac:dyDescent="0.3">
      <c r="A4314" s="17" t="str">
        <f>"70542"</f>
        <v>70542</v>
      </c>
      <c r="B4314" s="5" t="s">
        <v>4469</v>
      </c>
      <c r="C4314" s="17">
        <v>20230101</v>
      </c>
      <c r="D4314" s="17">
        <v>22991231</v>
      </c>
      <c r="E4314" s="25">
        <v>204.85</v>
      </c>
    </row>
    <row r="4315" spans="1:5" ht="26" x14ac:dyDescent="0.3">
      <c r="A4315" s="17" t="str">
        <f>"70543"</f>
        <v>70543</v>
      </c>
      <c r="B4315" s="5" t="s">
        <v>4470</v>
      </c>
      <c r="C4315" s="17">
        <v>20230101</v>
      </c>
      <c r="D4315" s="17">
        <v>22991231</v>
      </c>
      <c r="E4315" s="25">
        <v>190.54</v>
      </c>
    </row>
    <row r="4316" spans="1:5" ht="26" x14ac:dyDescent="0.3">
      <c r="A4316" s="17" t="str">
        <f>"70544"</f>
        <v>70544</v>
      </c>
      <c r="B4316" s="5" t="s">
        <v>4471</v>
      </c>
      <c r="C4316" s="17">
        <v>20151001</v>
      </c>
      <c r="D4316" s="17">
        <v>22991231</v>
      </c>
      <c r="E4316" s="25">
        <v>121.41</v>
      </c>
    </row>
    <row r="4317" spans="1:5" x14ac:dyDescent="0.3">
      <c r="A4317" s="17" t="str">
        <f>"70545"</f>
        <v>70545</v>
      </c>
      <c r="B4317" s="5" t="s">
        <v>4472</v>
      </c>
      <c r="C4317" s="17">
        <v>20230101</v>
      </c>
      <c r="D4317" s="17">
        <v>22991231</v>
      </c>
      <c r="E4317" s="25">
        <v>178.9</v>
      </c>
    </row>
    <row r="4318" spans="1:5" ht="26" x14ac:dyDescent="0.3">
      <c r="A4318" s="17" t="str">
        <f>"70546"</f>
        <v>70546</v>
      </c>
      <c r="B4318" s="5" t="s">
        <v>4473</v>
      </c>
      <c r="C4318" s="17">
        <v>20230101</v>
      </c>
      <c r="D4318" s="17">
        <v>22991231</v>
      </c>
      <c r="E4318" s="25">
        <v>190.54</v>
      </c>
    </row>
    <row r="4319" spans="1:5" ht="26" x14ac:dyDescent="0.3">
      <c r="A4319" s="17" t="str">
        <f>"70547"</f>
        <v>70547</v>
      </c>
      <c r="B4319" s="5" t="s">
        <v>4474</v>
      </c>
      <c r="C4319" s="17">
        <v>20230101</v>
      </c>
      <c r="D4319" s="17">
        <v>22991231</v>
      </c>
      <c r="E4319" s="25">
        <v>121.41</v>
      </c>
    </row>
    <row r="4320" spans="1:5" x14ac:dyDescent="0.3">
      <c r="A4320" s="17" t="str">
        <f>"70548"</f>
        <v>70548</v>
      </c>
      <c r="B4320" s="5" t="s">
        <v>4475</v>
      </c>
      <c r="C4320" s="17">
        <v>20060915</v>
      </c>
      <c r="D4320" s="17">
        <v>22991231</v>
      </c>
      <c r="E4320" s="25">
        <v>187.03</v>
      </c>
    </row>
    <row r="4321" spans="1:5" ht="26" x14ac:dyDescent="0.3">
      <c r="A4321" s="17" t="str">
        <f>"70549"</f>
        <v>70549</v>
      </c>
      <c r="B4321" s="5" t="s">
        <v>4476</v>
      </c>
      <c r="C4321" s="17">
        <v>20151001</v>
      </c>
      <c r="D4321" s="17">
        <v>22991231</v>
      </c>
      <c r="E4321" s="25">
        <v>190.54</v>
      </c>
    </row>
    <row r="4322" spans="1:5" x14ac:dyDescent="0.3">
      <c r="A4322" s="17" t="str">
        <f>"70551"</f>
        <v>70551</v>
      </c>
      <c r="B4322" s="5" t="s">
        <v>4477</v>
      </c>
      <c r="C4322" s="17">
        <v>20151001</v>
      </c>
      <c r="D4322" s="17">
        <v>22991231</v>
      </c>
      <c r="E4322" s="25">
        <v>121.41</v>
      </c>
    </row>
    <row r="4323" spans="1:5" x14ac:dyDescent="0.3">
      <c r="A4323" s="17" t="str">
        <f>"70552"</f>
        <v>70552</v>
      </c>
      <c r="B4323" s="5" t="s">
        <v>4478</v>
      </c>
      <c r="C4323" s="17">
        <v>20060915</v>
      </c>
      <c r="D4323" s="17">
        <v>22991231</v>
      </c>
      <c r="E4323" s="25">
        <v>201.41</v>
      </c>
    </row>
    <row r="4324" spans="1:5" x14ac:dyDescent="0.3">
      <c r="A4324" s="17" t="str">
        <f>"70553"</f>
        <v>70553</v>
      </c>
      <c r="B4324" s="5" t="s">
        <v>4479</v>
      </c>
      <c r="C4324" s="17">
        <v>20151001</v>
      </c>
      <c r="D4324" s="17">
        <v>22991231</v>
      </c>
      <c r="E4324" s="25">
        <v>190.54</v>
      </c>
    </row>
    <row r="4325" spans="1:5" x14ac:dyDescent="0.3">
      <c r="A4325" s="17" t="str">
        <f>"70554"</f>
        <v>70554</v>
      </c>
      <c r="B4325" s="5" t="s">
        <v>4480</v>
      </c>
      <c r="C4325" s="17">
        <v>20230101</v>
      </c>
      <c r="D4325" s="17">
        <v>22991231</v>
      </c>
      <c r="E4325" s="25">
        <v>121.41</v>
      </c>
    </row>
    <row r="4326" spans="1:5" ht="26" x14ac:dyDescent="0.3">
      <c r="A4326" s="17" t="str">
        <f>"70555"</f>
        <v>70555</v>
      </c>
      <c r="B4326" s="5" t="s">
        <v>4481</v>
      </c>
      <c r="C4326" s="17">
        <v>20230101</v>
      </c>
      <c r="D4326" s="17">
        <v>22991231</v>
      </c>
      <c r="E4326" s="25">
        <v>121.41</v>
      </c>
    </row>
    <row r="4327" spans="1:5" ht="26" x14ac:dyDescent="0.3">
      <c r="A4327" s="17" t="str">
        <f>"70557"</f>
        <v>70557</v>
      </c>
      <c r="B4327" s="5" t="s">
        <v>4482</v>
      </c>
      <c r="C4327" s="17">
        <v>20230101</v>
      </c>
      <c r="D4327" s="17">
        <v>22991231</v>
      </c>
      <c r="E4327" s="25">
        <v>273.33999999999997</v>
      </c>
    </row>
    <row r="4328" spans="1:5" ht="26" x14ac:dyDescent="0.3">
      <c r="A4328" s="17" t="str">
        <f>"70558"</f>
        <v>70558</v>
      </c>
      <c r="B4328" s="5" t="s">
        <v>4483</v>
      </c>
      <c r="C4328" s="17">
        <v>20230101</v>
      </c>
      <c r="D4328" s="17">
        <v>22991231</v>
      </c>
      <c r="E4328" s="25">
        <v>91.04</v>
      </c>
    </row>
    <row r="4329" spans="1:5" ht="26" x14ac:dyDescent="0.3">
      <c r="A4329" s="17" t="str">
        <f>"70559"</f>
        <v>70559</v>
      </c>
      <c r="B4329" s="5" t="s">
        <v>4484</v>
      </c>
      <c r="C4329" s="17">
        <v>20230101</v>
      </c>
      <c r="D4329" s="17">
        <v>22991231</v>
      </c>
      <c r="E4329" s="25">
        <v>91.04</v>
      </c>
    </row>
    <row r="4330" spans="1:5" x14ac:dyDescent="0.3">
      <c r="A4330" s="17" t="str">
        <f>"71045"</f>
        <v>71045</v>
      </c>
      <c r="B4330" s="5" t="s">
        <v>4485</v>
      </c>
      <c r="C4330" s="17">
        <v>20180101</v>
      </c>
      <c r="D4330" s="17">
        <v>22991231</v>
      </c>
      <c r="E4330" s="25">
        <v>17.82</v>
      </c>
    </row>
    <row r="4331" spans="1:5" x14ac:dyDescent="0.3">
      <c r="A4331" s="17" t="str">
        <f>"71046"</f>
        <v>71046</v>
      </c>
      <c r="B4331" s="5" t="s">
        <v>4486</v>
      </c>
      <c r="C4331" s="17">
        <v>20180101</v>
      </c>
      <c r="D4331" s="17">
        <v>22991231</v>
      </c>
      <c r="E4331" s="25">
        <v>24.08</v>
      </c>
    </row>
    <row r="4332" spans="1:5" x14ac:dyDescent="0.3">
      <c r="A4332" s="17" t="str">
        <f>"71047"</f>
        <v>71047</v>
      </c>
      <c r="B4332" s="5" t="s">
        <v>4487</v>
      </c>
      <c r="C4332" s="17">
        <v>20180101</v>
      </c>
      <c r="D4332" s="17">
        <v>22991231</v>
      </c>
      <c r="E4332" s="25">
        <v>0</v>
      </c>
    </row>
    <row r="4333" spans="1:5" x14ac:dyDescent="0.3">
      <c r="A4333" s="17" t="str">
        <f>"71048"</f>
        <v>71048</v>
      </c>
      <c r="B4333" s="5" t="s">
        <v>4488</v>
      </c>
      <c r="C4333" s="17">
        <v>20180101</v>
      </c>
      <c r="D4333" s="17">
        <v>22991231</v>
      </c>
      <c r="E4333" s="25">
        <v>0</v>
      </c>
    </row>
    <row r="4334" spans="1:5" x14ac:dyDescent="0.3">
      <c r="A4334" s="17" t="str">
        <f>"71100"</f>
        <v>71100</v>
      </c>
      <c r="B4334" s="5" t="s">
        <v>4489</v>
      </c>
      <c r="C4334" s="17">
        <v>19900101</v>
      </c>
      <c r="D4334" s="17">
        <v>22991231</v>
      </c>
      <c r="E4334" s="25">
        <v>0</v>
      </c>
    </row>
    <row r="4335" spans="1:5" ht="26" x14ac:dyDescent="0.3">
      <c r="A4335" s="17" t="str">
        <f>"71101"</f>
        <v>71101</v>
      </c>
      <c r="B4335" s="5" t="s">
        <v>4490</v>
      </c>
      <c r="C4335" s="17">
        <v>19900101</v>
      </c>
      <c r="D4335" s="17">
        <v>22991231</v>
      </c>
      <c r="E4335" s="25">
        <v>0</v>
      </c>
    </row>
    <row r="4336" spans="1:5" x14ac:dyDescent="0.3">
      <c r="A4336" s="17" t="str">
        <f>"71110"</f>
        <v>71110</v>
      </c>
      <c r="B4336" s="5" t="s">
        <v>4491</v>
      </c>
      <c r="C4336" s="17">
        <v>19900101</v>
      </c>
      <c r="D4336" s="17">
        <v>22991231</v>
      </c>
      <c r="E4336" s="25">
        <v>0</v>
      </c>
    </row>
    <row r="4337" spans="1:5" ht="26" x14ac:dyDescent="0.3">
      <c r="A4337" s="17" t="str">
        <f>"71111"</f>
        <v>71111</v>
      </c>
      <c r="B4337" s="5" t="s">
        <v>4492</v>
      </c>
      <c r="C4337" s="17">
        <v>19900101</v>
      </c>
      <c r="D4337" s="17">
        <v>22991231</v>
      </c>
      <c r="E4337" s="25">
        <v>0</v>
      </c>
    </row>
    <row r="4338" spans="1:5" x14ac:dyDescent="0.3">
      <c r="A4338" s="17" t="str">
        <f>"71120"</f>
        <v>71120</v>
      </c>
      <c r="B4338" s="5" t="s">
        <v>4493</v>
      </c>
      <c r="C4338" s="17">
        <v>19900101</v>
      </c>
      <c r="D4338" s="17">
        <v>22991231</v>
      </c>
      <c r="E4338" s="25">
        <v>0</v>
      </c>
    </row>
    <row r="4339" spans="1:5" ht="26" x14ac:dyDescent="0.3">
      <c r="A4339" s="17" t="str">
        <f>"71130"</f>
        <v>71130</v>
      </c>
      <c r="B4339" s="5" t="s">
        <v>4494</v>
      </c>
      <c r="C4339" s="17">
        <v>19900101</v>
      </c>
      <c r="D4339" s="17">
        <v>22991231</v>
      </c>
      <c r="E4339" s="25">
        <v>0</v>
      </c>
    </row>
    <row r="4340" spans="1:5" x14ac:dyDescent="0.3">
      <c r="A4340" s="17" t="str">
        <f>"71250"</f>
        <v>71250</v>
      </c>
      <c r="B4340" s="5" t="s">
        <v>4495</v>
      </c>
      <c r="C4340" s="17">
        <v>19900101</v>
      </c>
      <c r="D4340" s="17">
        <v>22991231</v>
      </c>
      <c r="E4340" s="25">
        <v>54.47</v>
      </c>
    </row>
    <row r="4341" spans="1:5" x14ac:dyDescent="0.3">
      <c r="A4341" s="17" t="str">
        <f>"71260"</f>
        <v>71260</v>
      </c>
      <c r="B4341" s="5" t="s">
        <v>4496</v>
      </c>
      <c r="C4341" s="17">
        <v>19900101</v>
      </c>
      <c r="D4341" s="17">
        <v>22991231</v>
      </c>
      <c r="E4341" s="25">
        <v>91.04</v>
      </c>
    </row>
    <row r="4342" spans="1:5" x14ac:dyDescent="0.3">
      <c r="A4342" s="17" t="str">
        <f>"71270"</f>
        <v>71270</v>
      </c>
      <c r="B4342" s="5" t="s">
        <v>4497</v>
      </c>
      <c r="C4342" s="17">
        <v>19900101</v>
      </c>
      <c r="D4342" s="17">
        <v>22991231</v>
      </c>
      <c r="E4342" s="25">
        <v>91.04</v>
      </c>
    </row>
    <row r="4343" spans="1:5" ht="26" x14ac:dyDescent="0.3">
      <c r="A4343" s="17" t="str">
        <f>"71271"</f>
        <v>71271</v>
      </c>
      <c r="B4343" s="5" t="s">
        <v>4498</v>
      </c>
      <c r="C4343" s="17">
        <v>20210101</v>
      </c>
      <c r="D4343" s="17">
        <v>22991231</v>
      </c>
      <c r="E4343" s="24" t="s">
        <v>7128</v>
      </c>
    </row>
    <row r="4344" spans="1:5" x14ac:dyDescent="0.3">
      <c r="A4344" s="17" t="str">
        <f>"71275"</f>
        <v>71275</v>
      </c>
      <c r="B4344" s="5" t="s">
        <v>4499</v>
      </c>
      <c r="C4344" s="17">
        <v>20010101</v>
      </c>
      <c r="D4344" s="17">
        <v>22991231</v>
      </c>
      <c r="E4344" s="25">
        <v>91.04</v>
      </c>
    </row>
    <row r="4345" spans="1:5" x14ac:dyDescent="0.3">
      <c r="A4345" s="17" t="str">
        <f>"71550"</f>
        <v>71550</v>
      </c>
      <c r="B4345" s="5" t="s">
        <v>4500</v>
      </c>
      <c r="C4345" s="17">
        <v>20151001</v>
      </c>
      <c r="D4345" s="17">
        <v>22991231</v>
      </c>
      <c r="E4345" s="25">
        <v>121.41</v>
      </c>
    </row>
    <row r="4346" spans="1:5" x14ac:dyDescent="0.3">
      <c r="A4346" s="17" t="str">
        <f>"71551"</f>
        <v>71551</v>
      </c>
      <c r="B4346" s="5" t="s">
        <v>4501</v>
      </c>
      <c r="C4346" s="17">
        <v>20151001</v>
      </c>
      <c r="D4346" s="17">
        <v>22991231</v>
      </c>
      <c r="E4346" s="25">
        <v>302.74</v>
      </c>
    </row>
    <row r="4347" spans="1:5" x14ac:dyDescent="0.3">
      <c r="A4347" s="17" t="str">
        <f>"71552"</f>
        <v>71552</v>
      </c>
      <c r="B4347" s="5" t="s">
        <v>4502</v>
      </c>
      <c r="C4347" s="17">
        <v>20151001</v>
      </c>
      <c r="D4347" s="17">
        <v>22991231</v>
      </c>
      <c r="E4347" s="25">
        <v>190.54</v>
      </c>
    </row>
    <row r="4348" spans="1:5" x14ac:dyDescent="0.3">
      <c r="A4348" s="17" t="str">
        <f>"71555"</f>
        <v>71555</v>
      </c>
      <c r="B4348" s="5" t="s">
        <v>4503</v>
      </c>
      <c r="C4348" s="17">
        <v>20151001</v>
      </c>
      <c r="D4348" s="17">
        <v>22991231</v>
      </c>
      <c r="E4348" s="24" t="s">
        <v>7128</v>
      </c>
    </row>
    <row r="4349" spans="1:5" x14ac:dyDescent="0.3">
      <c r="A4349" s="17" t="str">
        <f>"72020"</f>
        <v>72020</v>
      </c>
      <c r="B4349" s="5" t="s">
        <v>4504</v>
      </c>
      <c r="C4349" s="17">
        <v>19900101</v>
      </c>
      <c r="D4349" s="17">
        <v>22991231</v>
      </c>
      <c r="E4349" s="25">
        <v>0</v>
      </c>
    </row>
    <row r="4350" spans="1:5" x14ac:dyDescent="0.3">
      <c r="A4350" s="17" t="str">
        <f>"72040"</f>
        <v>72040</v>
      </c>
      <c r="B4350" s="5" t="s">
        <v>4505</v>
      </c>
      <c r="C4350" s="17">
        <v>19900101</v>
      </c>
      <c r="D4350" s="17">
        <v>22991231</v>
      </c>
      <c r="E4350" s="25">
        <v>0</v>
      </c>
    </row>
    <row r="4351" spans="1:5" x14ac:dyDescent="0.3">
      <c r="A4351" s="17" t="str">
        <f>"72050"</f>
        <v>72050</v>
      </c>
      <c r="B4351" s="5" t="s">
        <v>4506</v>
      </c>
      <c r="C4351" s="17">
        <v>19900101</v>
      </c>
      <c r="D4351" s="17">
        <v>22991231</v>
      </c>
      <c r="E4351" s="25">
        <v>0</v>
      </c>
    </row>
    <row r="4352" spans="1:5" x14ac:dyDescent="0.3">
      <c r="A4352" s="17" t="str">
        <f>"72052"</f>
        <v>72052</v>
      </c>
      <c r="B4352" s="5" t="s">
        <v>4507</v>
      </c>
      <c r="C4352" s="17">
        <v>19900101</v>
      </c>
      <c r="D4352" s="17">
        <v>22991231</v>
      </c>
      <c r="E4352" s="25">
        <v>0</v>
      </c>
    </row>
    <row r="4353" spans="1:5" x14ac:dyDescent="0.3">
      <c r="A4353" s="17" t="str">
        <f>"72070"</f>
        <v>72070</v>
      </c>
      <c r="B4353" s="5" t="s">
        <v>4508</v>
      </c>
      <c r="C4353" s="17">
        <v>19900101</v>
      </c>
      <c r="D4353" s="17">
        <v>22991231</v>
      </c>
      <c r="E4353" s="25">
        <v>0</v>
      </c>
    </row>
    <row r="4354" spans="1:5" x14ac:dyDescent="0.3">
      <c r="A4354" s="17" t="str">
        <f>"72072"</f>
        <v>72072</v>
      </c>
      <c r="B4354" s="5" t="s">
        <v>4509</v>
      </c>
      <c r="C4354" s="17">
        <v>19900101</v>
      </c>
      <c r="D4354" s="17">
        <v>22991231</v>
      </c>
      <c r="E4354" s="25">
        <v>0</v>
      </c>
    </row>
    <row r="4355" spans="1:5" x14ac:dyDescent="0.3">
      <c r="A4355" s="17" t="str">
        <f>"72074"</f>
        <v>72074</v>
      </c>
      <c r="B4355" s="5" t="s">
        <v>4510</v>
      </c>
      <c r="C4355" s="17">
        <v>19900101</v>
      </c>
      <c r="D4355" s="17">
        <v>22991231</v>
      </c>
      <c r="E4355" s="25">
        <v>0</v>
      </c>
    </row>
    <row r="4356" spans="1:5" x14ac:dyDescent="0.3">
      <c r="A4356" s="17" t="str">
        <f>"72080"</f>
        <v>72080</v>
      </c>
      <c r="B4356" s="5" t="s">
        <v>4511</v>
      </c>
      <c r="C4356" s="17">
        <v>19900101</v>
      </c>
      <c r="D4356" s="17">
        <v>22991231</v>
      </c>
      <c r="E4356" s="25">
        <v>0</v>
      </c>
    </row>
    <row r="4357" spans="1:5" x14ac:dyDescent="0.3">
      <c r="A4357" s="17" t="str">
        <f>"72081"</f>
        <v>72081</v>
      </c>
      <c r="B4357" s="5" t="s">
        <v>4512</v>
      </c>
      <c r="C4357" s="17">
        <v>20230101</v>
      </c>
      <c r="D4357" s="17">
        <v>22991231</v>
      </c>
      <c r="E4357" s="25">
        <v>0</v>
      </c>
    </row>
    <row r="4358" spans="1:5" ht="26" x14ac:dyDescent="0.3">
      <c r="A4358" s="17" t="str">
        <f>"72082"</f>
        <v>72082</v>
      </c>
      <c r="B4358" s="5" t="s">
        <v>4513</v>
      </c>
      <c r="C4358" s="17">
        <v>20230101</v>
      </c>
      <c r="D4358" s="17">
        <v>22991231</v>
      </c>
      <c r="E4358" s="25">
        <v>0</v>
      </c>
    </row>
    <row r="4359" spans="1:5" ht="26" x14ac:dyDescent="0.3">
      <c r="A4359" s="17" t="str">
        <f>"72083"</f>
        <v>72083</v>
      </c>
      <c r="B4359" s="5" t="s">
        <v>4514</v>
      </c>
      <c r="C4359" s="17">
        <v>20230101</v>
      </c>
      <c r="D4359" s="17">
        <v>22991231</v>
      </c>
      <c r="E4359" s="25">
        <v>54.47</v>
      </c>
    </row>
    <row r="4360" spans="1:5" ht="26" x14ac:dyDescent="0.3">
      <c r="A4360" s="17" t="str">
        <f>"72084"</f>
        <v>72084</v>
      </c>
      <c r="B4360" s="5" t="s">
        <v>4515</v>
      </c>
      <c r="C4360" s="17">
        <v>20230101</v>
      </c>
      <c r="D4360" s="17">
        <v>22991231</v>
      </c>
      <c r="E4360" s="25">
        <v>54.47</v>
      </c>
    </row>
    <row r="4361" spans="1:5" x14ac:dyDescent="0.3">
      <c r="A4361" s="17" t="str">
        <f>"72100"</f>
        <v>72100</v>
      </c>
      <c r="B4361" s="5" t="s">
        <v>4516</v>
      </c>
      <c r="C4361" s="17">
        <v>19900101</v>
      </c>
      <c r="D4361" s="17">
        <v>22991231</v>
      </c>
      <c r="E4361" s="25">
        <v>0</v>
      </c>
    </row>
    <row r="4362" spans="1:5" ht="26" x14ac:dyDescent="0.3">
      <c r="A4362" s="17" t="str">
        <f>"72110"</f>
        <v>72110</v>
      </c>
      <c r="B4362" s="5" t="s">
        <v>4517</v>
      </c>
      <c r="C4362" s="17">
        <v>19900101</v>
      </c>
      <c r="D4362" s="17">
        <v>22991231</v>
      </c>
      <c r="E4362" s="25">
        <v>0</v>
      </c>
    </row>
    <row r="4363" spans="1:5" ht="26" x14ac:dyDescent="0.3">
      <c r="A4363" s="17" t="str">
        <f>"72114"</f>
        <v>72114</v>
      </c>
      <c r="B4363" s="5" t="s">
        <v>4518</v>
      </c>
      <c r="C4363" s="17">
        <v>19900101</v>
      </c>
      <c r="D4363" s="17">
        <v>22991231</v>
      </c>
      <c r="E4363" s="25">
        <v>0</v>
      </c>
    </row>
    <row r="4364" spans="1:5" ht="26" x14ac:dyDescent="0.3">
      <c r="A4364" s="17" t="str">
        <f>"72120"</f>
        <v>72120</v>
      </c>
      <c r="B4364" s="5" t="s">
        <v>4519</v>
      </c>
      <c r="C4364" s="17">
        <v>19900101</v>
      </c>
      <c r="D4364" s="17">
        <v>22991231</v>
      </c>
      <c r="E4364" s="25">
        <v>0</v>
      </c>
    </row>
    <row r="4365" spans="1:5" x14ac:dyDescent="0.3">
      <c r="A4365" s="17" t="str">
        <f>"72125"</f>
        <v>72125</v>
      </c>
      <c r="B4365" s="5" t="s">
        <v>4520</v>
      </c>
      <c r="C4365" s="17">
        <v>19900101</v>
      </c>
      <c r="D4365" s="17">
        <v>22991231</v>
      </c>
      <c r="E4365" s="25">
        <v>54.47</v>
      </c>
    </row>
    <row r="4366" spans="1:5" x14ac:dyDescent="0.3">
      <c r="A4366" s="17" t="str">
        <f>"72126"</f>
        <v>72126</v>
      </c>
      <c r="B4366" s="5" t="s">
        <v>4521</v>
      </c>
      <c r="C4366" s="17">
        <v>19900101</v>
      </c>
      <c r="D4366" s="17">
        <v>22991231</v>
      </c>
      <c r="E4366" s="25">
        <v>121.66</v>
      </c>
    </row>
    <row r="4367" spans="1:5" x14ac:dyDescent="0.3">
      <c r="A4367" s="17" t="str">
        <f>"72127"</f>
        <v>72127</v>
      </c>
      <c r="B4367" s="5" t="s">
        <v>4522</v>
      </c>
      <c r="C4367" s="17">
        <v>19900101</v>
      </c>
      <c r="D4367" s="17">
        <v>22991231</v>
      </c>
      <c r="E4367" s="25">
        <v>91.04</v>
      </c>
    </row>
    <row r="4368" spans="1:5" x14ac:dyDescent="0.3">
      <c r="A4368" s="17" t="str">
        <f>"72128"</f>
        <v>72128</v>
      </c>
      <c r="B4368" s="5" t="s">
        <v>4523</v>
      </c>
      <c r="C4368" s="17">
        <v>19900101</v>
      </c>
      <c r="D4368" s="17">
        <v>22991231</v>
      </c>
      <c r="E4368" s="25">
        <v>54.47</v>
      </c>
    </row>
    <row r="4369" spans="1:5" x14ac:dyDescent="0.3">
      <c r="A4369" s="17" t="str">
        <f>"72129"</f>
        <v>72129</v>
      </c>
      <c r="B4369" s="5" t="s">
        <v>4524</v>
      </c>
      <c r="C4369" s="17">
        <v>19900101</v>
      </c>
      <c r="D4369" s="17">
        <v>22991231</v>
      </c>
      <c r="E4369" s="25">
        <v>91.04</v>
      </c>
    </row>
    <row r="4370" spans="1:5" ht="26" x14ac:dyDescent="0.3">
      <c r="A4370" s="17" t="str">
        <f>"72130"</f>
        <v>72130</v>
      </c>
      <c r="B4370" s="5" t="s">
        <v>4525</v>
      </c>
      <c r="C4370" s="17">
        <v>19900101</v>
      </c>
      <c r="D4370" s="17">
        <v>22991231</v>
      </c>
      <c r="E4370" s="25">
        <v>91.04</v>
      </c>
    </row>
    <row r="4371" spans="1:5" x14ac:dyDescent="0.3">
      <c r="A4371" s="17" t="str">
        <f>"72131"</f>
        <v>72131</v>
      </c>
      <c r="B4371" s="5" t="s">
        <v>4526</v>
      </c>
      <c r="C4371" s="17">
        <v>19900101</v>
      </c>
      <c r="D4371" s="17">
        <v>22991231</v>
      </c>
      <c r="E4371" s="25">
        <v>54.47</v>
      </c>
    </row>
    <row r="4372" spans="1:5" x14ac:dyDescent="0.3">
      <c r="A4372" s="17" t="str">
        <f>"72132"</f>
        <v>72132</v>
      </c>
      <c r="B4372" s="5" t="s">
        <v>4527</v>
      </c>
      <c r="C4372" s="17">
        <v>19900101</v>
      </c>
      <c r="D4372" s="17">
        <v>22991231</v>
      </c>
      <c r="E4372" s="25">
        <v>121.97</v>
      </c>
    </row>
    <row r="4373" spans="1:5" x14ac:dyDescent="0.3">
      <c r="A4373" s="17" t="str">
        <f>"72133"</f>
        <v>72133</v>
      </c>
      <c r="B4373" s="5" t="s">
        <v>4528</v>
      </c>
      <c r="C4373" s="17">
        <v>19900101</v>
      </c>
      <c r="D4373" s="17">
        <v>22991231</v>
      </c>
      <c r="E4373" s="25">
        <v>91.04</v>
      </c>
    </row>
    <row r="4374" spans="1:5" x14ac:dyDescent="0.3">
      <c r="A4374" s="17" t="str">
        <f>"72141"</f>
        <v>72141</v>
      </c>
      <c r="B4374" s="5" t="s">
        <v>4529</v>
      </c>
      <c r="C4374" s="17">
        <v>20151001</v>
      </c>
      <c r="D4374" s="17">
        <v>22991231</v>
      </c>
      <c r="E4374" s="25">
        <v>134.49</v>
      </c>
    </row>
    <row r="4375" spans="1:5" x14ac:dyDescent="0.3">
      <c r="A4375" s="17" t="str">
        <f>"72142"</f>
        <v>72142</v>
      </c>
      <c r="B4375" s="5" t="s">
        <v>4530</v>
      </c>
      <c r="C4375" s="17">
        <v>20151001</v>
      </c>
      <c r="D4375" s="17">
        <v>22991231</v>
      </c>
      <c r="E4375" s="25">
        <v>206.1</v>
      </c>
    </row>
    <row r="4376" spans="1:5" ht="26" x14ac:dyDescent="0.3">
      <c r="A4376" s="17" t="str">
        <f>"72146"</f>
        <v>72146</v>
      </c>
      <c r="B4376" s="5" t="s">
        <v>4531</v>
      </c>
      <c r="C4376" s="17">
        <v>20060915</v>
      </c>
      <c r="D4376" s="17">
        <v>22991231</v>
      </c>
      <c r="E4376" s="25">
        <v>134.16999999999999</v>
      </c>
    </row>
    <row r="4377" spans="1:5" x14ac:dyDescent="0.3">
      <c r="A4377" s="17" t="str">
        <f>"72147"</f>
        <v>72147</v>
      </c>
      <c r="B4377" s="5" t="s">
        <v>4532</v>
      </c>
      <c r="C4377" s="17">
        <v>20151001</v>
      </c>
      <c r="D4377" s="17">
        <v>22991231</v>
      </c>
      <c r="E4377" s="25">
        <v>203.91</v>
      </c>
    </row>
    <row r="4378" spans="1:5" x14ac:dyDescent="0.3">
      <c r="A4378" s="17" t="str">
        <f>"72148"</f>
        <v>72148</v>
      </c>
      <c r="B4378" s="5" t="s">
        <v>4533</v>
      </c>
      <c r="C4378" s="17">
        <v>20060915</v>
      </c>
      <c r="D4378" s="17">
        <v>22991231</v>
      </c>
      <c r="E4378" s="25">
        <v>135.11000000000001</v>
      </c>
    </row>
    <row r="4379" spans="1:5" x14ac:dyDescent="0.3">
      <c r="A4379" s="17" t="str">
        <f>"72149"</f>
        <v>72149</v>
      </c>
      <c r="B4379" s="5" t="s">
        <v>4534</v>
      </c>
      <c r="C4379" s="17">
        <v>20060915</v>
      </c>
      <c r="D4379" s="17">
        <v>22991231</v>
      </c>
      <c r="E4379" s="25">
        <v>201.41</v>
      </c>
    </row>
    <row r="4380" spans="1:5" ht="26" x14ac:dyDescent="0.3">
      <c r="A4380" s="17" t="str">
        <f>"72156"</f>
        <v>72156</v>
      </c>
      <c r="B4380" s="5" t="s">
        <v>4535</v>
      </c>
      <c r="C4380" s="17">
        <v>20060915</v>
      </c>
      <c r="D4380" s="17">
        <v>22991231</v>
      </c>
      <c r="E4380" s="25">
        <v>190.54</v>
      </c>
    </row>
    <row r="4381" spans="1:5" ht="26" x14ac:dyDescent="0.3">
      <c r="A4381" s="17" t="str">
        <f>"72157"</f>
        <v>72157</v>
      </c>
      <c r="B4381" s="5" t="s">
        <v>4536</v>
      </c>
      <c r="C4381" s="17">
        <v>20151001</v>
      </c>
      <c r="D4381" s="17">
        <v>22991231</v>
      </c>
      <c r="E4381" s="25">
        <v>190.54</v>
      </c>
    </row>
    <row r="4382" spans="1:5" ht="26" x14ac:dyDescent="0.3">
      <c r="A4382" s="17" t="str">
        <f>"72158"</f>
        <v>72158</v>
      </c>
      <c r="B4382" s="5" t="s">
        <v>4537</v>
      </c>
      <c r="C4382" s="17">
        <v>20151001</v>
      </c>
      <c r="D4382" s="17">
        <v>22991231</v>
      </c>
      <c r="E4382" s="25">
        <v>190.54</v>
      </c>
    </row>
    <row r="4383" spans="1:5" x14ac:dyDescent="0.3">
      <c r="A4383" s="17" t="str">
        <f>"72159"</f>
        <v>72159</v>
      </c>
      <c r="B4383" s="5" t="s">
        <v>4538</v>
      </c>
      <c r="C4383" s="17">
        <v>20060915</v>
      </c>
      <c r="D4383" s="17">
        <v>22991231</v>
      </c>
      <c r="E4383" s="24" t="s">
        <v>7128</v>
      </c>
    </row>
    <row r="4384" spans="1:5" x14ac:dyDescent="0.3">
      <c r="A4384" s="17" t="str">
        <f>"72170"</f>
        <v>72170</v>
      </c>
      <c r="B4384" s="5" t="s">
        <v>4539</v>
      </c>
      <c r="C4384" s="17">
        <v>19900101</v>
      </c>
      <c r="D4384" s="17">
        <v>22991231</v>
      </c>
      <c r="E4384" s="25">
        <v>0</v>
      </c>
    </row>
    <row r="4385" spans="1:5" x14ac:dyDescent="0.3">
      <c r="A4385" s="17" t="str">
        <f>"72190"</f>
        <v>72190</v>
      </c>
      <c r="B4385" s="5" t="s">
        <v>4540</v>
      </c>
      <c r="C4385" s="17">
        <v>19900101</v>
      </c>
      <c r="D4385" s="17">
        <v>22991231</v>
      </c>
      <c r="E4385" s="25">
        <v>0</v>
      </c>
    </row>
    <row r="4386" spans="1:5" x14ac:dyDescent="0.3">
      <c r="A4386" s="17" t="str">
        <f>"72191"</f>
        <v>72191</v>
      </c>
      <c r="B4386" s="5" t="s">
        <v>4541</v>
      </c>
      <c r="C4386" s="17">
        <v>20230101</v>
      </c>
      <c r="D4386" s="17">
        <v>22991231</v>
      </c>
      <c r="E4386" s="25">
        <v>91.04</v>
      </c>
    </row>
    <row r="4387" spans="1:5" x14ac:dyDescent="0.3">
      <c r="A4387" s="17" t="str">
        <f>"72192"</f>
        <v>72192</v>
      </c>
      <c r="B4387" s="5" t="s">
        <v>4542</v>
      </c>
      <c r="C4387" s="17">
        <v>19900101</v>
      </c>
      <c r="D4387" s="17">
        <v>22991231</v>
      </c>
      <c r="E4387" s="25">
        <v>54.47</v>
      </c>
    </row>
    <row r="4388" spans="1:5" x14ac:dyDescent="0.3">
      <c r="A4388" s="17" t="str">
        <f>"72193"</f>
        <v>72193</v>
      </c>
      <c r="B4388" s="5" t="s">
        <v>4543</v>
      </c>
      <c r="C4388" s="17">
        <v>19900101</v>
      </c>
      <c r="D4388" s="17">
        <v>22991231</v>
      </c>
      <c r="E4388" s="25">
        <v>91.04</v>
      </c>
    </row>
    <row r="4389" spans="1:5" x14ac:dyDescent="0.3">
      <c r="A4389" s="17" t="str">
        <f>"72194"</f>
        <v>72194</v>
      </c>
      <c r="B4389" s="5" t="s">
        <v>4544</v>
      </c>
      <c r="C4389" s="17">
        <v>19900101</v>
      </c>
      <c r="D4389" s="17">
        <v>22991231</v>
      </c>
      <c r="E4389" s="25">
        <v>91.04</v>
      </c>
    </row>
    <row r="4390" spans="1:5" x14ac:dyDescent="0.3">
      <c r="A4390" s="17" t="str">
        <f>"72195"</f>
        <v>72195</v>
      </c>
      <c r="B4390" s="5" t="s">
        <v>4545</v>
      </c>
      <c r="C4390" s="17">
        <v>20230101</v>
      </c>
      <c r="D4390" s="17">
        <v>22991231</v>
      </c>
      <c r="E4390" s="25">
        <v>121.41</v>
      </c>
    </row>
    <row r="4391" spans="1:5" x14ac:dyDescent="0.3">
      <c r="A4391" s="17" t="str">
        <f>"72196"</f>
        <v>72196</v>
      </c>
      <c r="B4391" s="5" t="s">
        <v>4546</v>
      </c>
      <c r="C4391" s="17">
        <v>20151001</v>
      </c>
      <c r="D4391" s="17">
        <v>22991231</v>
      </c>
      <c r="E4391" s="25">
        <v>201.11</v>
      </c>
    </row>
    <row r="4392" spans="1:5" x14ac:dyDescent="0.3">
      <c r="A4392" s="17" t="str">
        <f>"72197"</f>
        <v>72197</v>
      </c>
      <c r="B4392" s="5" t="s">
        <v>4547</v>
      </c>
      <c r="C4392" s="17">
        <v>20151001</v>
      </c>
      <c r="D4392" s="17">
        <v>22991231</v>
      </c>
      <c r="E4392" s="25">
        <v>190.54</v>
      </c>
    </row>
    <row r="4393" spans="1:5" x14ac:dyDescent="0.3">
      <c r="A4393" s="17" t="str">
        <f>"72198"</f>
        <v>72198</v>
      </c>
      <c r="B4393" s="5" t="s">
        <v>4548</v>
      </c>
      <c r="C4393" s="17">
        <v>20151001</v>
      </c>
      <c r="D4393" s="17">
        <v>22991231</v>
      </c>
      <c r="E4393" s="24" t="s">
        <v>7128</v>
      </c>
    </row>
    <row r="4394" spans="1:5" ht="26" x14ac:dyDescent="0.3">
      <c r="A4394" s="17" t="str">
        <f>"72200"</f>
        <v>72200</v>
      </c>
      <c r="B4394" s="5" t="s">
        <v>4549</v>
      </c>
      <c r="C4394" s="17">
        <v>19900101</v>
      </c>
      <c r="D4394" s="17">
        <v>22991231</v>
      </c>
      <c r="E4394" s="25">
        <v>0</v>
      </c>
    </row>
    <row r="4395" spans="1:5" ht="26" x14ac:dyDescent="0.3">
      <c r="A4395" s="17" t="str">
        <f>"72202"</f>
        <v>72202</v>
      </c>
      <c r="B4395" s="5" t="s">
        <v>4550</v>
      </c>
      <c r="C4395" s="17">
        <v>19900101</v>
      </c>
      <c r="D4395" s="17">
        <v>22991231</v>
      </c>
      <c r="E4395" s="25">
        <v>0</v>
      </c>
    </row>
    <row r="4396" spans="1:5" ht="26" x14ac:dyDescent="0.3">
      <c r="A4396" s="17" t="str">
        <f>"72220"</f>
        <v>72220</v>
      </c>
      <c r="B4396" s="5" t="s">
        <v>4551</v>
      </c>
      <c r="C4396" s="17">
        <v>19900101</v>
      </c>
      <c r="D4396" s="17">
        <v>22991231</v>
      </c>
      <c r="E4396" s="25">
        <v>0</v>
      </c>
    </row>
    <row r="4397" spans="1:5" ht="26" x14ac:dyDescent="0.3">
      <c r="A4397" s="17" t="str">
        <f>"72240"</f>
        <v>72240</v>
      </c>
      <c r="B4397" s="5" t="s">
        <v>4552</v>
      </c>
      <c r="C4397" s="17">
        <v>19900101</v>
      </c>
      <c r="D4397" s="17">
        <v>22991231</v>
      </c>
      <c r="E4397" s="25">
        <v>0</v>
      </c>
    </row>
    <row r="4398" spans="1:5" ht="26" x14ac:dyDescent="0.3">
      <c r="A4398" s="17" t="str">
        <f>"72255"</f>
        <v>72255</v>
      </c>
      <c r="B4398" s="5" t="s">
        <v>4553</v>
      </c>
      <c r="C4398" s="17">
        <v>19900101</v>
      </c>
      <c r="D4398" s="17">
        <v>22991231</v>
      </c>
      <c r="E4398" s="25">
        <v>0</v>
      </c>
    </row>
    <row r="4399" spans="1:5" ht="26" x14ac:dyDescent="0.3">
      <c r="A4399" s="17" t="str">
        <f>"72265"</f>
        <v>72265</v>
      </c>
      <c r="B4399" s="5" t="s">
        <v>4554</v>
      </c>
      <c r="C4399" s="17">
        <v>19900101</v>
      </c>
      <c r="D4399" s="17">
        <v>22991231</v>
      </c>
      <c r="E4399" s="25">
        <v>0</v>
      </c>
    </row>
    <row r="4400" spans="1:5" ht="26" x14ac:dyDescent="0.3">
      <c r="A4400" s="17" t="str">
        <f>"72270"</f>
        <v>72270</v>
      </c>
      <c r="B4400" s="5" t="s">
        <v>4555</v>
      </c>
      <c r="C4400" s="17">
        <v>19900101</v>
      </c>
      <c r="D4400" s="17">
        <v>22991231</v>
      </c>
      <c r="E4400" s="25">
        <v>0</v>
      </c>
    </row>
    <row r="4401" spans="1:5" ht="26" x14ac:dyDescent="0.3">
      <c r="A4401" s="17" t="str">
        <f>"72285"</f>
        <v>72285</v>
      </c>
      <c r="B4401" s="5" t="s">
        <v>4556</v>
      </c>
      <c r="C4401" s="17">
        <v>19900101</v>
      </c>
      <c r="D4401" s="17">
        <v>22991231</v>
      </c>
      <c r="E4401" s="25">
        <v>0</v>
      </c>
    </row>
    <row r="4402" spans="1:5" ht="26" x14ac:dyDescent="0.3">
      <c r="A4402" s="17" t="str">
        <f>"72295"</f>
        <v>72295</v>
      </c>
      <c r="B4402" s="5" t="s">
        <v>4557</v>
      </c>
      <c r="C4402" s="17">
        <v>19900101</v>
      </c>
      <c r="D4402" s="17">
        <v>22991231</v>
      </c>
      <c r="E4402" s="25">
        <v>0</v>
      </c>
    </row>
    <row r="4403" spans="1:5" x14ac:dyDescent="0.3">
      <c r="A4403" s="17" t="str">
        <f>"73000"</f>
        <v>73000</v>
      </c>
      <c r="B4403" s="5" t="s">
        <v>4558</v>
      </c>
      <c r="C4403" s="17">
        <v>19900101</v>
      </c>
      <c r="D4403" s="17">
        <v>22991231</v>
      </c>
      <c r="E4403" s="25">
        <v>0</v>
      </c>
    </row>
    <row r="4404" spans="1:5" x14ac:dyDescent="0.3">
      <c r="A4404" s="17" t="str">
        <f>"73010"</f>
        <v>73010</v>
      </c>
      <c r="B4404" s="5" t="s">
        <v>4559</v>
      </c>
      <c r="C4404" s="17">
        <v>19900101</v>
      </c>
      <c r="D4404" s="17">
        <v>22991231</v>
      </c>
      <c r="E4404" s="25">
        <v>0</v>
      </c>
    </row>
    <row r="4405" spans="1:5" x14ac:dyDescent="0.3">
      <c r="A4405" s="17" t="str">
        <f>"73020"</f>
        <v>73020</v>
      </c>
      <c r="B4405" s="5" t="s">
        <v>4560</v>
      </c>
      <c r="C4405" s="17">
        <v>19900101</v>
      </c>
      <c r="D4405" s="17">
        <v>22991231</v>
      </c>
      <c r="E4405" s="25">
        <v>0</v>
      </c>
    </row>
    <row r="4406" spans="1:5" x14ac:dyDescent="0.3">
      <c r="A4406" s="17" t="str">
        <f>"73030"</f>
        <v>73030</v>
      </c>
      <c r="B4406" s="5" t="s">
        <v>4561</v>
      </c>
      <c r="C4406" s="17">
        <v>19900101</v>
      </c>
      <c r="D4406" s="17">
        <v>22991231</v>
      </c>
      <c r="E4406" s="25">
        <v>0</v>
      </c>
    </row>
    <row r="4407" spans="1:5" x14ac:dyDescent="0.3">
      <c r="A4407" s="17" t="str">
        <f>"73040"</f>
        <v>73040</v>
      </c>
      <c r="B4407" s="5" t="s">
        <v>4562</v>
      </c>
      <c r="C4407" s="17">
        <v>19900101</v>
      </c>
      <c r="D4407" s="17">
        <v>22991231</v>
      </c>
      <c r="E4407" s="25">
        <v>0</v>
      </c>
    </row>
    <row r="4408" spans="1:5" x14ac:dyDescent="0.3">
      <c r="A4408" s="17" t="str">
        <f>"73050"</f>
        <v>73050</v>
      </c>
      <c r="B4408" s="5" t="s">
        <v>4563</v>
      </c>
      <c r="C4408" s="17">
        <v>19900101</v>
      </c>
      <c r="D4408" s="17">
        <v>22991231</v>
      </c>
      <c r="E4408" s="25">
        <v>0</v>
      </c>
    </row>
    <row r="4409" spans="1:5" x14ac:dyDescent="0.3">
      <c r="A4409" s="17" t="str">
        <f>"73060"</f>
        <v>73060</v>
      </c>
      <c r="B4409" s="5" t="s">
        <v>4564</v>
      </c>
      <c r="C4409" s="17">
        <v>19900101</v>
      </c>
      <c r="D4409" s="17">
        <v>22991231</v>
      </c>
      <c r="E4409" s="25">
        <v>0</v>
      </c>
    </row>
    <row r="4410" spans="1:5" x14ac:dyDescent="0.3">
      <c r="A4410" s="17" t="str">
        <f>"73070"</f>
        <v>73070</v>
      </c>
      <c r="B4410" s="5" t="s">
        <v>4565</v>
      </c>
      <c r="C4410" s="17">
        <v>19900101</v>
      </c>
      <c r="D4410" s="17">
        <v>22991231</v>
      </c>
      <c r="E4410" s="25">
        <v>0</v>
      </c>
    </row>
    <row r="4411" spans="1:5" x14ac:dyDescent="0.3">
      <c r="A4411" s="17" t="str">
        <f>"73080"</f>
        <v>73080</v>
      </c>
      <c r="B4411" s="5" t="s">
        <v>4566</v>
      </c>
      <c r="C4411" s="17">
        <v>19900101</v>
      </c>
      <c r="D4411" s="17">
        <v>22991231</v>
      </c>
      <c r="E4411" s="25">
        <v>0</v>
      </c>
    </row>
    <row r="4412" spans="1:5" x14ac:dyDescent="0.3">
      <c r="A4412" s="17" t="str">
        <f>"73085"</f>
        <v>73085</v>
      </c>
      <c r="B4412" s="5" t="s">
        <v>4567</v>
      </c>
      <c r="C4412" s="17">
        <v>19900101</v>
      </c>
      <c r="D4412" s="17">
        <v>22991231</v>
      </c>
      <c r="E4412" s="25">
        <v>0</v>
      </c>
    </row>
    <row r="4413" spans="1:5" x14ac:dyDescent="0.3">
      <c r="A4413" s="17" t="str">
        <f>"73090"</f>
        <v>73090</v>
      </c>
      <c r="B4413" s="5" t="s">
        <v>4568</v>
      </c>
      <c r="C4413" s="17">
        <v>19900101</v>
      </c>
      <c r="D4413" s="17">
        <v>22991231</v>
      </c>
      <c r="E4413" s="25">
        <v>0</v>
      </c>
    </row>
    <row r="4414" spans="1:5" x14ac:dyDescent="0.3">
      <c r="A4414" s="17" t="str">
        <f>"73092"</f>
        <v>73092</v>
      </c>
      <c r="B4414" s="5" t="s">
        <v>4569</v>
      </c>
      <c r="C4414" s="17">
        <v>19900101</v>
      </c>
      <c r="D4414" s="17">
        <v>22991231</v>
      </c>
      <c r="E4414" s="25">
        <v>0</v>
      </c>
    </row>
    <row r="4415" spans="1:5" x14ac:dyDescent="0.3">
      <c r="A4415" s="17" t="str">
        <f>"73100"</f>
        <v>73100</v>
      </c>
      <c r="B4415" s="5" t="s">
        <v>4570</v>
      </c>
      <c r="C4415" s="17">
        <v>20020101</v>
      </c>
      <c r="D4415" s="17">
        <v>22991231</v>
      </c>
      <c r="E4415" s="25">
        <v>0</v>
      </c>
    </row>
    <row r="4416" spans="1:5" x14ac:dyDescent="0.3">
      <c r="A4416" s="17" t="str">
        <f>"73110"</f>
        <v>73110</v>
      </c>
      <c r="B4416" s="5" t="s">
        <v>4571</v>
      </c>
      <c r="C4416" s="17">
        <v>19900101</v>
      </c>
      <c r="D4416" s="17">
        <v>22991231</v>
      </c>
      <c r="E4416" s="25">
        <v>0</v>
      </c>
    </row>
    <row r="4417" spans="1:5" x14ac:dyDescent="0.3">
      <c r="A4417" s="17" t="str">
        <f>"73115"</f>
        <v>73115</v>
      </c>
      <c r="B4417" s="5" t="s">
        <v>4572</v>
      </c>
      <c r="C4417" s="17">
        <v>19900101</v>
      </c>
      <c r="D4417" s="17">
        <v>22991231</v>
      </c>
      <c r="E4417" s="25">
        <v>0</v>
      </c>
    </row>
    <row r="4418" spans="1:5" x14ac:dyDescent="0.3">
      <c r="A4418" s="17" t="str">
        <f>"73120"</f>
        <v>73120</v>
      </c>
      <c r="B4418" s="5" t="s">
        <v>4573</v>
      </c>
      <c r="C4418" s="17">
        <v>19900101</v>
      </c>
      <c r="D4418" s="17">
        <v>22991231</v>
      </c>
      <c r="E4418" s="25">
        <v>0</v>
      </c>
    </row>
    <row r="4419" spans="1:5" x14ac:dyDescent="0.3">
      <c r="A4419" s="17" t="str">
        <f>"73130"</f>
        <v>73130</v>
      </c>
      <c r="B4419" s="5" t="s">
        <v>4574</v>
      </c>
      <c r="C4419" s="17">
        <v>19900101</v>
      </c>
      <c r="D4419" s="17">
        <v>22991231</v>
      </c>
      <c r="E4419" s="25">
        <v>0</v>
      </c>
    </row>
    <row r="4420" spans="1:5" x14ac:dyDescent="0.3">
      <c r="A4420" s="17" t="str">
        <f>"73140"</f>
        <v>73140</v>
      </c>
      <c r="B4420" s="5" t="s">
        <v>4575</v>
      </c>
      <c r="C4420" s="17">
        <v>19900101</v>
      </c>
      <c r="D4420" s="17">
        <v>22991231</v>
      </c>
      <c r="E4420" s="25">
        <v>0</v>
      </c>
    </row>
    <row r="4421" spans="1:5" x14ac:dyDescent="0.3">
      <c r="A4421" s="17" t="str">
        <f>"73200"</f>
        <v>73200</v>
      </c>
      <c r="B4421" s="5" t="s">
        <v>4576</v>
      </c>
      <c r="C4421" s="17">
        <v>19900101</v>
      </c>
      <c r="D4421" s="17">
        <v>22991231</v>
      </c>
      <c r="E4421" s="25">
        <v>54.47</v>
      </c>
    </row>
    <row r="4422" spans="1:5" x14ac:dyDescent="0.3">
      <c r="A4422" s="17" t="str">
        <f>"73201"</f>
        <v>73201</v>
      </c>
      <c r="B4422" s="5" t="s">
        <v>4577</v>
      </c>
      <c r="C4422" s="17">
        <v>19900101</v>
      </c>
      <c r="D4422" s="17">
        <v>22991231</v>
      </c>
      <c r="E4422" s="25">
        <v>154.51</v>
      </c>
    </row>
    <row r="4423" spans="1:5" x14ac:dyDescent="0.3">
      <c r="A4423" s="17" t="str">
        <f>"73202"</f>
        <v>73202</v>
      </c>
      <c r="B4423" s="5" t="s">
        <v>4578</v>
      </c>
      <c r="C4423" s="17">
        <v>19900101</v>
      </c>
      <c r="D4423" s="17">
        <v>22991231</v>
      </c>
      <c r="E4423" s="25">
        <v>91.04</v>
      </c>
    </row>
    <row r="4424" spans="1:5" x14ac:dyDescent="0.3">
      <c r="A4424" s="17" t="str">
        <f>"73206"</f>
        <v>73206</v>
      </c>
      <c r="B4424" s="5" t="s">
        <v>4579</v>
      </c>
      <c r="C4424" s="17">
        <v>20230101</v>
      </c>
      <c r="D4424" s="17">
        <v>22991231</v>
      </c>
      <c r="E4424" s="25">
        <v>91.04</v>
      </c>
    </row>
    <row r="4425" spans="1:5" x14ac:dyDescent="0.3">
      <c r="A4425" s="17" t="str">
        <f>"73218"</f>
        <v>73218</v>
      </c>
      <c r="B4425" s="5" t="s">
        <v>4580</v>
      </c>
      <c r="C4425" s="17">
        <v>20230101</v>
      </c>
      <c r="D4425" s="17">
        <v>22991231</v>
      </c>
      <c r="E4425" s="25">
        <v>121.41</v>
      </c>
    </row>
    <row r="4426" spans="1:5" x14ac:dyDescent="0.3">
      <c r="A4426" s="17" t="str">
        <f>"73219"</f>
        <v>73219</v>
      </c>
      <c r="B4426" s="5" t="s">
        <v>4581</v>
      </c>
      <c r="C4426" s="17">
        <v>20230101</v>
      </c>
      <c r="D4426" s="17">
        <v>22991231</v>
      </c>
      <c r="E4426" s="25">
        <v>190.54</v>
      </c>
    </row>
    <row r="4427" spans="1:5" x14ac:dyDescent="0.3">
      <c r="A4427" s="17" t="str">
        <f>"73220"</f>
        <v>73220</v>
      </c>
      <c r="B4427" s="5" t="s">
        <v>4582</v>
      </c>
      <c r="C4427" s="17">
        <v>20060915</v>
      </c>
      <c r="D4427" s="17">
        <v>22991231</v>
      </c>
      <c r="E4427" s="25">
        <v>190.54</v>
      </c>
    </row>
    <row r="4428" spans="1:5" x14ac:dyDescent="0.3">
      <c r="A4428" s="17" t="str">
        <f>"73221"</f>
        <v>73221</v>
      </c>
      <c r="B4428" s="5" t="s">
        <v>4583</v>
      </c>
      <c r="C4428" s="17">
        <v>20151001</v>
      </c>
      <c r="D4428" s="17">
        <v>22991231</v>
      </c>
      <c r="E4428" s="25">
        <v>121.41</v>
      </c>
    </row>
    <row r="4429" spans="1:5" x14ac:dyDescent="0.3">
      <c r="A4429" s="17" t="str">
        <f>"73222"</f>
        <v>73222</v>
      </c>
      <c r="B4429" s="5" t="s">
        <v>4584</v>
      </c>
      <c r="C4429" s="17">
        <v>20230101</v>
      </c>
      <c r="D4429" s="17">
        <v>22991231</v>
      </c>
      <c r="E4429" s="25">
        <v>248.33</v>
      </c>
    </row>
    <row r="4430" spans="1:5" x14ac:dyDescent="0.3">
      <c r="A4430" s="17" t="str">
        <f>"73223"</f>
        <v>73223</v>
      </c>
      <c r="B4430" s="5" t="s">
        <v>4585</v>
      </c>
      <c r="C4430" s="17">
        <v>20230101</v>
      </c>
      <c r="D4430" s="17">
        <v>22991231</v>
      </c>
      <c r="E4430" s="25">
        <v>190.54</v>
      </c>
    </row>
    <row r="4431" spans="1:5" x14ac:dyDescent="0.3">
      <c r="A4431" s="17" t="str">
        <f>"73225"</f>
        <v>73225</v>
      </c>
      <c r="B4431" s="5" t="s">
        <v>4586</v>
      </c>
      <c r="C4431" s="17">
        <v>20151001</v>
      </c>
      <c r="D4431" s="17">
        <v>22991231</v>
      </c>
      <c r="E4431" s="24" t="s">
        <v>7128</v>
      </c>
    </row>
    <row r="4432" spans="1:5" x14ac:dyDescent="0.3">
      <c r="A4432" s="17" t="str">
        <f>"73501"</f>
        <v>73501</v>
      </c>
      <c r="B4432" s="5" t="s">
        <v>4587</v>
      </c>
      <c r="C4432" s="17">
        <v>20230101</v>
      </c>
      <c r="D4432" s="17">
        <v>22991231</v>
      </c>
      <c r="E4432" s="25">
        <v>0</v>
      </c>
    </row>
    <row r="4433" spans="1:5" x14ac:dyDescent="0.3">
      <c r="A4433" s="17" t="str">
        <f>"73502"</f>
        <v>73502</v>
      </c>
      <c r="B4433" s="5" t="s">
        <v>4588</v>
      </c>
      <c r="C4433" s="17">
        <v>20230101</v>
      </c>
      <c r="D4433" s="17">
        <v>22991231</v>
      </c>
      <c r="E4433" s="25">
        <v>0</v>
      </c>
    </row>
    <row r="4434" spans="1:5" x14ac:dyDescent="0.3">
      <c r="A4434" s="17" t="str">
        <f>"73503"</f>
        <v>73503</v>
      </c>
      <c r="B4434" s="5" t="s">
        <v>4589</v>
      </c>
      <c r="C4434" s="17">
        <v>20230101</v>
      </c>
      <c r="D4434" s="17">
        <v>22991231</v>
      </c>
      <c r="E4434" s="25">
        <v>0</v>
      </c>
    </row>
    <row r="4435" spans="1:5" x14ac:dyDescent="0.3">
      <c r="A4435" s="17" t="str">
        <f>"73521"</f>
        <v>73521</v>
      </c>
      <c r="B4435" s="5" t="s">
        <v>4590</v>
      </c>
      <c r="C4435" s="17">
        <v>20230101</v>
      </c>
      <c r="D4435" s="17">
        <v>22991231</v>
      </c>
      <c r="E4435" s="25">
        <v>0</v>
      </c>
    </row>
    <row r="4436" spans="1:5" x14ac:dyDescent="0.3">
      <c r="A4436" s="17" t="str">
        <f>"73522"</f>
        <v>73522</v>
      </c>
      <c r="B4436" s="5" t="s">
        <v>4591</v>
      </c>
      <c r="C4436" s="17">
        <v>20230101</v>
      </c>
      <c r="D4436" s="17">
        <v>22991231</v>
      </c>
      <c r="E4436" s="25">
        <v>0</v>
      </c>
    </row>
    <row r="4437" spans="1:5" x14ac:dyDescent="0.3">
      <c r="A4437" s="17" t="str">
        <f>"73523"</f>
        <v>73523</v>
      </c>
      <c r="B4437" s="5" t="s">
        <v>4592</v>
      </c>
      <c r="C4437" s="17">
        <v>20230101</v>
      </c>
      <c r="D4437" s="17">
        <v>22991231</v>
      </c>
      <c r="E4437" s="25">
        <v>0</v>
      </c>
    </row>
    <row r="4438" spans="1:5" x14ac:dyDescent="0.3">
      <c r="A4438" s="17" t="str">
        <f>"73525"</f>
        <v>73525</v>
      </c>
      <c r="B4438" s="5" t="s">
        <v>4593</v>
      </c>
      <c r="C4438" s="17">
        <v>19900101</v>
      </c>
      <c r="D4438" s="17">
        <v>22991231</v>
      </c>
      <c r="E4438" s="25">
        <v>0</v>
      </c>
    </row>
    <row r="4439" spans="1:5" x14ac:dyDescent="0.3">
      <c r="A4439" s="17" t="str">
        <f>"73551"</f>
        <v>73551</v>
      </c>
      <c r="B4439" s="5" t="s">
        <v>4594</v>
      </c>
      <c r="C4439" s="17">
        <v>20230101</v>
      </c>
      <c r="D4439" s="17">
        <v>22991231</v>
      </c>
      <c r="E4439" s="25">
        <v>0</v>
      </c>
    </row>
    <row r="4440" spans="1:5" x14ac:dyDescent="0.3">
      <c r="A4440" s="17" t="str">
        <f>"73552"</f>
        <v>73552</v>
      </c>
      <c r="B4440" s="5" t="s">
        <v>4595</v>
      </c>
      <c r="C4440" s="17">
        <v>20230101</v>
      </c>
      <c r="D4440" s="17">
        <v>22991231</v>
      </c>
      <c r="E4440" s="25">
        <v>0</v>
      </c>
    </row>
    <row r="4441" spans="1:5" x14ac:dyDescent="0.3">
      <c r="A4441" s="17" t="str">
        <f>"73560"</f>
        <v>73560</v>
      </c>
      <c r="B4441" s="5" t="s">
        <v>4596</v>
      </c>
      <c r="C4441" s="17">
        <v>19900101</v>
      </c>
      <c r="D4441" s="17">
        <v>22991231</v>
      </c>
      <c r="E4441" s="25">
        <v>0</v>
      </c>
    </row>
    <row r="4442" spans="1:5" x14ac:dyDescent="0.3">
      <c r="A4442" s="17" t="str">
        <f>"73562"</f>
        <v>73562</v>
      </c>
      <c r="B4442" s="5" t="s">
        <v>4597</v>
      </c>
      <c r="C4442" s="17">
        <v>19900101</v>
      </c>
      <c r="D4442" s="17">
        <v>22991231</v>
      </c>
      <c r="E4442" s="25">
        <v>0</v>
      </c>
    </row>
    <row r="4443" spans="1:5" x14ac:dyDescent="0.3">
      <c r="A4443" s="17" t="str">
        <f>"73564"</f>
        <v>73564</v>
      </c>
      <c r="B4443" s="5" t="s">
        <v>4598</v>
      </c>
      <c r="C4443" s="17">
        <v>19900101</v>
      </c>
      <c r="D4443" s="17">
        <v>22991231</v>
      </c>
      <c r="E4443" s="25">
        <v>0</v>
      </c>
    </row>
    <row r="4444" spans="1:5" x14ac:dyDescent="0.3">
      <c r="A4444" s="17" t="str">
        <f>"73565"</f>
        <v>73565</v>
      </c>
      <c r="B4444" s="5" t="s">
        <v>4599</v>
      </c>
      <c r="C4444" s="17">
        <v>19910401</v>
      </c>
      <c r="D4444" s="17">
        <v>22991231</v>
      </c>
      <c r="E4444" s="25">
        <v>0</v>
      </c>
    </row>
    <row r="4445" spans="1:5" x14ac:dyDescent="0.3">
      <c r="A4445" s="17" t="str">
        <f>"73580"</f>
        <v>73580</v>
      </c>
      <c r="B4445" s="5" t="s">
        <v>4600</v>
      </c>
      <c r="C4445" s="17">
        <v>19900101</v>
      </c>
      <c r="D4445" s="17">
        <v>22991231</v>
      </c>
      <c r="E4445" s="25">
        <v>0</v>
      </c>
    </row>
    <row r="4446" spans="1:5" x14ac:dyDescent="0.3">
      <c r="A4446" s="17" t="str">
        <f>"73590"</f>
        <v>73590</v>
      </c>
      <c r="B4446" s="5" t="s">
        <v>4601</v>
      </c>
      <c r="C4446" s="17">
        <v>19900101</v>
      </c>
      <c r="D4446" s="17">
        <v>22991231</v>
      </c>
      <c r="E4446" s="25">
        <v>0</v>
      </c>
    </row>
    <row r="4447" spans="1:5" x14ac:dyDescent="0.3">
      <c r="A4447" s="17" t="str">
        <f>"73592"</f>
        <v>73592</v>
      </c>
      <c r="B4447" s="5" t="s">
        <v>4602</v>
      </c>
      <c r="C4447" s="17">
        <v>19900101</v>
      </c>
      <c r="D4447" s="17">
        <v>22991231</v>
      </c>
      <c r="E4447" s="25">
        <v>0</v>
      </c>
    </row>
    <row r="4448" spans="1:5" x14ac:dyDescent="0.3">
      <c r="A4448" s="17" t="str">
        <f>"73600"</f>
        <v>73600</v>
      </c>
      <c r="B4448" s="5" t="s">
        <v>4603</v>
      </c>
      <c r="C4448" s="17">
        <v>19900101</v>
      </c>
      <c r="D4448" s="17">
        <v>22991231</v>
      </c>
      <c r="E4448" s="25">
        <v>0</v>
      </c>
    </row>
    <row r="4449" spans="1:5" x14ac:dyDescent="0.3">
      <c r="A4449" s="17" t="str">
        <f>"73610"</f>
        <v>73610</v>
      </c>
      <c r="B4449" s="5" t="s">
        <v>4604</v>
      </c>
      <c r="C4449" s="17">
        <v>19900101</v>
      </c>
      <c r="D4449" s="17">
        <v>22991231</v>
      </c>
      <c r="E4449" s="25">
        <v>0</v>
      </c>
    </row>
    <row r="4450" spans="1:5" x14ac:dyDescent="0.3">
      <c r="A4450" s="17" t="str">
        <f>"73615"</f>
        <v>73615</v>
      </c>
      <c r="B4450" s="5" t="s">
        <v>4605</v>
      </c>
      <c r="C4450" s="17">
        <v>19900101</v>
      </c>
      <c r="D4450" s="17">
        <v>22991231</v>
      </c>
      <c r="E4450" s="25">
        <v>0</v>
      </c>
    </row>
    <row r="4451" spans="1:5" x14ac:dyDescent="0.3">
      <c r="A4451" s="17" t="str">
        <f>"73620"</f>
        <v>73620</v>
      </c>
      <c r="B4451" s="5" t="s">
        <v>4606</v>
      </c>
      <c r="C4451" s="17">
        <v>20020101</v>
      </c>
      <c r="D4451" s="17">
        <v>22991231</v>
      </c>
      <c r="E4451" s="25">
        <v>0</v>
      </c>
    </row>
    <row r="4452" spans="1:5" x14ac:dyDescent="0.3">
      <c r="A4452" s="17" t="str">
        <f>"73630"</f>
        <v>73630</v>
      </c>
      <c r="B4452" s="5" t="s">
        <v>4607</v>
      </c>
      <c r="C4452" s="17">
        <v>19900101</v>
      </c>
      <c r="D4452" s="17">
        <v>22991231</v>
      </c>
      <c r="E4452" s="25">
        <v>0</v>
      </c>
    </row>
    <row r="4453" spans="1:5" x14ac:dyDescent="0.3">
      <c r="A4453" s="17" t="str">
        <f>"73650"</f>
        <v>73650</v>
      </c>
      <c r="B4453" s="5" t="s">
        <v>4608</v>
      </c>
      <c r="C4453" s="17">
        <v>19900101</v>
      </c>
      <c r="D4453" s="17">
        <v>22991231</v>
      </c>
      <c r="E4453" s="25">
        <v>0</v>
      </c>
    </row>
    <row r="4454" spans="1:5" x14ac:dyDescent="0.3">
      <c r="A4454" s="17" t="str">
        <f>"73660"</f>
        <v>73660</v>
      </c>
      <c r="B4454" s="5" t="s">
        <v>4609</v>
      </c>
      <c r="C4454" s="17">
        <v>19900101</v>
      </c>
      <c r="D4454" s="17">
        <v>22991231</v>
      </c>
      <c r="E4454" s="25">
        <v>0</v>
      </c>
    </row>
    <row r="4455" spans="1:5" x14ac:dyDescent="0.3">
      <c r="A4455" s="17" t="str">
        <f>"73700"</f>
        <v>73700</v>
      </c>
      <c r="B4455" s="5" t="s">
        <v>4610</v>
      </c>
      <c r="C4455" s="17">
        <v>19900101</v>
      </c>
      <c r="D4455" s="17">
        <v>22991231</v>
      </c>
      <c r="E4455" s="25">
        <v>54.47</v>
      </c>
    </row>
    <row r="4456" spans="1:5" x14ac:dyDescent="0.3">
      <c r="A4456" s="17" t="str">
        <f>"73701"</f>
        <v>73701</v>
      </c>
      <c r="B4456" s="5" t="s">
        <v>4611</v>
      </c>
      <c r="C4456" s="17">
        <v>19900101</v>
      </c>
      <c r="D4456" s="17">
        <v>22991231</v>
      </c>
      <c r="E4456" s="25">
        <v>91.04</v>
      </c>
    </row>
    <row r="4457" spans="1:5" x14ac:dyDescent="0.3">
      <c r="A4457" s="17" t="str">
        <f>"73702"</f>
        <v>73702</v>
      </c>
      <c r="B4457" s="5" t="s">
        <v>4612</v>
      </c>
      <c r="C4457" s="17">
        <v>19900101</v>
      </c>
      <c r="D4457" s="17">
        <v>22991231</v>
      </c>
      <c r="E4457" s="25">
        <v>91.04</v>
      </c>
    </row>
    <row r="4458" spans="1:5" ht="26" x14ac:dyDescent="0.3">
      <c r="A4458" s="17" t="str">
        <f>"73706"</f>
        <v>73706</v>
      </c>
      <c r="B4458" s="5" t="s">
        <v>4613</v>
      </c>
      <c r="C4458" s="17">
        <v>20230101</v>
      </c>
      <c r="D4458" s="17">
        <v>22991231</v>
      </c>
      <c r="E4458" s="25">
        <v>91.04</v>
      </c>
    </row>
    <row r="4459" spans="1:5" x14ac:dyDescent="0.3">
      <c r="A4459" s="17" t="str">
        <f>"73718"</f>
        <v>73718</v>
      </c>
      <c r="B4459" s="5" t="s">
        <v>4614</v>
      </c>
      <c r="C4459" s="17">
        <v>20230101</v>
      </c>
      <c r="D4459" s="17">
        <v>22991231</v>
      </c>
      <c r="E4459" s="25">
        <v>121.41</v>
      </c>
    </row>
    <row r="4460" spans="1:5" x14ac:dyDescent="0.3">
      <c r="A4460" s="17" t="str">
        <f>"73719"</f>
        <v>73719</v>
      </c>
      <c r="B4460" s="5" t="s">
        <v>4615</v>
      </c>
      <c r="C4460" s="17">
        <v>20230101</v>
      </c>
      <c r="D4460" s="17">
        <v>22991231</v>
      </c>
      <c r="E4460" s="25">
        <v>199.86</v>
      </c>
    </row>
    <row r="4461" spans="1:5" x14ac:dyDescent="0.3">
      <c r="A4461" s="17" t="str">
        <f>"73720"</f>
        <v>73720</v>
      </c>
      <c r="B4461" s="5" t="s">
        <v>4616</v>
      </c>
      <c r="C4461" s="17">
        <v>20151001</v>
      </c>
      <c r="D4461" s="17">
        <v>22991231</v>
      </c>
      <c r="E4461" s="25">
        <v>190.54</v>
      </c>
    </row>
    <row r="4462" spans="1:5" x14ac:dyDescent="0.3">
      <c r="A4462" s="17" t="str">
        <f>"73721"</f>
        <v>73721</v>
      </c>
      <c r="B4462" s="5" t="s">
        <v>4617</v>
      </c>
      <c r="C4462" s="17">
        <v>20060915</v>
      </c>
      <c r="D4462" s="17">
        <v>22991231</v>
      </c>
      <c r="E4462" s="25">
        <v>121.41</v>
      </c>
    </row>
    <row r="4463" spans="1:5" x14ac:dyDescent="0.3">
      <c r="A4463" s="17" t="str">
        <f>"73722"</f>
        <v>73722</v>
      </c>
      <c r="B4463" s="5" t="s">
        <v>4618</v>
      </c>
      <c r="C4463" s="17">
        <v>20230101</v>
      </c>
      <c r="D4463" s="17">
        <v>22991231</v>
      </c>
      <c r="E4463" s="25">
        <v>248.64</v>
      </c>
    </row>
    <row r="4464" spans="1:5" x14ac:dyDescent="0.3">
      <c r="A4464" s="17" t="str">
        <f>"73723"</f>
        <v>73723</v>
      </c>
      <c r="B4464" s="5" t="s">
        <v>4619</v>
      </c>
      <c r="C4464" s="17">
        <v>20230101</v>
      </c>
      <c r="D4464" s="17">
        <v>22991231</v>
      </c>
      <c r="E4464" s="25">
        <v>190.54</v>
      </c>
    </row>
    <row r="4465" spans="1:5" x14ac:dyDescent="0.3">
      <c r="A4465" s="17" t="str">
        <f>"73725"</f>
        <v>73725</v>
      </c>
      <c r="B4465" s="5" t="s">
        <v>4620</v>
      </c>
      <c r="C4465" s="17">
        <v>20151001</v>
      </c>
      <c r="D4465" s="17">
        <v>22991231</v>
      </c>
      <c r="E4465" s="24" t="s">
        <v>7128</v>
      </c>
    </row>
    <row r="4466" spans="1:5" x14ac:dyDescent="0.3">
      <c r="A4466" s="17" t="str">
        <f>"74018"</f>
        <v>74018</v>
      </c>
      <c r="B4466" s="5" t="s">
        <v>4621</v>
      </c>
      <c r="C4466" s="17">
        <v>20180101</v>
      </c>
      <c r="D4466" s="17">
        <v>22991231</v>
      </c>
      <c r="E4466" s="25">
        <v>0</v>
      </c>
    </row>
    <row r="4467" spans="1:5" x14ac:dyDescent="0.3">
      <c r="A4467" s="17" t="str">
        <f>"74019"</f>
        <v>74019</v>
      </c>
      <c r="B4467" s="5" t="s">
        <v>4622</v>
      </c>
      <c r="C4467" s="17">
        <v>20180101</v>
      </c>
      <c r="D4467" s="17">
        <v>22991231</v>
      </c>
      <c r="E4467" s="25">
        <v>0</v>
      </c>
    </row>
    <row r="4468" spans="1:5" x14ac:dyDescent="0.3">
      <c r="A4468" s="17" t="str">
        <f>"74021"</f>
        <v>74021</v>
      </c>
      <c r="B4468" s="5" t="s">
        <v>4623</v>
      </c>
      <c r="C4468" s="17">
        <v>20180101</v>
      </c>
      <c r="D4468" s="17">
        <v>22991231</v>
      </c>
      <c r="E4468" s="25">
        <v>0</v>
      </c>
    </row>
    <row r="4469" spans="1:5" ht="26" x14ac:dyDescent="0.3">
      <c r="A4469" s="17" t="str">
        <f>"74022"</f>
        <v>74022</v>
      </c>
      <c r="B4469" s="5" t="s">
        <v>4624</v>
      </c>
      <c r="C4469" s="17">
        <v>19900101</v>
      </c>
      <c r="D4469" s="17">
        <v>22991231</v>
      </c>
      <c r="E4469" s="25">
        <v>0</v>
      </c>
    </row>
    <row r="4470" spans="1:5" x14ac:dyDescent="0.3">
      <c r="A4470" s="17" t="str">
        <f>"74150"</f>
        <v>74150</v>
      </c>
      <c r="B4470" s="5" t="s">
        <v>4625</v>
      </c>
      <c r="C4470" s="17">
        <v>19900101</v>
      </c>
      <c r="D4470" s="17">
        <v>22991231</v>
      </c>
      <c r="E4470" s="25">
        <v>54.47</v>
      </c>
    </row>
    <row r="4471" spans="1:5" x14ac:dyDescent="0.3">
      <c r="A4471" s="17" t="str">
        <f>"74160"</f>
        <v>74160</v>
      </c>
      <c r="B4471" s="5" t="s">
        <v>4626</v>
      </c>
      <c r="C4471" s="17">
        <v>19900101</v>
      </c>
      <c r="D4471" s="17">
        <v>22991231</v>
      </c>
      <c r="E4471" s="25">
        <v>91.04</v>
      </c>
    </row>
    <row r="4472" spans="1:5" x14ac:dyDescent="0.3">
      <c r="A4472" s="17" t="str">
        <f>"74170"</f>
        <v>74170</v>
      </c>
      <c r="B4472" s="5" t="s">
        <v>4627</v>
      </c>
      <c r="C4472" s="17">
        <v>19900101</v>
      </c>
      <c r="D4472" s="17">
        <v>22991231</v>
      </c>
      <c r="E4472" s="25">
        <v>91.04</v>
      </c>
    </row>
    <row r="4473" spans="1:5" ht="26" x14ac:dyDescent="0.3">
      <c r="A4473" s="17" t="str">
        <f>"74174"</f>
        <v>74174</v>
      </c>
      <c r="B4473" s="5" t="s">
        <v>4628</v>
      </c>
      <c r="C4473" s="17">
        <v>20230101</v>
      </c>
      <c r="D4473" s="17">
        <v>22991231</v>
      </c>
      <c r="E4473" s="25">
        <v>190.54</v>
      </c>
    </row>
    <row r="4474" spans="1:5" ht="26" x14ac:dyDescent="0.3">
      <c r="A4474" s="17" t="str">
        <f>"74175"</f>
        <v>74175</v>
      </c>
      <c r="B4474" s="5" t="s">
        <v>4629</v>
      </c>
      <c r="C4474" s="17">
        <v>20230101</v>
      </c>
      <c r="D4474" s="17">
        <v>22991231</v>
      </c>
      <c r="E4474" s="25">
        <v>91.04</v>
      </c>
    </row>
    <row r="4475" spans="1:5" x14ac:dyDescent="0.3">
      <c r="A4475" s="17" t="str">
        <f>"74176"</f>
        <v>74176</v>
      </c>
      <c r="B4475" s="5" t="s">
        <v>4630</v>
      </c>
      <c r="C4475" s="17">
        <v>20230101</v>
      </c>
      <c r="D4475" s="17">
        <v>22991231</v>
      </c>
      <c r="E4475" s="25">
        <v>118.22</v>
      </c>
    </row>
    <row r="4476" spans="1:5" x14ac:dyDescent="0.3">
      <c r="A4476" s="17" t="str">
        <f>"74177"</f>
        <v>74177</v>
      </c>
      <c r="B4476" s="5" t="s">
        <v>4631</v>
      </c>
      <c r="C4476" s="17">
        <v>20230101</v>
      </c>
      <c r="D4476" s="17">
        <v>22991231</v>
      </c>
      <c r="E4476" s="25">
        <v>190.54</v>
      </c>
    </row>
    <row r="4477" spans="1:5" ht="26" x14ac:dyDescent="0.3">
      <c r="A4477" s="17" t="str">
        <f>"74178"</f>
        <v>74178</v>
      </c>
      <c r="B4477" s="5" t="s">
        <v>4632</v>
      </c>
      <c r="C4477" s="17">
        <v>20230101</v>
      </c>
      <c r="D4477" s="17">
        <v>22991231</v>
      </c>
      <c r="E4477" s="25">
        <v>190.54</v>
      </c>
    </row>
    <row r="4478" spans="1:5" x14ac:dyDescent="0.3">
      <c r="A4478" s="17" t="str">
        <f>"74181"</f>
        <v>74181</v>
      </c>
      <c r="B4478" s="5" t="s">
        <v>4633</v>
      </c>
      <c r="C4478" s="17">
        <v>20151001</v>
      </c>
      <c r="D4478" s="17">
        <v>22991231</v>
      </c>
      <c r="E4478" s="25">
        <v>121.41</v>
      </c>
    </row>
    <row r="4479" spans="1:5" x14ac:dyDescent="0.3">
      <c r="A4479" s="17" t="str">
        <f>"74182"</f>
        <v>74182</v>
      </c>
      <c r="B4479" s="5" t="s">
        <v>4634</v>
      </c>
      <c r="C4479" s="17">
        <v>20230101</v>
      </c>
      <c r="D4479" s="17">
        <v>22991231</v>
      </c>
      <c r="E4479" s="25">
        <v>190.54</v>
      </c>
    </row>
    <row r="4480" spans="1:5" x14ac:dyDescent="0.3">
      <c r="A4480" s="17" t="str">
        <f>"74183"</f>
        <v>74183</v>
      </c>
      <c r="B4480" s="5" t="s">
        <v>4635</v>
      </c>
      <c r="C4480" s="17">
        <v>20230101</v>
      </c>
      <c r="D4480" s="17">
        <v>22991231</v>
      </c>
      <c r="E4480" s="25">
        <v>190.54</v>
      </c>
    </row>
    <row r="4481" spans="1:5" x14ac:dyDescent="0.3">
      <c r="A4481" s="17" t="str">
        <f>"74185"</f>
        <v>74185</v>
      </c>
      <c r="B4481" s="5" t="s">
        <v>4636</v>
      </c>
      <c r="C4481" s="17">
        <v>20151001</v>
      </c>
      <c r="D4481" s="17">
        <v>22991231</v>
      </c>
      <c r="E4481" s="24" t="s">
        <v>7128</v>
      </c>
    </row>
    <row r="4482" spans="1:5" ht="26" x14ac:dyDescent="0.3">
      <c r="A4482" s="17" t="str">
        <f>"74190"</f>
        <v>74190</v>
      </c>
      <c r="B4482" s="5" t="s">
        <v>4637</v>
      </c>
      <c r="C4482" s="17">
        <v>19940101</v>
      </c>
      <c r="D4482" s="17">
        <v>22991231</v>
      </c>
      <c r="E4482" s="25">
        <v>0</v>
      </c>
    </row>
    <row r="4483" spans="1:5" ht="26" x14ac:dyDescent="0.3">
      <c r="A4483" s="17" t="str">
        <f>"74210"</f>
        <v>74210</v>
      </c>
      <c r="B4483" s="5" t="s">
        <v>4638</v>
      </c>
      <c r="C4483" s="17">
        <v>19900101</v>
      </c>
      <c r="D4483" s="17">
        <v>22991231</v>
      </c>
      <c r="E4483" s="25">
        <v>0</v>
      </c>
    </row>
    <row r="4484" spans="1:5" x14ac:dyDescent="0.3">
      <c r="A4484" s="17" t="str">
        <f>"74220"</f>
        <v>74220</v>
      </c>
      <c r="B4484" s="5" t="s">
        <v>4639</v>
      </c>
      <c r="C4484" s="17">
        <v>19900101</v>
      </c>
      <c r="D4484" s="17">
        <v>22991231</v>
      </c>
      <c r="E4484" s="25">
        <v>0</v>
      </c>
    </row>
    <row r="4485" spans="1:5" x14ac:dyDescent="0.3">
      <c r="A4485" s="17" t="str">
        <f>"74221"</f>
        <v>74221</v>
      </c>
      <c r="B4485" s="5" t="s">
        <v>4640</v>
      </c>
      <c r="C4485" s="17">
        <v>20200101</v>
      </c>
      <c r="D4485" s="17">
        <v>22991231</v>
      </c>
      <c r="E4485" s="25">
        <v>0</v>
      </c>
    </row>
    <row r="4486" spans="1:5" x14ac:dyDescent="0.3">
      <c r="A4486" s="17" t="str">
        <f>"74230"</f>
        <v>74230</v>
      </c>
      <c r="B4486" s="5" t="s">
        <v>4641</v>
      </c>
      <c r="C4486" s="17">
        <v>19900101</v>
      </c>
      <c r="D4486" s="17">
        <v>22991231</v>
      </c>
      <c r="E4486" s="25">
        <v>91.04</v>
      </c>
    </row>
    <row r="4487" spans="1:5" ht="26" x14ac:dyDescent="0.3">
      <c r="A4487" s="17" t="str">
        <f>"74235"</f>
        <v>74235</v>
      </c>
      <c r="B4487" s="5" t="s">
        <v>4642</v>
      </c>
      <c r="C4487" s="17">
        <v>19900101</v>
      </c>
      <c r="D4487" s="17">
        <v>22991231</v>
      </c>
      <c r="E4487" s="25">
        <v>0</v>
      </c>
    </row>
    <row r="4488" spans="1:5" x14ac:dyDescent="0.3">
      <c r="A4488" s="17" t="str">
        <f>"74240"</f>
        <v>74240</v>
      </c>
      <c r="B4488" s="5" t="s">
        <v>4643</v>
      </c>
      <c r="C4488" s="17">
        <v>19900101</v>
      </c>
      <c r="D4488" s="17">
        <v>22991231</v>
      </c>
      <c r="E4488" s="25">
        <v>88.51</v>
      </c>
    </row>
    <row r="4489" spans="1:5" x14ac:dyDescent="0.3">
      <c r="A4489" s="17" t="str">
        <f>"74246"</f>
        <v>74246</v>
      </c>
      <c r="B4489" s="5" t="s">
        <v>4644</v>
      </c>
      <c r="C4489" s="17">
        <v>19900101</v>
      </c>
      <c r="D4489" s="17">
        <v>22991231</v>
      </c>
      <c r="E4489" s="25">
        <v>91.04</v>
      </c>
    </row>
    <row r="4490" spans="1:5" x14ac:dyDescent="0.3">
      <c r="A4490" s="17" t="str">
        <f>"74248"</f>
        <v>74248</v>
      </c>
      <c r="B4490" s="5" t="s">
        <v>4645</v>
      </c>
      <c r="C4490" s="17">
        <v>20200101</v>
      </c>
      <c r="D4490" s="17">
        <v>22991231</v>
      </c>
      <c r="E4490" s="25">
        <v>0</v>
      </c>
    </row>
    <row r="4491" spans="1:5" x14ac:dyDescent="0.3">
      <c r="A4491" s="17" t="str">
        <f>"74250"</f>
        <v>74250</v>
      </c>
      <c r="B4491" s="5" t="s">
        <v>4646</v>
      </c>
      <c r="C4491" s="17">
        <v>19900101</v>
      </c>
      <c r="D4491" s="17">
        <v>22991231</v>
      </c>
      <c r="E4491" s="25">
        <v>87.26</v>
      </c>
    </row>
    <row r="4492" spans="1:5" x14ac:dyDescent="0.3">
      <c r="A4492" s="17" t="str">
        <f>"74251"</f>
        <v>74251</v>
      </c>
      <c r="B4492" s="5" t="s">
        <v>4647</v>
      </c>
      <c r="C4492" s="17">
        <v>19940101</v>
      </c>
      <c r="D4492" s="17">
        <v>22991231</v>
      </c>
      <c r="E4492" s="25">
        <v>91.04</v>
      </c>
    </row>
    <row r="4493" spans="1:5" ht="26" x14ac:dyDescent="0.3">
      <c r="A4493" s="17" t="str">
        <f>"74261"</f>
        <v>74261</v>
      </c>
      <c r="B4493" s="5" t="s">
        <v>4648</v>
      </c>
      <c r="C4493" s="17">
        <v>20230101</v>
      </c>
      <c r="D4493" s="17">
        <v>22991231</v>
      </c>
      <c r="E4493" s="25">
        <v>54.47</v>
      </c>
    </row>
    <row r="4494" spans="1:5" ht="26" x14ac:dyDescent="0.3">
      <c r="A4494" s="17" t="str">
        <f>"74262"</f>
        <v>74262</v>
      </c>
      <c r="B4494" s="5" t="s">
        <v>4649</v>
      </c>
      <c r="C4494" s="17">
        <v>20230101</v>
      </c>
      <c r="D4494" s="17">
        <v>22991231</v>
      </c>
      <c r="E4494" s="25">
        <v>91.04</v>
      </c>
    </row>
    <row r="4495" spans="1:5" x14ac:dyDescent="0.3">
      <c r="A4495" s="17" t="str">
        <f>"74270"</f>
        <v>74270</v>
      </c>
      <c r="B4495" s="5" t="s">
        <v>4650</v>
      </c>
      <c r="C4495" s="17">
        <v>19900101</v>
      </c>
      <c r="D4495" s="17">
        <v>22991231</v>
      </c>
      <c r="E4495" s="25">
        <v>0</v>
      </c>
    </row>
    <row r="4496" spans="1:5" x14ac:dyDescent="0.3">
      <c r="A4496" s="17" t="str">
        <f>"74280"</f>
        <v>74280</v>
      </c>
      <c r="B4496" s="5" t="s">
        <v>4651</v>
      </c>
      <c r="C4496" s="17">
        <v>19900101</v>
      </c>
      <c r="D4496" s="17">
        <v>22991231</v>
      </c>
      <c r="E4496" s="25">
        <v>0</v>
      </c>
    </row>
    <row r="4497" spans="1:5" x14ac:dyDescent="0.3">
      <c r="A4497" s="17" t="str">
        <f>"74283"</f>
        <v>74283</v>
      </c>
      <c r="B4497" s="5" t="s">
        <v>4652</v>
      </c>
      <c r="C4497" s="17">
        <v>20230101</v>
      </c>
      <c r="D4497" s="17">
        <v>22991231</v>
      </c>
      <c r="E4497" s="25">
        <v>91.04</v>
      </c>
    </row>
    <row r="4498" spans="1:5" x14ac:dyDescent="0.3">
      <c r="A4498" s="17" t="str">
        <f>"74290"</f>
        <v>74290</v>
      </c>
      <c r="B4498" s="5" t="s">
        <v>4653</v>
      </c>
      <c r="C4498" s="17">
        <v>19900101</v>
      </c>
      <c r="D4498" s="17">
        <v>22991231</v>
      </c>
      <c r="E4498" s="25">
        <v>0</v>
      </c>
    </row>
    <row r="4499" spans="1:5" ht="26" x14ac:dyDescent="0.3">
      <c r="A4499" s="17" t="str">
        <f>"74300"</f>
        <v>74300</v>
      </c>
      <c r="B4499" s="5" t="s">
        <v>4654</v>
      </c>
      <c r="C4499" s="17">
        <v>19900101</v>
      </c>
      <c r="D4499" s="17">
        <v>22991231</v>
      </c>
      <c r="E4499" s="25">
        <v>0</v>
      </c>
    </row>
    <row r="4500" spans="1:5" ht="26" x14ac:dyDescent="0.3">
      <c r="A4500" s="17" t="str">
        <f>"74301"</f>
        <v>74301</v>
      </c>
      <c r="B4500" s="5" t="s">
        <v>4655</v>
      </c>
      <c r="C4500" s="17">
        <v>19900101</v>
      </c>
      <c r="D4500" s="17">
        <v>22991231</v>
      </c>
      <c r="E4500" s="25">
        <v>0</v>
      </c>
    </row>
    <row r="4501" spans="1:5" ht="26" x14ac:dyDescent="0.3">
      <c r="A4501" s="17" t="str">
        <f>"74328"</f>
        <v>74328</v>
      </c>
      <c r="B4501" s="5" t="s">
        <v>4656</v>
      </c>
      <c r="C4501" s="17">
        <v>19900101</v>
      </c>
      <c r="D4501" s="17">
        <v>22991231</v>
      </c>
      <c r="E4501" s="25">
        <v>0</v>
      </c>
    </row>
    <row r="4502" spans="1:5" ht="39" x14ac:dyDescent="0.3">
      <c r="A4502" s="17" t="str">
        <f>"74329"</f>
        <v>74329</v>
      </c>
      <c r="B4502" s="5" t="s">
        <v>4657</v>
      </c>
      <c r="C4502" s="17">
        <v>19900101</v>
      </c>
      <c r="D4502" s="17">
        <v>22991231</v>
      </c>
      <c r="E4502" s="25">
        <v>0</v>
      </c>
    </row>
    <row r="4503" spans="1:5" ht="39" x14ac:dyDescent="0.3">
      <c r="A4503" s="17" t="str">
        <f>"74330"</f>
        <v>74330</v>
      </c>
      <c r="B4503" s="5" t="s">
        <v>4658</v>
      </c>
      <c r="C4503" s="17">
        <v>19900101</v>
      </c>
      <c r="D4503" s="17">
        <v>22991231</v>
      </c>
      <c r="E4503" s="25">
        <v>0</v>
      </c>
    </row>
    <row r="4504" spans="1:5" ht="26" x14ac:dyDescent="0.3">
      <c r="A4504" s="17" t="str">
        <f>"74340"</f>
        <v>74340</v>
      </c>
      <c r="B4504" s="5" t="s">
        <v>4659</v>
      </c>
      <c r="C4504" s="17">
        <v>19900101</v>
      </c>
      <c r="D4504" s="17">
        <v>22991231</v>
      </c>
      <c r="E4504" s="25">
        <v>0</v>
      </c>
    </row>
    <row r="4505" spans="1:5" ht="26" x14ac:dyDescent="0.3">
      <c r="A4505" s="17" t="str">
        <f>"74355"</f>
        <v>74355</v>
      </c>
      <c r="B4505" s="5" t="s">
        <v>4660</v>
      </c>
      <c r="C4505" s="17">
        <v>19900101</v>
      </c>
      <c r="D4505" s="17">
        <v>22991231</v>
      </c>
      <c r="E4505" s="25">
        <v>0</v>
      </c>
    </row>
    <row r="4506" spans="1:5" ht="26" x14ac:dyDescent="0.3">
      <c r="A4506" s="17" t="str">
        <f>"74360"</f>
        <v>74360</v>
      </c>
      <c r="B4506" s="5" t="s">
        <v>4661</v>
      </c>
      <c r="C4506" s="17">
        <v>19900101</v>
      </c>
      <c r="D4506" s="17">
        <v>22991231</v>
      </c>
      <c r="E4506" s="25">
        <v>0</v>
      </c>
    </row>
    <row r="4507" spans="1:5" ht="26" x14ac:dyDescent="0.3">
      <c r="A4507" s="17" t="str">
        <f>"74363"</f>
        <v>74363</v>
      </c>
      <c r="B4507" s="5" t="s">
        <v>4662</v>
      </c>
      <c r="C4507" s="17">
        <v>19910401</v>
      </c>
      <c r="D4507" s="17">
        <v>22991231</v>
      </c>
      <c r="E4507" s="25">
        <v>0</v>
      </c>
    </row>
    <row r="4508" spans="1:5" ht="26" x14ac:dyDescent="0.3">
      <c r="A4508" s="17" t="str">
        <f>"74400"</f>
        <v>74400</v>
      </c>
      <c r="B4508" s="5" t="s">
        <v>4663</v>
      </c>
      <c r="C4508" s="17">
        <v>19900101</v>
      </c>
      <c r="D4508" s="17">
        <v>22991231</v>
      </c>
      <c r="E4508" s="25">
        <v>91.04</v>
      </c>
    </row>
    <row r="4509" spans="1:5" x14ac:dyDescent="0.3">
      <c r="A4509" s="17" t="str">
        <f>"74410"</f>
        <v>74410</v>
      </c>
      <c r="B4509" s="5" t="s">
        <v>4664</v>
      </c>
      <c r="C4509" s="17">
        <v>19900101</v>
      </c>
      <c r="D4509" s="17">
        <v>22991231</v>
      </c>
      <c r="E4509" s="25">
        <v>91.04</v>
      </c>
    </row>
    <row r="4510" spans="1:5" ht="26" x14ac:dyDescent="0.3">
      <c r="A4510" s="17" t="str">
        <f>"74415"</f>
        <v>74415</v>
      </c>
      <c r="B4510" s="5" t="s">
        <v>4665</v>
      </c>
      <c r="C4510" s="17">
        <v>19900101</v>
      </c>
      <c r="D4510" s="17">
        <v>22991231</v>
      </c>
      <c r="E4510" s="25">
        <v>91.04</v>
      </c>
    </row>
    <row r="4511" spans="1:5" ht="26" x14ac:dyDescent="0.3">
      <c r="A4511" s="17" t="str">
        <f>"74420"</f>
        <v>74420</v>
      </c>
      <c r="B4511" s="5" t="s">
        <v>4666</v>
      </c>
      <c r="C4511" s="17">
        <v>19900101</v>
      </c>
      <c r="D4511" s="17">
        <v>22991231</v>
      </c>
      <c r="E4511" s="25">
        <v>190.54</v>
      </c>
    </row>
    <row r="4512" spans="1:5" ht="26" x14ac:dyDescent="0.3">
      <c r="A4512" s="17" t="str">
        <f>"74425"</f>
        <v>74425</v>
      </c>
      <c r="B4512" s="5" t="s">
        <v>4667</v>
      </c>
      <c r="C4512" s="17">
        <v>19900101</v>
      </c>
      <c r="D4512" s="17">
        <v>22991231</v>
      </c>
      <c r="E4512" s="25">
        <v>0</v>
      </c>
    </row>
    <row r="4513" spans="1:5" x14ac:dyDescent="0.3">
      <c r="A4513" s="17" t="str">
        <f>"74430"</f>
        <v>74430</v>
      </c>
      <c r="B4513" s="5" t="s">
        <v>4668</v>
      </c>
      <c r="C4513" s="17">
        <v>19900101</v>
      </c>
      <c r="D4513" s="17">
        <v>22991231</v>
      </c>
      <c r="E4513" s="25">
        <v>0</v>
      </c>
    </row>
    <row r="4514" spans="1:5" ht="26" x14ac:dyDescent="0.3">
      <c r="A4514" s="17" t="str">
        <f>"74440"</f>
        <v>74440</v>
      </c>
      <c r="B4514" s="5" t="s">
        <v>4669</v>
      </c>
      <c r="C4514" s="17">
        <v>19900101</v>
      </c>
      <c r="D4514" s="17">
        <v>22991231</v>
      </c>
      <c r="E4514" s="25">
        <v>0</v>
      </c>
    </row>
    <row r="4515" spans="1:5" x14ac:dyDescent="0.3">
      <c r="A4515" s="17" t="str">
        <f>"74445"</f>
        <v>74445</v>
      </c>
      <c r="B4515" s="5" t="s">
        <v>4670</v>
      </c>
      <c r="C4515" s="17">
        <v>19900101</v>
      </c>
      <c r="D4515" s="17">
        <v>22991231</v>
      </c>
      <c r="E4515" s="25">
        <v>0</v>
      </c>
    </row>
    <row r="4516" spans="1:5" ht="26" x14ac:dyDescent="0.3">
      <c r="A4516" s="17" t="str">
        <f>"74450"</f>
        <v>74450</v>
      </c>
      <c r="B4516" s="5" t="s">
        <v>4671</v>
      </c>
      <c r="C4516" s="17">
        <v>19900101</v>
      </c>
      <c r="D4516" s="17">
        <v>22991231</v>
      </c>
      <c r="E4516" s="25">
        <v>0</v>
      </c>
    </row>
    <row r="4517" spans="1:5" ht="39" x14ac:dyDescent="0.3">
      <c r="A4517" s="17" t="str">
        <f>"74455"</f>
        <v>74455</v>
      </c>
      <c r="B4517" s="5" t="s">
        <v>4672</v>
      </c>
      <c r="C4517" s="17">
        <v>19900101</v>
      </c>
      <c r="D4517" s="17">
        <v>22991231</v>
      </c>
      <c r="E4517" s="25">
        <v>0</v>
      </c>
    </row>
    <row r="4518" spans="1:5" x14ac:dyDescent="0.3">
      <c r="A4518" s="17" t="str">
        <f>"74470"</f>
        <v>74470</v>
      </c>
      <c r="B4518" s="5" t="s">
        <v>4673</v>
      </c>
      <c r="C4518" s="17">
        <v>19900101</v>
      </c>
      <c r="D4518" s="17">
        <v>22991231</v>
      </c>
      <c r="E4518" s="25">
        <v>0</v>
      </c>
    </row>
    <row r="4519" spans="1:5" x14ac:dyDescent="0.3">
      <c r="A4519" s="17" t="str">
        <f>"74485"</f>
        <v>74485</v>
      </c>
      <c r="B4519" s="5" t="s">
        <v>4674</v>
      </c>
      <c r="C4519" s="17">
        <v>19900101</v>
      </c>
      <c r="D4519" s="17">
        <v>22991231</v>
      </c>
      <c r="E4519" s="25">
        <v>0</v>
      </c>
    </row>
    <row r="4520" spans="1:5" x14ac:dyDescent="0.3">
      <c r="A4520" s="17" t="str">
        <f>"74712"</f>
        <v>74712</v>
      </c>
      <c r="B4520" s="5" t="s">
        <v>4675</v>
      </c>
      <c r="C4520" s="17">
        <v>20230101</v>
      </c>
      <c r="D4520" s="17">
        <v>22991231</v>
      </c>
      <c r="E4520" s="25">
        <v>121.41</v>
      </c>
    </row>
    <row r="4521" spans="1:5" x14ac:dyDescent="0.3">
      <c r="A4521" s="17" t="str">
        <f>"74713"</f>
        <v>74713</v>
      </c>
      <c r="B4521" s="5" t="s">
        <v>4676</v>
      </c>
      <c r="C4521" s="17">
        <v>20230101</v>
      </c>
      <c r="D4521" s="17">
        <v>22991231</v>
      </c>
      <c r="E4521" s="25">
        <v>0</v>
      </c>
    </row>
    <row r="4522" spans="1:5" ht="26" x14ac:dyDescent="0.3">
      <c r="A4522" s="17" t="str">
        <f>"74740"</f>
        <v>74740</v>
      </c>
      <c r="B4522" s="5" t="s">
        <v>4677</v>
      </c>
      <c r="C4522" s="17">
        <v>19900101</v>
      </c>
      <c r="D4522" s="17">
        <v>22991231</v>
      </c>
      <c r="E4522" s="25">
        <v>0</v>
      </c>
    </row>
    <row r="4523" spans="1:5" ht="26" x14ac:dyDescent="0.3">
      <c r="A4523" s="17" t="str">
        <f>"74742"</f>
        <v>74742</v>
      </c>
      <c r="B4523" s="5" t="s">
        <v>4678</v>
      </c>
      <c r="C4523" s="17">
        <v>20230101</v>
      </c>
      <c r="D4523" s="17">
        <v>22991231</v>
      </c>
      <c r="E4523" s="25">
        <v>0</v>
      </c>
    </row>
    <row r="4524" spans="1:5" x14ac:dyDescent="0.3">
      <c r="A4524" s="17" t="str">
        <f>"74775"</f>
        <v>74775</v>
      </c>
      <c r="B4524" s="5" t="s">
        <v>4679</v>
      </c>
      <c r="C4524" s="17">
        <v>19900101</v>
      </c>
      <c r="D4524" s="17">
        <v>22991231</v>
      </c>
      <c r="E4524" s="25">
        <v>121.41</v>
      </c>
    </row>
    <row r="4525" spans="1:5" x14ac:dyDescent="0.3">
      <c r="A4525" s="17" t="str">
        <f>"75557"</f>
        <v>75557</v>
      </c>
      <c r="B4525" s="5" t="s">
        <v>4680</v>
      </c>
      <c r="C4525" s="17">
        <v>20080101</v>
      </c>
      <c r="D4525" s="17">
        <v>22991231</v>
      </c>
      <c r="E4525" s="25">
        <v>121.41</v>
      </c>
    </row>
    <row r="4526" spans="1:5" ht="26" x14ac:dyDescent="0.3">
      <c r="A4526" s="17" t="str">
        <f>"75559"</f>
        <v>75559</v>
      </c>
      <c r="B4526" s="5" t="s">
        <v>4681</v>
      </c>
      <c r="C4526" s="17">
        <v>20080101</v>
      </c>
      <c r="D4526" s="17">
        <v>22991231</v>
      </c>
      <c r="E4526" s="25">
        <v>265.22000000000003</v>
      </c>
    </row>
    <row r="4527" spans="1:5" x14ac:dyDescent="0.3">
      <c r="A4527" s="17" t="str">
        <f>"75561"</f>
        <v>75561</v>
      </c>
      <c r="B4527" s="5" t="s">
        <v>4682</v>
      </c>
      <c r="C4527" s="17">
        <v>20080101</v>
      </c>
      <c r="D4527" s="17">
        <v>22991231</v>
      </c>
      <c r="E4527" s="25">
        <v>190.54</v>
      </c>
    </row>
    <row r="4528" spans="1:5" ht="26" x14ac:dyDescent="0.3">
      <c r="A4528" s="17" t="str">
        <f>"75563"</f>
        <v>75563</v>
      </c>
      <c r="B4528" s="5" t="s">
        <v>4683</v>
      </c>
      <c r="C4528" s="17">
        <v>20080101</v>
      </c>
      <c r="D4528" s="17">
        <v>22991231</v>
      </c>
      <c r="E4528" s="25">
        <v>310.57</v>
      </c>
    </row>
    <row r="4529" spans="1:5" x14ac:dyDescent="0.3">
      <c r="A4529" s="17" t="str">
        <f>"75565"</f>
        <v>75565</v>
      </c>
      <c r="B4529" s="5" t="s">
        <v>4684</v>
      </c>
      <c r="C4529" s="17">
        <v>20230101</v>
      </c>
      <c r="D4529" s="17">
        <v>22991231</v>
      </c>
      <c r="E4529" s="25">
        <v>0</v>
      </c>
    </row>
    <row r="4530" spans="1:5" ht="26" x14ac:dyDescent="0.3">
      <c r="A4530" s="17" t="str">
        <f>"75571"</f>
        <v>75571</v>
      </c>
      <c r="B4530" s="5" t="s">
        <v>4685</v>
      </c>
      <c r="C4530" s="17">
        <v>20230101</v>
      </c>
      <c r="D4530" s="17">
        <v>22991231</v>
      </c>
      <c r="E4530" s="25">
        <v>0</v>
      </c>
    </row>
    <row r="4531" spans="1:5" x14ac:dyDescent="0.3">
      <c r="A4531" s="17" t="str">
        <f>"75572"</f>
        <v>75572</v>
      </c>
      <c r="B4531" s="5" t="s">
        <v>4686</v>
      </c>
      <c r="C4531" s="17">
        <v>20230101</v>
      </c>
      <c r="D4531" s="17">
        <v>22991231</v>
      </c>
      <c r="E4531" s="25">
        <v>91.04</v>
      </c>
    </row>
    <row r="4532" spans="1:5" ht="26" x14ac:dyDescent="0.3">
      <c r="A4532" s="17" t="str">
        <f>"75573"</f>
        <v>75573</v>
      </c>
      <c r="B4532" s="5" t="s">
        <v>4687</v>
      </c>
      <c r="C4532" s="17">
        <v>20230101</v>
      </c>
      <c r="D4532" s="17">
        <v>22991231</v>
      </c>
      <c r="E4532" s="25">
        <v>91.04</v>
      </c>
    </row>
    <row r="4533" spans="1:5" ht="26" x14ac:dyDescent="0.3">
      <c r="A4533" s="17" t="str">
        <f>"75574"</f>
        <v>75574</v>
      </c>
      <c r="B4533" s="5" t="s">
        <v>4688</v>
      </c>
      <c r="C4533" s="17">
        <v>20230101</v>
      </c>
      <c r="D4533" s="17">
        <v>22991231</v>
      </c>
      <c r="E4533" s="25">
        <v>91.04</v>
      </c>
    </row>
    <row r="4534" spans="1:5" x14ac:dyDescent="0.3">
      <c r="A4534" s="17" t="str">
        <f>"75600"</f>
        <v>75600</v>
      </c>
      <c r="B4534" s="5" t="s">
        <v>4689</v>
      </c>
      <c r="C4534" s="17">
        <v>19900101</v>
      </c>
      <c r="D4534" s="17">
        <v>22991231</v>
      </c>
      <c r="E4534" s="25">
        <v>0</v>
      </c>
    </row>
    <row r="4535" spans="1:5" ht="26" x14ac:dyDescent="0.3">
      <c r="A4535" s="17" t="str">
        <f>"75605"</f>
        <v>75605</v>
      </c>
      <c r="B4535" s="5" t="s">
        <v>4690</v>
      </c>
      <c r="C4535" s="17">
        <v>19900101</v>
      </c>
      <c r="D4535" s="17">
        <v>22991231</v>
      </c>
      <c r="E4535" s="25">
        <v>0</v>
      </c>
    </row>
    <row r="4536" spans="1:5" x14ac:dyDescent="0.3">
      <c r="A4536" s="17" t="str">
        <f>"75625"</f>
        <v>75625</v>
      </c>
      <c r="B4536" s="5" t="s">
        <v>4691</v>
      </c>
      <c r="C4536" s="17">
        <v>19900101</v>
      </c>
      <c r="D4536" s="17">
        <v>22991231</v>
      </c>
      <c r="E4536" s="25">
        <v>0</v>
      </c>
    </row>
    <row r="4537" spans="1:5" ht="26" x14ac:dyDescent="0.3">
      <c r="A4537" s="17" t="str">
        <f>"75630"</f>
        <v>75630</v>
      </c>
      <c r="B4537" s="5" t="s">
        <v>4692</v>
      </c>
      <c r="C4537" s="17">
        <v>19900101</v>
      </c>
      <c r="D4537" s="17">
        <v>22991231</v>
      </c>
      <c r="E4537" s="25">
        <v>0</v>
      </c>
    </row>
    <row r="4538" spans="1:5" ht="26" x14ac:dyDescent="0.3">
      <c r="A4538" s="17" t="str">
        <f>"75635"</f>
        <v>75635</v>
      </c>
      <c r="B4538" s="5" t="s">
        <v>4693</v>
      </c>
      <c r="C4538" s="17">
        <v>20230101</v>
      </c>
      <c r="D4538" s="17">
        <v>22991231</v>
      </c>
      <c r="E4538" s="25">
        <v>0</v>
      </c>
    </row>
    <row r="4539" spans="1:5" x14ac:dyDescent="0.3">
      <c r="A4539" s="17" t="str">
        <f>"75705"</f>
        <v>75705</v>
      </c>
      <c r="B4539" s="5" t="s">
        <v>4694</v>
      </c>
      <c r="C4539" s="17">
        <v>19900101</v>
      </c>
      <c r="D4539" s="17">
        <v>22991231</v>
      </c>
      <c r="E4539" s="25">
        <v>0</v>
      </c>
    </row>
    <row r="4540" spans="1:5" ht="26" x14ac:dyDescent="0.3">
      <c r="A4540" s="17" t="str">
        <f>"75710"</f>
        <v>75710</v>
      </c>
      <c r="B4540" s="5" t="s">
        <v>4695</v>
      </c>
      <c r="C4540" s="17">
        <v>19900101</v>
      </c>
      <c r="D4540" s="17">
        <v>22991231</v>
      </c>
      <c r="E4540" s="25">
        <v>0</v>
      </c>
    </row>
    <row r="4541" spans="1:5" ht="26" x14ac:dyDescent="0.3">
      <c r="A4541" s="17" t="str">
        <f>"75716"</f>
        <v>75716</v>
      </c>
      <c r="B4541" s="5" t="s">
        <v>4696</v>
      </c>
      <c r="C4541" s="17">
        <v>19900101</v>
      </c>
      <c r="D4541" s="17">
        <v>22991231</v>
      </c>
      <c r="E4541" s="25">
        <v>0</v>
      </c>
    </row>
    <row r="4542" spans="1:5" ht="26" x14ac:dyDescent="0.3">
      <c r="A4542" s="17" t="str">
        <f>"75726"</f>
        <v>75726</v>
      </c>
      <c r="B4542" s="5" t="s">
        <v>4697</v>
      </c>
      <c r="C4542" s="17">
        <v>19900101</v>
      </c>
      <c r="D4542" s="17">
        <v>22991231</v>
      </c>
      <c r="E4542" s="25">
        <v>0</v>
      </c>
    </row>
    <row r="4543" spans="1:5" ht="26" x14ac:dyDescent="0.3">
      <c r="A4543" s="17" t="str">
        <f>"75731"</f>
        <v>75731</v>
      </c>
      <c r="B4543" s="5" t="s">
        <v>4698</v>
      </c>
      <c r="C4543" s="17">
        <v>19900101</v>
      </c>
      <c r="D4543" s="17">
        <v>22991231</v>
      </c>
      <c r="E4543" s="25">
        <v>105.4</v>
      </c>
    </row>
    <row r="4544" spans="1:5" ht="26" x14ac:dyDescent="0.3">
      <c r="A4544" s="17" t="str">
        <f>"75733"</f>
        <v>75733</v>
      </c>
      <c r="B4544" s="5" t="s">
        <v>4699</v>
      </c>
      <c r="C4544" s="17">
        <v>19900101</v>
      </c>
      <c r="D4544" s="17">
        <v>22991231</v>
      </c>
      <c r="E4544" s="25">
        <v>0</v>
      </c>
    </row>
    <row r="4545" spans="1:5" x14ac:dyDescent="0.3">
      <c r="A4545" s="17" t="str">
        <f>"75736"</f>
        <v>75736</v>
      </c>
      <c r="B4545" s="5" t="s">
        <v>4700</v>
      </c>
      <c r="C4545" s="17">
        <v>19900101</v>
      </c>
      <c r="D4545" s="17">
        <v>22991231</v>
      </c>
      <c r="E4545" s="25">
        <v>0</v>
      </c>
    </row>
    <row r="4546" spans="1:5" x14ac:dyDescent="0.3">
      <c r="A4546" s="17" t="str">
        <f>"75741"</f>
        <v>75741</v>
      </c>
      <c r="B4546" s="5" t="s">
        <v>4701</v>
      </c>
      <c r="C4546" s="17">
        <v>19900101</v>
      </c>
      <c r="D4546" s="17">
        <v>22991231</v>
      </c>
      <c r="E4546" s="25">
        <v>0</v>
      </c>
    </row>
    <row r="4547" spans="1:5" ht="26" x14ac:dyDescent="0.3">
      <c r="A4547" s="17" t="str">
        <f>"75743"</f>
        <v>75743</v>
      </c>
      <c r="B4547" s="5" t="s">
        <v>4702</v>
      </c>
      <c r="C4547" s="17">
        <v>19900101</v>
      </c>
      <c r="D4547" s="17">
        <v>22991231</v>
      </c>
      <c r="E4547" s="25">
        <v>0</v>
      </c>
    </row>
    <row r="4548" spans="1:5" ht="26" x14ac:dyDescent="0.3">
      <c r="A4548" s="17" t="str">
        <f>"75746"</f>
        <v>75746</v>
      </c>
      <c r="B4548" s="5" t="s">
        <v>4703</v>
      </c>
      <c r="C4548" s="17">
        <v>19900101</v>
      </c>
      <c r="D4548" s="17">
        <v>22991231</v>
      </c>
      <c r="E4548" s="25">
        <v>87.88</v>
      </c>
    </row>
    <row r="4549" spans="1:5" ht="26" x14ac:dyDescent="0.3">
      <c r="A4549" s="17" t="str">
        <f>"75756"</f>
        <v>75756</v>
      </c>
      <c r="B4549" s="5" t="s">
        <v>4704</v>
      </c>
      <c r="C4549" s="17">
        <v>19900101</v>
      </c>
      <c r="D4549" s="17">
        <v>22991231</v>
      </c>
      <c r="E4549" s="25">
        <v>0</v>
      </c>
    </row>
    <row r="4550" spans="1:5" x14ac:dyDescent="0.3">
      <c r="A4550" s="17" t="str">
        <f>"75774"</f>
        <v>75774</v>
      </c>
      <c r="B4550" s="5" t="s">
        <v>4705</v>
      </c>
      <c r="C4550" s="17">
        <v>19900101</v>
      </c>
      <c r="D4550" s="17">
        <v>22991231</v>
      </c>
      <c r="E4550" s="25">
        <v>0</v>
      </c>
    </row>
    <row r="4551" spans="1:5" ht="26" x14ac:dyDescent="0.3">
      <c r="A4551" s="17" t="str">
        <f>"75801"</f>
        <v>75801</v>
      </c>
      <c r="B4551" s="5" t="s">
        <v>4706</v>
      </c>
      <c r="C4551" s="17">
        <v>19900101</v>
      </c>
      <c r="D4551" s="17">
        <v>22991231</v>
      </c>
      <c r="E4551" s="25">
        <v>0</v>
      </c>
    </row>
    <row r="4552" spans="1:5" ht="26" x14ac:dyDescent="0.3">
      <c r="A4552" s="17" t="str">
        <f>"75803"</f>
        <v>75803</v>
      </c>
      <c r="B4552" s="5" t="s">
        <v>4707</v>
      </c>
      <c r="C4552" s="17">
        <v>19900101</v>
      </c>
      <c r="D4552" s="17">
        <v>22991231</v>
      </c>
      <c r="E4552" s="25">
        <v>591.41</v>
      </c>
    </row>
    <row r="4553" spans="1:5" ht="26" x14ac:dyDescent="0.3">
      <c r="A4553" s="17" t="str">
        <f>"75805"</f>
        <v>75805</v>
      </c>
      <c r="B4553" s="5" t="s">
        <v>4708</v>
      </c>
      <c r="C4553" s="17">
        <v>19900101</v>
      </c>
      <c r="D4553" s="17">
        <v>22991231</v>
      </c>
      <c r="E4553" s="25">
        <v>1478.57</v>
      </c>
    </row>
    <row r="4554" spans="1:5" ht="26" x14ac:dyDescent="0.3">
      <c r="A4554" s="17" t="str">
        <f>"75807"</f>
        <v>75807</v>
      </c>
      <c r="B4554" s="5" t="s">
        <v>4709</v>
      </c>
      <c r="C4554" s="17">
        <v>19900101</v>
      </c>
      <c r="D4554" s="17">
        <v>22991231</v>
      </c>
      <c r="E4554" s="25">
        <v>0</v>
      </c>
    </row>
    <row r="4555" spans="1:5" ht="26" x14ac:dyDescent="0.3">
      <c r="A4555" s="17" t="str">
        <f>"75809"</f>
        <v>75809</v>
      </c>
      <c r="B4555" s="5" t="s">
        <v>4710</v>
      </c>
      <c r="C4555" s="17">
        <v>20230101</v>
      </c>
      <c r="D4555" s="17">
        <v>22991231</v>
      </c>
      <c r="E4555" s="25">
        <v>0</v>
      </c>
    </row>
    <row r="4556" spans="1:5" ht="26" x14ac:dyDescent="0.3">
      <c r="A4556" s="17" t="str">
        <f>"75810"</f>
        <v>75810</v>
      </c>
      <c r="B4556" s="5" t="s">
        <v>4711</v>
      </c>
      <c r="C4556" s="17">
        <v>19900101</v>
      </c>
      <c r="D4556" s="17">
        <v>22991231</v>
      </c>
      <c r="E4556" s="25">
        <v>1478.57</v>
      </c>
    </row>
    <row r="4557" spans="1:5" ht="26" x14ac:dyDescent="0.3">
      <c r="A4557" s="17" t="str">
        <f>"75820"</f>
        <v>75820</v>
      </c>
      <c r="B4557" s="5" t="s">
        <v>4712</v>
      </c>
      <c r="C4557" s="17">
        <v>19900101</v>
      </c>
      <c r="D4557" s="17">
        <v>22991231</v>
      </c>
      <c r="E4557" s="25">
        <v>0</v>
      </c>
    </row>
    <row r="4558" spans="1:5" ht="26" x14ac:dyDescent="0.3">
      <c r="A4558" s="17" t="str">
        <f>"75822"</f>
        <v>75822</v>
      </c>
      <c r="B4558" s="5" t="s">
        <v>4713</v>
      </c>
      <c r="C4558" s="17">
        <v>19900101</v>
      </c>
      <c r="D4558" s="17">
        <v>22991231</v>
      </c>
      <c r="E4558" s="25">
        <v>74.430000000000007</v>
      </c>
    </row>
    <row r="4559" spans="1:5" ht="26" x14ac:dyDescent="0.3">
      <c r="A4559" s="17" t="str">
        <f>"75825"</f>
        <v>75825</v>
      </c>
      <c r="B4559" s="5" t="s">
        <v>4714</v>
      </c>
      <c r="C4559" s="17">
        <v>19900101</v>
      </c>
      <c r="D4559" s="17">
        <v>22991231</v>
      </c>
      <c r="E4559" s="25">
        <v>0</v>
      </c>
    </row>
    <row r="4560" spans="1:5" ht="26" x14ac:dyDescent="0.3">
      <c r="A4560" s="17" t="str">
        <f>"75827"</f>
        <v>75827</v>
      </c>
      <c r="B4560" s="5" t="s">
        <v>4715</v>
      </c>
      <c r="C4560" s="17">
        <v>19900101</v>
      </c>
      <c r="D4560" s="17">
        <v>22991231</v>
      </c>
      <c r="E4560" s="25">
        <v>0</v>
      </c>
    </row>
    <row r="4561" spans="1:5" x14ac:dyDescent="0.3">
      <c r="A4561" s="17" t="str">
        <f>"75831"</f>
        <v>75831</v>
      </c>
      <c r="B4561" s="5" t="s">
        <v>4716</v>
      </c>
      <c r="C4561" s="17">
        <v>19900101</v>
      </c>
      <c r="D4561" s="17">
        <v>22991231</v>
      </c>
      <c r="E4561" s="25">
        <v>0</v>
      </c>
    </row>
    <row r="4562" spans="1:5" ht="26" x14ac:dyDescent="0.3">
      <c r="A4562" s="17" t="str">
        <f>"75833"</f>
        <v>75833</v>
      </c>
      <c r="B4562" s="5" t="s">
        <v>4717</v>
      </c>
      <c r="C4562" s="17">
        <v>19900101</v>
      </c>
      <c r="D4562" s="17">
        <v>22991231</v>
      </c>
      <c r="E4562" s="25">
        <v>0</v>
      </c>
    </row>
    <row r="4563" spans="1:5" ht="26" x14ac:dyDescent="0.3">
      <c r="A4563" s="17" t="str">
        <f>"75840"</f>
        <v>75840</v>
      </c>
      <c r="B4563" s="5" t="s">
        <v>4718</v>
      </c>
      <c r="C4563" s="17">
        <v>19900101</v>
      </c>
      <c r="D4563" s="17">
        <v>22991231</v>
      </c>
      <c r="E4563" s="25">
        <v>0</v>
      </c>
    </row>
    <row r="4564" spans="1:5" ht="26" x14ac:dyDescent="0.3">
      <c r="A4564" s="17" t="str">
        <f>"75842"</f>
        <v>75842</v>
      </c>
      <c r="B4564" s="5" t="s">
        <v>4719</v>
      </c>
      <c r="C4564" s="17">
        <v>19900101</v>
      </c>
      <c r="D4564" s="17">
        <v>22991231</v>
      </c>
      <c r="E4564" s="25">
        <v>0</v>
      </c>
    </row>
    <row r="4565" spans="1:5" ht="26" x14ac:dyDescent="0.3">
      <c r="A4565" s="17" t="str">
        <f>"75860"</f>
        <v>75860</v>
      </c>
      <c r="B4565" s="5" t="s">
        <v>4720</v>
      </c>
      <c r="C4565" s="17">
        <v>19900101</v>
      </c>
      <c r="D4565" s="17">
        <v>22991231</v>
      </c>
      <c r="E4565" s="25">
        <v>0</v>
      </c>
    </row>
    <row r="4566" spans="1:5" ht="26" x14ac:dyDescent="0.3">
      <c r="A4566" s="17" t="str">
        <f>"75870"</f>
        <v>75870</v>
      </c>
      <c r="B4566" s="5" t="s">
        <v>4721</v>
      </c>
      <c r="C4566" s="17">
        <v>19900101</v>
      </c>
      <c r="D4566" s="17">
        <v>22991231</v>
      </c>
      <c r="E4566" s="25">
        <v>104.15</v>
      </c>
    </row>
    <row r="4567" spans="1:5" ht="26" x14ac:dyDescent="0.3">
      <c r="A4567" s="17" t="str">
        <f>"75872"</f>
        <v>75872</v>
      </c>
      <c r="B4567" s="5" t="s">
        <v>4722</v>
      </c>
      <c r="C4567" s="17">
        <v>19900101</v>
      </c>
      <c r="D4567" s="17">
        <v>22991231</v>
      </c>
      <c r="E4567" s="25">
        <v>0</v>
      </c>
    </row>
    <row r="4568" spans="1:5" ht="26" x14ac:dyDescent="0.3">
      <c r="A4568" s="17" t="str">
        <f>"75880"</f>
        <v>75880</v>
      </c>
      <c r="B4568" s="5" t="s">
        <v>4723</v>
      </c>
      <c r="C4568" s="17">
        <v>19900101</v>
      </c>
      <c r="D4568" s="17">
        <v>22991231</v>
      </c>
      <c r="E4568" s="25">
        <v>0</v>
      </c>
    </row>
    <row r="4569" spans="1:5" ht="39" x14ac:dyDescent="0.3">
      <c r="A4569" s="17" t="str">
        <f>"75885"</f>
        <v>75885</v>
      </c>
      <c r="B4569" s="5" t="s">
        <v>4724</v>
      </c>
      <c r="C4569" s="17">
        <v>19900101</v>
      </c>
      <c r="D4569" s="17">
        <v>22991231</v>
      </c>
      <c r="E4569" s="25">
        <v>0</v>
      </c>
    </row>
    <row r="4570" spans="1:5" ht="26" x14ac:dyDescent="0.3">
      <c r="A4570" s="17" t="str">
        <f>"75887"</f>
        <v>75887</v>
      </c>
      <c r="B4570" s="5" t="s">
        <v>4725</v>
      </c>
      <c r="C4570" s="17">
        <v>19900101</v>
      </c>
      <c r="D4570" s="17">
        <v>22991231</v>
      </c>
      <c r="E4570" s="25">
        <v>80.069999999999993</v>
      </c>
    </row>
    <row r="4571" spans="1:5" ht="26" x14ac:dyDescent="0.3">
      <c r="A4571" s="17" t="str">
        <f>"75889"</f>
        <v>75889</v>
      </c>
      <c r="B4571" s="5" t="s">
        <v>4726</v>
      </c>
      <c r="C4571" s="17">
        <v>19900101</v>
      </c>
      <c r="D4571" s="17">
        <v>22991231</v>
      </c>
      <c r="E4571" s="25">
        <v>0</v>
      </c>
    </row>
    <row r="4572" spans="1:5" x14ac:dyDescent="0.3">
      <c r="A4572" s="17" t="str">
        <f>"75891"</f>
        <v>75891</v>
      </c>
      <c r="B4572" s="5" t="s">
        <v>4727</v>
      </c>
      <c r="C4572" s="17">
        <v>19900101</v>
      </c>
      <c r="D4572" s="17">
        <v>22991231</v>
      </c>
      <c r="E4572" s="25">
        <v>0</v>
      </c>
    </row>
    <row r="4573" spans="1:5" ht="26" x14ac:dyDescent="0.3">
      <c r="A4573" s="17" t="str">
        <f>"75893"</f>
        <v>75893</v>
      </c>
      <c r="B4573" s="5" t="s">
        <v>4728</v>
      </c>
      <c r="C4573" s="17">
        <v>19900101</v>
      </c>
      <c r="D4573" s="17">
        <v>22991231</v>
      </c>
      <c r="E4573" s="25">
        <v>0</v>
      </c>
    </row>
    <row r="4574" spans="1:5" ht="26" x14ac:dyDescent="0.3">
      <c r="A4574" s="17" t="str">
        <f>"75894"</f>
        <v>75894</v>
      </c>
      <c r="B4574" s="5" t="s">
        <v>4729</v>
      </c>
      <c r="C4574" s="17">
        <v>19900101</v>
      </c>
      <c r="D4574" s="17">
        <v>22991231</v>
      </c>
      <c r="E4574" s="25">
        <v>0</v>
      </c>
    </row>
    <row r="4575" spans="1:5" x14ac:dyDescent="0.3">
      <c r="A4575" s="17" t="str">
        <f>"75898"</f>
        <v>75898</v>
      </c>
      <c r="B4575" s="5" t="s">
        <v>4730</v>
      </c>
      <c r="C4575" s="17">
        <v>19900101</v>
      </c>
      <c r="D4575" s="17">
        <v>22991231</v>
      </c>
      <c r="E4575" s="25">
        <v>1478.57</v>
      </c>
    </row>
    <row r="4576" spans="1:5" ht="26" x14ac:dyDescent="0.3">
      <c r="A4576" s="17" t="str">
        <f>"75901"</f>
        <v>75901</v>
      </c>
      <c r="B4576" s="5" t="s">
        <v>4731</v>
      </c>
      <c r="C4576" s="17">
        <v>20230101</v>
      </c>
      <c r="D4576" s="17">
        <v>22991231</v>
      </c>
      <c r="E4576" s="25">
        <v>0</v>
      </c>
    </row>
    <row r="4577" spans="1:5" ht="39" x14ac:dyDescent="0.3">
      <c r="A4577" s="17" t="str">
        <f>"75902"</f>
        <v>75902</v>
      </c>
      <c r="B4577" s="5" t="s">
        <v>4732</v>
      </c>
      <c r="C4577" s="17">
        <v>20230101</v>
      </c>
      <c r="D4577" s="17">
        <v>22991231</v>
      </c>
      <c r="E4577" s="25">
        <v>0</v>
      </c>
    </row>
    <row r="4578" spans="1:5" ht="26" x14ac:dyDescent="0.3">
      <c r="A4578" s="17" t="str">
        <f>"75970"</f>
        <v>75970</v>
      </c>
      <c r="B4578" s="5" t="s">
        <v>4733</v>
      </c>
      <c r="C4578" s="17">
        <v>19900101</v>
      </c>
      <c r="D4578" s="17">
        <v>22991231</v>
      </c>
      <c r="E4578" s="25">
        <v>0</v>
      </c>
    </row>
    <row r="4579" spans="1:5" ht="26" x14ac:dyDescent="0.3">
      <c r="A4579" s="17" t="str">
        <f>"75984"</f>
        <v>75984</v>
      </c>
      <c r="B4579" s="5" t="s">
        <v>4734</v>
      </c>
      <c r="C4579" s="17">
        <v>19900101</v>
      </c>
      <c r="D4579" s="17">
        <v>22991231</v>
      </c>
      <c r="E4579" s="25">
        <v>0</v>
      </c>
    </row>
    <row r="4580" spans="1:5" ht="26" x14ac:dyDescent="0.3">
      <c r="A4580" s="17" t="str">
        <f>"75989"</f>
        <v>75989</v>
      </c>
      <c r="B4580" s="5" t="s">
        <v>4735</v>
      </c>
      <c r="C4580" s="17">
        <v>19900101</v>
      </c>
      <c r="D4580" s="17">
        <v>22991231</v>
      </c>
      <c r="E4580" s="25">
        <v>0</v>
      </c>
    </row>
    <row r="4581" spans="1:5" ht="26" x14ac:dyDescent="0.3">
      <c r="A4581" s="17" t="str">
        <f>"76000"</f>
        <v>76000</v>
      </c>
      <c r="B4581" s="5" t="s">
        <v>4736</v>
      </c>
      <c r="C4581" s="17">
        <v>19900101</v>
      </c>
      <c r="D4581" s="17">
        <v>22991231</v>
      </c>
      <c r="E4581" s="25">
        <v>29.4</v>
      </c>
    </row>
    <row r="4582" spans="1:5" x14ac:dyDescent="0.3">
      <c r="A4582" s="17" t="str">
        <f>"76010"</f>
        <v>76010</v>
      </c>
      <c r="B4582" s="5" t="s">
        <v>4737</v>
      </c>
      <c r="C4582" s="17">
        <v>19900101</v>
      </c>
      <c r="D4582" s="17">
        <v>22991231</v>
      </c>
      <c r="E4582" s="25">
        <v>0</v>
      </c>
    </row>
    <row r="4583" spans="1:5" ht="26" x14ac:dyDescent="0.3">
      <c r="A4583" s="17" t="str">
        <f>"76080"</f>
        <v>76080</v>
      </c>
      <c r="B4583" s="5" t="s">
        <v>4738</v>
      </c>
      <c r="C4583" s="17">
        <v>19980101</v>
      </c>
      <c r="D4583" s="17">
        <v>22991231</v>
      </c>
      <c r="E4583" s="25">
        <v>0</v>
      </c>
    </row>
    <row r="4584" spans="1:5" x14ac:dyDescent="0.3">
      <c r="A4584" s="17" t="str">
        <f>"76098"</f>
        <v>76098</v>
      </c>
      <c r="B4584" s="5" t="s">
        <v>4739</v>
      </c>
      <c r="C4584" s="17">
        <v>19900101</v>
      </c>
      <c r="D4584" s="17">
        <v>22991231</v>
      </c>
      <c r="E4584" s="25">
        <v>0</v>
      </c>
    </row>
    <row r="4585" spans="1:5" x14ac:dyDescent="0.3">
      <c r="A4585" s="17" t="str">
        <f>"76100"</f>
        <v>76100</v>
      </c>
      <c r="B4585" s="5" t="s">
        <v>4740</v>
      </c>
      <c r="C4585" s="17">
        <v>19900101</v>
      </c>
      <c r="D4585" s="17">
        <v>22991231</v>
      </c>
      <c r="E4585" s="25">
        <v>0</v>
      </c>
    </row>
    <row r="4586" spans="1:5" x14ac:dyDescent="0.3">
      <c r="A4586" s="17" t="str">
        <f>"76120"</f>
        <v>76120</v>
      </c>
      <c r="B4586" s="5" t="s">
        <v>4741</v>
      </c>
      <c r="C4586" s="17">
        <v>20151001</v>
      </c>
      <c r="D4586" s="17">
        <v>22991231</v>
      </c>
      <c r="E4586" s="25">
        <v>0</v>
      </c>
    </row>
    <row r="4587" spans="1:5" x14ac:dyDescent="0.3">
      <c r="A4587" s="17" t="str">
        <f>"76125"</f>
        <v>76125</v>
      </c>
      <c r="B4587" s="5" t="s">
        <v>4742</v>
      </c>
      <c r="C4587" s="17">
        <v>19900101</v>
      </c>
      <c r="D4587" s="17">
        <v>22991231</v>
      </c>
      <c r="E4587" s="25">
        <v>0</v>
      </c>
    </row>
    <row r="4588" spans="1:5" x14ac:dyDescent="0.3">
      <c r="A4588" s="17" t="str">
        <f>"76140"</f>
        <v>76140</v>
      </c>
      <c r="B4588" s="5" t="s">
        <v>4743</v>
      </c>
      <c r="C4588" s="17">
        <v>19900101</v>
      </c>
      <c r="D4588" s="17">
        <v>22991231</v>
      </c>
      <c r="E4588" s="24" t="s">
        <v>7128</v>
      </c>
    </row>
    <row r="4589" spans="1:5" ht="26" x14ac:dyDescent="0.3">
      <c r="A4589" s="17" t="str">
        <f>"76145"</f>
        <v>76145</v>
      </c>
      <c r="B4589" s="5" t="s">
        <v>4744</v>
      </c>
      <c r="C4589" s="17">
        <v>20210101</v>
      </c>
      <c r="D4589" s="17">
        <v>22991231</v>
      </c>
      <c r="E4589" s="25">
        <v>265.56</v>
      </c>
    </row>
    <row r="4590" spans="1:5" x14ac:dyDescent="0.3">
      <c r="A4590" s="17" t="str">
        <f>"76376"</f>
        <v>76376</v>
      </c>
      <c r="B4590" s="5" t="s">
        <v>4745</v>
      </c>
      <c r="C4590" s="17">
        <v>20230101</v>
      </c>
      <c r="D4590" s="17">
        <v>22991231</v>
      </c>
      <c r="E4590" s="25">
        <v>0</v>
      </c>
    </row>
    <row r="4591" spans="1:5" ht="26" x14ac:dyDescent="0.3">
      <c r="A4591" s="17" t="str">
        <f>"76377"</f>
        <v>76377</v>
      </c>
      <c r="B4591" s="5" t="s">
        <v>4746</v>
      </c>
      <c r="C4591" s="17">
        <v>20230101</v>
      </c>
      <c r="D4591" s="17">
        <v>22991231</v>
      </c>
      <c r="E4591" s="25">
        <v>0</v>
      </c>
    </row>
    <row r="4592" spans="1:5" x14ac:dyDescent="0.3">
      <c r="A4592" s="17" t="str">
        <f>"76380"</f>
        <v>76380</v>
      </c>
      <c r="B4592" s="5" t="s">
        <v>4747</v>
      </c>
      <c r="C4592" s="17">
        <v>19920115</v>
      </c>
      <c r="D4592" s="17">
        <v>22991231</v>
      </c>
      <c r="E4592" s="25">
        <v>0</v>
      </c>
    </row>
    <row r="4593" spans="1:5" ht="26" x14ac:dyDescent="0.3">
      <c r="A4593" s="17" t="str">
        <f>"76390"</f>
        <v>76390</v>
      </c>
      <c r="B4593" s="5" t="s">
        <v>4748</v>
      </c>
      <c r="C4593" s="17">
        <v>20151001</v>
      </c>
      <c r="D4593" s="17">
        <v>22991231</v>
      </c>
      <c r="E4593" s="25">
        <v>45.03</v>
      </c>
    </row>
    <row r="4594" spans="1:5" x14ac:dyDescent="0.3">
      <c r="A4594" s="17" t="str">
        <f>"76391"</f>
        <v>76391</v>
      </c>
      <c r="B4594" s="5" t="s">
        <v>4749</v>
      </c>
      <c r="C4594" s="17">
        <v>20190101</v>
      </c>
      <c r="D4594" s="17">
        <v>22991231</v>
      </c>
      <c r="E4594" s="25">
        <v>121.41</v>
      </c>
    </row>
    <row r="4595" spans="1:5" x14ac:dyDescent="0.3">
      <c r="A4595" s="17" t="str">
        <f>"76496"</f>
        <v>76496</v>
      </c>
      <c r="B4595" s="5" t="s">
        <v>4750</v>
      </c>
      <c r="C4595" s="17">
        <v>20230101</v>
      </c>
      <c r="D4595" s="17">
        <v>22991231</v>
      </c>
      <c r="E4595" s="25">
        <v>0</v>
      </c>
    </row>
    <row r="4596" spans="1:5" x14ac:dyDescent="0.3">
      <c r="A4596" s="17" t="str">
        <f>"76497"</f>
        <v>76497</v>
      </c>
      <c r="B4596" s="5" t="s">
        <v>4751</v>
      </c>
      <c r="C4596" s="17">
        <v>20230101</v>
      </c>
      <c r="D4596" s="17">
        <v>22991231</v>
      </c>
      <c r="E4596" s="25">
        <v>0</v>
      </c>
    </row>
    <row r="4597" spans="1:5" x14ac:dyDescent="0.3">
      <c r="A4597" s="17" t="str">
        <f>"76498"</f>
        <v>76498</v>
      </c>
      <c r="B4597" s="5" t="s">
        <v>4752</v>
      </c>
      <c r="C4597" s="17">
        <v>20230101</v>
      </c>
      <c r="D4597" s="17">
        <v>22991231</v>
      </c>
      <c r="E4597" s="25">
        <v>45.03</v>
      </c>
    </row>
    <row r="4598" spans="1:5" x14ac:dyDescent="0.3">
      <c r="A4598" s="17" t="str">
        <f>"76499"</f>
        <v>76499</v>
      </c>
      <c r="B4598" s="5" t="s">
        <v>4753</v>
      </c>
      <c r="C4598" s="17">
        <v>20151001</v>
      </c>
      <c r="D4598" s="17">
        <v>22991231</v>
      </c>
      <c r="E4598" s="25">
        <v>0</v>
      </c>
    </row>
    <row r="4599" spans="1:5" x14ac:dyDescent="0.3">
      <c r="A4599" s="17" t="str">
        <f>"76506"</f>
        <v>76506</v>
      </c>
      <c r="B4599" s="5" t="s">
        <v>4754</v>
      </c>
      <c r="C4599" s="17">
        <v>19900101</v>
      </c>
      <c r="D4599" s="17">
        <v>22991231</v>
      </c>
      <c r="E4599" s="25">
        <v>0</v>
      </c>
    </row>
    <row r="4600" spans="1:5" ht="26" x14ac:dyDescent="0.3">
      <c r="A4600" s="17" t="str">
        <f>"76510"</f>
        <v>76510</v>
      </c>
      <c r="B4600" s="5" t="s">
        <v>4755</v>
      </c>
      <c r="C4600" s="17">
        <v>20230101</v>
      </c>
      <c r="D4600" s="17">
        <v>22991231</v>
      </c>
      <c r="E4600" s="25">
        <v>0</v>
      </c>
    </row>
    <row r="4601" spans="1:5" x14ac:dyDescent="0.3">
      <c r="A4601" s="17" t="str">
        <f>"76511"</f>
        <v>76511</v>
      </c>
      <c r="B4601" s="5" t="s">
        <v>4756</v>
      </c>
      <c r="C4601" s="17">
        <v>19900101</v>
      </c>
      <c r="D4601" s="17">
        <v>22991231</v>
      </c>
      <c r="E4601" s="25">
        <v>0</v>
      </c>
    </row>
    <row r="4602" spans="1:5" x14ac:dyDescent="0.3">
      <c r="A4602" s="17" t="str">
        <f>"76512"</f>
        <v>76512</v>
      </c>
      <c r="B4602" s="5" t="s">
        <v>4757</v>
      </c>
      <c r="C4602" s="17">
        <v>20230101</v>
      </c>
      <c r="D4602" s="17">
        <v>22991231</v>
      </c>
      <c r="E4602" s="25">
        <v>0</v>
      </c>
    </row>
    <row r="4603" spans="1:5" x14ac:dyDescent="0.3">
      <c r="A4603" s="17" t="str">
        <f>"76513"</f>
        <v>76513</v>
      </c>
      <c r="B4603" s="5" t="s">
        <v>4758</v>
      </c>
      <c r="C4603" s="17">
        <v>20230101</v>
      </c>
      <c r="D4603" s="17">
        <v>22991231</v>
      </c>
      <c r="E4603" s="25">
        <v>0</v>
      </c>
    </row>
    <row r="4604" spans="1:5" x14ac:dyDescent="0.3">
      <c r="A4604" s="17" t="str">
        <f>"76514"</f>
        <v>76514</v>
      </c>
      <c r="B4604" s="5" t="s">
        <v>4759</v>
      </c>
      <c r="C4604" s="17">
        <v>20230101</v>
      </c>
      <c r="D4604" s="17">
        <v>22991231</v>
      </c>
      <c r="E4604" s="25">
        <v>0</v>
      </c>
    </row>
    <row r="4605" spans="1:5" x14ac:dyDescent="0.3">
      <c r="A4605" s="17" t="str">
        <f>"76516"</f>
        <v>76516</v>
      </c>
      <c r="B4605" s="5" t="s">
        <v>4760</v>
      </c>
      <c r="C4605" s="17">
        <v>19900101</v>
      </c>
      <c r="D4605" s="17">
        <v>22991231</v>
      </c>
      <c r="E4605" s="25">
        <v>0</v>
      </c>
    </row>
    <row r="4606" spans="1:5" ht="26" x14ac:dyDescent="0.3">
      <c r="A4606" s="17" t="str">
        <f>"76519"</f>
        <v>76519</v>
      </c>
      <c r="B4606" s="5" t="s">
        <v>4761</v>
      </c>
      <c r="C4606" s="17">
        <v>19900101</v>
      </c>
      <c r="D4606" s="17">
        <v>22991231</v>
      </c>
      <c r="E4606" s="25">
        <v>0</v>
      </c>
    </row>
    <row r="4607" spans="1:5" ht="26" x14ac:dyDescent="0.3">
      <c r="A4607" s="17" t="str">
        <f>"76529"</f>
        <v>76529</v>
      </c>
      <c r="B4607" s="5" t="s">
        <v>4762</v>
      </c>
      <c r="C4607" s="17">
        <v>19900101</v>
      </c>
      <c r="D4607" s="17">
        <v>22991231</v>
      </c>
      <c r="E4607" s="25">
        <v>0</v>
      </c>
    </row>
    <row r="4608" spans="1:5" x14ac:dyDescent="0.3">
      <c r="A4608" s="17" t="str">
        <f>"76536"</f>
        <v>76536</v>
      </c>
      <c r="B4608" s="5" t="s">
        <v>4763</v>
      </c>
      <c r="C4608" s="17">
        <v>19900101</v>
      </c>
      <c r="D4608" s="17">
        <v>22991231</v>
      </c>
      <c r="E4608" s="25">
        <v>0</v>
      </c>
    </row>
    <row r="4609" spans="1:5" x14ac:dyDescent="0.3">
      <c r="A4609" s="17" t="str">
        <f>"76604"</f>
        <v>76604</v>
      </c>
      <c r="B4609" s="5" t="s">
        <v>4764</v>
      </c>
      <c r="C4609" s="17">
        <v>19900101</v>
      </c>
      <c r="D4609" s="17">
        <v>22991231</v>
      </c>
      <c r="E4609" s="25">
        <v>0</v>
      </c>
    </row>
    <row r="4610" spans="1:5" x14ac:dyDescent="0.3">
      <c r="A4610" s="17" t="str">
        <f>"76641"</f>
        <v>76641</v>
      </c>
      <c r="B4610" s="5" t="s">
        <v>4765</v>
      </c>
      <c r="C4610" s="17">
        <v>20230101</v>
      </c>
      <c r="D4610" s="17">
        <v>22991231</v>
      </c>
      <c r="E4610" s="25">
        <v>0</v>
      </c>
    </row>
    <row r="4611" spans="1:5" x14ac:dyDescent="0.3">
      <c r="A4611" s="17" t="str">
        <f>"76642"</f>
        <v>76642</v>
      </c>
      <c r="B4611" s="5" t="s">
        <v>4766</v>
      </c>
      <c r="C4611" s="17">
        <v>20230101</v>
      </c>
      <c r="D4611" s="17">
        <v>22991231</v>
      </c>
      <c r="E4611" s="25">
        <v>0</v>
      </c>
    </row>
    <row r="4612" spans="1:5" x14ac:dyDescent="0.3">
      <c r="A4612" s="17" t="str">
        <f>"76700"</f>
        <v>76700</v>
      </c>
      <c r="B4612" s="5" t="s">
        <v>4767</v>
      </c>
      <c r="C4612" s="17">
        <v>19900101</v>
      </c>
      <c r="D4612" s="17">
        <v>22991231</v>
      </c>
      <c r="E4612" s="25">
        <v>54.47</v>
      </c>
    </row>
    <row r="4613" spans="1:5" x14ac:dyDescent="0.3">
      <c r="A4613" s="17" t="str">
        <f>"76705"</f>
        <v>76705</v>
      </c>
      <c r="B4613" s="5" t="s">
        <v>4768</v>
      </c>
      <c r="C4613" s="17">
        <v>19900101</v>
      </c>
      <c r="D4613" s="17">
        <v>22991231</v>
      </c>
      <c r="E4613" s="25">
        <v>54.47</v>
      </c>
    </row>
    <row r="4614" spans="1:5" x14ac:dyDescent="0.3">
      <c r="A4614" s="17" t="str">
        <f>"76706"</f>
        <v>76706</v>
      </c>
      <c r="B4614" s="5" t="s">
        <v>4769</v>
      </c>
      <c r="C4614" s="17">
        <v>20170101</v>
      </c>
      <c r="D4614" s="17">
        <v>22991231</v>
      </c>
      <c r="E4614" s="24" t="s">
        <v>7128</v>
      </c>
    </row>
    <row r="4615" spans="1:5" ht="26" x14ac:dyDescent="0.3">
      <c r="A4615" s="17" t="str">
        <f>"76770"</f>
        <v>76770</v>
      </c>
      <c r="B4615" s="5" t="s">
        <v>4770</v>
      </c>
      <c r="C4615" s="17">
        <v>19980101</v>
      </c>
      <c r="D4615" s="17">
        <v>22991231</v>
      </c>
      <c r="E4615" s="25">
        <v>54.47</v>
      </c>
    </row>
    <row r="4616" spans="1:5" ht="26" x14ac:dyDescent="0.3">
      <c r="A4616" s="17" t="str">
        <f>"76775"</f>
        <v>76775</v>
      </c>
      <c r="B4616" s="5" t="s">
        <v>4771</v>
      </c>
      <c r="C4616" s="17">
        <v>19900101</v>
      </c>
      <c r="D4616" s="17">
        <v>22991231</v>
      </c>
      <c r="E4616" s="25">
        <v>0</v>
      </c>
    </row>
    <row r="4617" spans="1:5" x14ac:dyDescent="0.3">
      <c r="A4617" s="17" t="str">
        <f>"76776"</f>
        <v>76776</v>
      </c>
      <c r="B4617" s="5" t="s">
        <v>4772</v>
      </c>
      <c r="C4617" s="17">
        <v>20230101</v>
      </c>
      <c r="D4617" s="17">
        <v>22991231</v>
      </c>
      <c r="E4617" s="25">
        <v>54.47</v>
      </c>
    </row>
    <row r="4618" spans="1:5" x14ac:dyDescent="0.3">
      <c r="A4618" s="17" t="str">
        <f>"76800"</f>
        <v>76800</v>
      </c>
      <c r="B4618" s="5" t="s">
        <v>4773</v>
      </c>
      <c r="C4618" s="17">
        <v>20230101</v>
      </c>
      <c r="D4618" s="17">
        <v>22991231</v>
      </c>
      <c r="E4618" s="25">
        <v>0</v>
      </c>
    </row>
    <row r="4619" spans="1:5" ht="26" x14ac:dyDescent="0.3">
      <c r="A4619" s="17" t="str">
        <f>"76801"</f>
        <v>76801</v>
      </c>
      <c r="B4619" s="5" t="s">
        <v>4774</v>
      </c>
      <c r="C4619" s="17">
        <v>20230101</v>
      </c>
      <c r="D4619" s="17">
        <v>22991231</v>
      </c>
      <c r="E4619" s="25">
        <v>54.47</v>
      </c>
    </row>
    <row r="4620" spans="1:5" ht="26" x14ac:dyDescent="0.3">
      <c r="A4620" s="17" t="str">
        <f>"76802"</f>
        <v>76802</v>
      </c>
      <c r="B4620" s="5" t="s">
        <v>4775</v>
      </c>
      <c r="C4620" s="17">
        <v>20230101</v>
      </c>
      <c r="D4620" s="17">
        <v>22991231</v>
      </c>
      <c r="E4620" s="25">
        <v>0</v>
      </c>
    </row>
    <row r="4621" spans="1:5" ht="26" x14ac:dyDescent="0.3">
      <c r="A4621" s="17" t="str">
        <f>"76805"</f>
        <v>76805</v>
      </c>
      <c r="B4621" s="5" t="s">
        <v>4776</v>
      </c>
      <c r="C4621" s="17">
        <v>20230101</v>
      </c>
      <c r="D4621" s="17">
        <v>22991231</v>
      </c>
      <c r="E4621" s="25">
        <v>54.47</v>
      </c>
    </row>
    <row r="4622" spans="1:5" ht="26" x14ac:dyDescent="0.3">
      <c r="A4622" s="17" t="str">
        <f>"76810"</f>
        <v>76810</v>
      </c>
      <c r="B4622" s="5" t="s">
        <v>4777</v>
      </c>
      <c r="C4622" s="17">
        <v>19920115</v>
      </c>
      <c r="D4622" s="17">
        <v>22991231</v>
      </c>
      <c r="E4622" s="25">
        <v>0</v>
      </c>
    </row>
    <row r="4623" spans="1:5" ht="26" x14ac:dyDescent="0.3">
      <c r="A4623" s="17" t="str">
        <f>"76811"</f>
        <v>76811</v>
      </c>
      <c r="B4623" s="5" t="s">
        <v>4778</v>
      </c>
      <c r="C4623" s="17">
        <v>20230101</v>
      </c>
      <c r="D4623" s="17">
        <v>22991231</v>
      </c>
      <c r="E4623" s="25">
        <v>104.77</v>
      </c>
    </row>
    <row r="4624" spans="1:5" ht="26" x14ac:dyDescent="0.3">
      <c r="A4624" s="17" t="str">
        <f>"76812"</f>
        <v>76812</v>
      </c>
      <c r="B4624" s="5" t="s">
        <v>4779</v>
      </c>
      <c r="C4624" s="17">
        <v>20230101</v>
      </c>
      <c r="D4624" s="17">
        <v>22991231</v>
      </c>
      <c r="E4624" s="25">
        <v>0</v>
      </c>
    </row>
    <row r="4625" spans="1:5" ht="52" x14ac:dyDescent="0.3">
      <c r="A4625" s="17" t="str">
        <f>"76813"</f>
        <v>76813</v>
      </c>
      <c r="B4625" s="5" t="s">
        <v>4780</v>
      </c>
      <c r="C4625" s="17">
        <v>20230101</v>
      </c>
      <c r="D4625" s="17">
        <v>22991231</v>
      </c>
      <c r="E4625" s="25">
        <v>0</v>
      </c>
    </row>
    <row r="4626" spans="1:5" ht="52" x14ac:dyDescent="0.3">
      <c r="A4626" s="17" t="str">
        <f>"76814"</f>
        <v>76814</v>
      </c>
      <c r="B4626" s="5" t="s">
        <v>4781</v>
      </c>
      <c r="C4626" s="17">
        <v>20230101</v>
      </c>
      <c r="D4626" s="17">
        <v>22991231</v>
      </c>
      <c r="E4626" s="25">
        <v>0</v>
      </c>
    </row>
    <row r="4627" spans="1:5" x14ac:dyDescent="0.3">
      <c r="A4627" s="17" t="str">
        <f>"76815"</f>
        <v>76815</v>
      </c>
      <c r="B4627" s="5" t="s">
        <v>4782</v>
      </c>
      <c r="C4627" s="17">
        <v>20230101</v>
      </c>
      <c r="D4627" s="17">
        <v>22991231</v>
      </c>
      <c r="E4627" s="25">
        <v>0</v>
      </c>
    </row>
    <row r="4628" spans="1:5" x14ac:dyDescent="0.3">
      <c r="A4628" s="17" t="str">
        <f>"76816"</f>
        <v>76816</v>
      </c>
      <c r="B4628" s="5" t="s">
        <v>4783</v>
      </c>
      <c r="C4628" s="17">
        <v>19900101</v>
      </c>
      <c r="D4628" s="17">
        <v>22991231</v>
      </c>
      <c r="E4628" s="25">
        <v>0</v>
      </c>
    </row>
    <row r="4629" spans="1:5" x14ac:dyDescent="0.3">
      <c r="A4629" s="17" t="str">
        <f>"76817"</f>
        <v>76817</v>
      </c>
      <c r="B4629" s="5" t="s">
        <v>4784</v>
      </c>
      <c r="C4629" s="17">
        <v>20230101</v>
      </c>
      <c r="D4629" s="17">
        <v>22991231</v>
      </c>
      <c r="E4629" s="25">
        <v>0</v>
      </c>
    </row>
    <row r="4630" spans="1:5" x14ac:dyDescent="0.3">
      <c r="A4630" s="17" t="str">
        <f>"76818"</f>
        <v>76818</v>
      </c>
      <c r="B4630" s="5" t="s">
        <v>4785</v>
      </c>
      <c r="C4630" s="17">
        <v>20230101</v>
      </c>
      <c r="D4630" s="17">
        <v>22991231</v>
      </c>
      <c r="E4630" s="25">
        <v>54.47</v>
      </c>
    </row>
    <row r="4631" spans="1:5" x14ac:dyDescent="0.3">
      <c r="A4631" s="17" t="str">
        <f>"76819"</f>
        <v>76819</v>
      </c>
      <c r="B4631" s="5" t="s">
        <v>4786</v>
      </c>
      <c r="C4631" s="17">
        <v>20010101</v>
      </c>
      <c r="D4631" s="17">
        <v>22991231</v>
      </c>
      <c r="E4631" s="25">
        <v>55.05</v>
      </c>
    </row>
    <row r="4632" spans="1:5" ht="26" x14ac:dyDescent="0.3">
      <c r="A4632" s="17" t="str">
        <f>"76820"</f>
        <v>76820</v>
      </c>
      <c r="B4632" s="5" t="s">
        <v>4787</v>
      </c>
      <c r="C4632" s="17">
        <v>20230101</v>
      </c>
      <c r="D4632" s="17">
        <v>22991231</v>
      </c>
      <c r="E4632" s="25">
        <v>0</v>
      </c>
    </row>
    <row r="4633" spans="1:5" ht="26" x14ac:dyDescent="0.3">
      <c r="A4633" s="17" t="str">
        <f>"76821"</f>
        <v>76821</v>
      </c>
      <c r="B4633" s="5" t="s">
        <v>4788</v>
      </c>
      <c r="C4633" s="17">
        <v>20230101</v>
      </c>
      <c r="D4633" s="17">
        <v>22991231</v>
      </c>
      <c r="E4633" s="25">
        <v>0</v>
      </c>
    </row>
    <row r="4634" spans="1:5" x14ac:dyDescent="0.3">
      <c r="A4634" s="17" t="str">
        <f>"76825"</f>
        <v>76825</v>
      </c>
      <c r="B4634" s="5" t="s">
        <v>4789</v>
      </c>
      <c r="C4634" s="17">
        <v>19900101</v>
      </c>
      <c r="D4634" s="17">
        <v>22991231</v>
      </c>
      <c r="E4634" s="25">
        <v>191.1</v>
      </c>
    </row>
    <row r="4635" spans="1:5" x14ac:dyDescent="0.3">
      <c r="A4635" s="17" t="str">
        <f>"76826"</f>
        <v>76826</v>
      </c>
      <c r="B4635" s="5" t="s">
        <v>4790</v>
      </c>
      <c r="C4635" s="17">
        <v>20230101</v>
      </c>
      <c r="D4635" s="17">
        <v>22991231</v>
      </c>
      <c r="E4635" s="25">
        <v>119.79</v>
      </c>
    </row>
    <row r="4636" spans="1:5" x14ac:dyDescent="0.3">
      <c r="A4636" s="17" t="str">
        <f>"76827"</f>
        <v>76827</v>
      </c>
      <c r="B4636" s="5" t="s">
        <v>4791</v>
      </c>
      <c r="C4636" s="17">
        <v>20230101</v>
      </c>
      <c r="D4636" s="17">
        <v>22991231</v>
      </c>
      <c r="E4636" s="25">
        <v>0</v>
      </c>
    </row>
    <row r="4637" spans="1:5" ht="26" x14ac:dyDescent="0.3">
      <c r="A4637" s="17" t="str">
        <f>"76828"</f>
        <v>76828</v>
      </c>
      <c r="B4637" s="5" t="s">
        <v>4792</v>
      </c>
      <c r="C4637" s="17">
        <v>20230101</v>
      </c>
      <c r="D4637" s="17">
        <v>22991231</v>
      </c>
      <c r="E4637" s="25">
        <v>0</v>
      </c>
    </row>
    <row r="4638" spans="1:5" ht="26" x14ac:dyDescent="0.3">
      <c r="A4638" s="17" t="str">
        <f>"76830"</f>
        <v>76830</v>
      </c>
      <c r="B4638" s="5" t="s">
        <v>4793</v>
      </c>
      <c r="C4638" s="17">
        <v>20230101</v>
      </c>
      <c r="D4638" s="17">
        <v>22991231</v>
      </c>
      <c r="E4638" s="25">
        <v>54.47</v>
      </c>
    </row>
    <row r="4639" spans="1:5" x14ac:dyDescent="0.3">
      <c r="A4639" s="17" t="str">
        <f>"76831"</f>
        <v>76831</v>
      </c>
      <c r="B4639" s="5" t="s">
        <v>4794</v>
      </c>
      <c r="C4639" s="17">
        <v>19980101</v>
      </c>
      <c r="D4639" s="17">
        <v>22991231</v>
      </c>
      <c r="E4639" s="25">
        <v>85.7</v>
      </c>
    </row>
    <row r="4640" spans="1:5" x14ac:dyDescent="0.3">
      <c r="A4640" s="17" t="str">
        <f>"76856"</f>
        <v>76856</v>
      </c>
      <c r="B4640" s="5" t="s">
        <v>4795</v>
      </c>
      <c r="C4640" s="17">
        <v>19900101</v>
      </c>
      <c r="D4640" s="17">
        <v>22991231</v>
      </c>
      <c r="E4640" s="25">
        <v>54.47</v>
      </c>
    </row>
    <row r="4641" spans="1:5" x14ac:dyDescent="0.3">
      <c r="A4641" s="17" t="str">
        <f>"76857"</f>
        <v>76857</v>
      </c>
      <c r="B4641" s="5" t="s">
        <v>4796</v>
      </c>
      <c r="C4641" s="17">
        <v>19900101</v>
      </c>
      <c r="D4641" s="17">
        <v>22991231</v>
      </c>
      <c r="E4641" s="25">
        <v>29.71</v>
      </c>
    </row>
    <row r="4642" spans="1:5" x14ac:dyDescent="0.3">
      <c r="A4642" s="17" t="str">
        <f>"76870"</f>
        <v>76870</v>
      </c>
      <c r="B4642" s="5" t="s">
        <v>4797</v>
      </c>
      <c r="C4642" s="17">
        <v>19980101</v>
      </c>
      <c r="D4642" s="17">
        <v>22991231</v>
      </c>
      <c r="E4642" s="25">
        <v>0</v>
      </c>
    </row>
    <row r="4643" spans="1:5" x14ac:dyDescent="0.3">
      <c r="A4643" s="17" t="str">
        <f>"76872"</f>
        <v>76872</v>
      </c>
      <c r="B4643" s="5" t="s">
        <v>4798</v>
      </c>
      <c r="C4643" s="17">
        <v>20240101</v>
      </c>
      <c r="D4643" s="17">
        <v>22991231</v>
      </c>
      <c r="E4643" s="25">
        <v>54.47</v>
      </c>
    </row>
    <row r="4644" spans="1:5" x14ac:dyDescent="0.3">
      <c r="A4644" s="17" t="str">
        <f>"76873"</f>
        <v>76873</v>
      </c>
      <c r="B4644" s="5" t="s">
        <v>4799</v>
      </c>
      <c r="C4644" s="17">
        <v>20000101</v>
      </c>
      <c r="D4644" s="17">
        <v>22991231</v>
      </c>
      <c r="E4644" s="25">
        <v>54.47</v>
      </c>
    </row>
    <row r="4645" spans="1:5" x14ac:dyDescent="0.3">
      <c r="A4645" s="17" t="str">
        <f>"76881"</f>
        <v>76881</v>
      </c>
      <c r="B4645" s="5" t="s">
        <v>4800</v>
      </c>
      <c r="C4645" s="17">
        <v>20230101</v>
      </c>
      <c r="D4645" s="17">
        <v>22991231</v>
      </c>
      <c r="E4645" s="25">
        <v>20.64</v>
      </c>
    </row>
    <row r="4646" spans="1:5" ht="26" x14ac:dyDescent="0.3">
      <c r="A4646" s="17" t="str">
        <f>"76882"</f>
        <v>76882</v>
      </c>
      <c r="B4646" s="5" t="s">
        <v>4801</v>
      </c>
      <c r="C4646" s="17">
        <v>20230101</v>
      </c>
      <c r="D4646" s="17">
        <v>22991231</v>
      </c>
      <c r="E4646" s="25">
        <v>0</v>
      </c>
    </row>
    <row r="4647" spans="1:5" x14ac:dyDescent="0.3">
      <c r="A4647" s="17" t="str">
        <f>"76885"</f>
        <v>76885</v>
      </c>
      <c r="B4647" s="5" t="s">
        <v>4802</v>
      </c>
      <c r="C4647" s="17">
        <v>19980101</v>
      </c>
      <c r="D4647" s="17">
        <v>22991231</v>
      </c>
      <c r="E4647" s="25">
        <v>0</v>
      </c>
    </row>
    <row r="4648" spans="1:5" x14ac:dyDescent="0.3">
      <c r="A4648" s="17" t="str">
        <f>"76886"</f>
        <v>76886</v>
      </c>
      <c r="B4648" s="5" t="s">
        <v>4803</v>
      </c>
      <c r="C4648" s="17">
        <v>19980101</v>
      </c>
      <c r="D4648" s="17">
        <v>22991231</v>
      </c>
      <c r="E4648" s="25">
        <v>0</v>
      </c>
    </row>
    <row r="4649" spans="1:5" x14ac:dyDescent="0.3">
      <c r="A4649" s="17" t="str">
        <f>"76932"</f>
        <v>76932</v>
      </c>
      <c r="B4649" s="5" t="s">
        <v>4804</v>
      </c>
      <c r="C4649" s="17">
        <v>20230101</v>
      </c>
      <c r="D4649" s="17">
        <v>22991231</v>
      </c>
      <c r="E4649" s="25">
        <v>0</v>
      </c>
    </row>
    <row r="4650" spans="1:5" ht="26" x14ac:dyDescent="0.3">
      <c r="A4650" s="17" t="str">
        <f>"76936"</f>
        <v>76936</v>
      </c>
      <c r="B4650" s="5" t="s">
        <v>4805</v>
      </c>
      <c r="C4650" s="17">
        <v>20230101</v>
      </c>
      <c r="D4650" s="17">
        <v>22991231</v>
      </c>
      <c r="E4650" s="25">
        <v>155.52000000000001</v>
      </c>
    </row>
    <row r="4651" spans="1:5" x14ac:dyDescent="0.3">
      <c r="A4651" s="17" t="str">
        <f>"76937"</f>
        <v>76937</v>
      </c>
      <c r="B4651" s="5" t="s">
        <v>4806</v>
      </c>
      <c r="C4651" s="17">
        <v>20230101</v>
      </c>
      <c r="D4651" s="17">
        <v>22991231</v>
      </c>
      <c r="E4651" s="25">
        <v>0</v>
      </c>
    </row>
    <row r="4652" spans="1:5" x14ac:dyDescent="0.3">
      <c r="A4652" s="17" t="str">
        <f>"76940"</f>
        <v>76940</v>
      </c>
      <c r="B4652" s="5" t="s">
        <v>4807</v>
      </c>
      <c r="C4652" s="17">
        <v>20230101</v>
      </c>
      <c r="D4652" s="17">
        <v>22991231</v>
      </c>
      <c r="E4652" s="25">
        <v>0</v>
      </c>
    </row>
    <row r="4653" spans="1:5" ht="26" x14ac:dyDescent="0.3">
      <c r="A4653" s="17" t="str">
        <f>"76941"</f>
        <v>76941</v>
      </c>
      <c r="B4653" s="5" t="s">
        <v>4808</v>
      </c>
      <c r="C4653" s="17">
        <v>20230101</v>
      </c>
      <c r="D4653" s="17">
        <v>22991231</v>
      </c>
      <c r="E4653" s="25">
        <v>0</v>
      </c>
    </row>
    <row r="4654" spans="1:5" x14ac:dyDescent="0.3">
      <c r="A4654" s="17" t="str">
        <f>"76942"</f>
        <v>76942</v>
      </c>
      <c r="B4654" s="5" t="s">
        <v>4809</v>
      </c>
      <c r="C4654" s="17">
        <v>19900101</v>
      </c>
      <c r="D4654" s="17">
        <v>22991231</v>
      </c>
      <c r="E4654" s="25">
        <v>0</v>
      </c>
    </row>
    <row r="4655" spans="1:5" x14ac:dyDescent="0.3">
      <c r="A4655" s="17" t="str">
        <f>"76945"</f>
        <v>76945</v>
      </c>
      <c r="B4655" s="5" t="s">
        <v>4810</v>
      </c>
      <c r="C4655" s="17">
        <v>20230101</v>
      </c>
      <c r="D4655" s="17">
        <v>22991231</v>
      </c>
      <c r="E4655" s="25">
        <v>0</v>
      </c>
    </row>
    <row r="4656" spans="1:5" ht="26" x14ac:dyDescent="0.3">
      <c r="A4656" s="17" t="str">
        <f>"76946"</f>
        <v>76946</v>
      </c>
      <c r="B4656" s="5" t="s">
        <v>4811</v>
      </c>
      <c r="C4656" s="17">
        <v>19900101</v>
      </c>
      <c r="D4656" s="17">
        <v>22991231</v>
      </c>
      <c r="E4656" s="25">
        <v>0</v>
      </c>
    </row>
    <row r="4657" spans="1:5" x14ac:dyDescent="0.3">
      <c r="A4657" s="17" t="str">
        <f>"76948"</f>
        <v>76948</v>
      </c>
      <c r="B4657" s="5" t="s">
        <v>4812</v>
      </c>
      <c r="C4657" s="17">
        <v>20230101</v>
      </c>
      <c r="D4657" s="17">
        <v>22991231</v>
      </c>
      <c r="E4657" s="25">
        <v>0</v>
      </c>
    </row>
    <row r="4658" spans="1:5" ht="26" x14ac:dyDescent="0.3">
      <c r="A4658" s="17" t="str">
        <f>"76965"</f>
        <v>76965</v>
      </c>
      <c r="B4658" s="5" t="s">
        <v>4813</v>
      </c>
      <c r="C4658" s="17">
        <v>19960101</v>
      </c>
      <c r="D4658" s="17">
        <v>22991231</v>
      </c>
      <c r="E4658" s="25">
        <v>0</v>
      </c>
    </row>
    <row r="4659" spans="1:5" ht="26" x14ac:dyDescent="0.3">
      <c r="A4659" s="17" t="str">
        <f>"76975"</f>
        <v>76975</v>
      </c>
      <c r="B4659" s="5" t="s">
        <v>4814</v>
      </c>
      <c r="C4659" s="17">
        <v>19940101</v>
      </c>
      <c r="D4659" s="17">
        <v>22991231</v>
      </c>
      <c r="E4659" s="25">
        <v>0</v>
      </c>
    </row>
    <row r="4660" spans="1:5" x14ac:dyDescent="0.3">
      <c r="A4660" s="17" t="str">
        <f>"76977"</f>
        <v>76977</v>
      </c>
      <c r="B4660" s="5" t="s">
        <v>4815</v>
      </c>
      <c r="C4660" s="17">
        <v>19990101</v>
      </c>
      <c r="D4660" s="17">
        <v>22991231</v>
      </c>
      <c r="E4660" s="25">
        <v>4.6900000000000004</v>
      </c>
    </row>
    <row r="4661" spans="1:5" ht="26" x14ac:dyDescent="0.3">
      <c r="A4661" s="17" t="str">
        <f>"76978"</f>
        <v>76978</v>
      </c>
      <c r="B4661" s="5" t="s">
        <v>4816</v>
      </c>
      <c r="C4661" s="17">
        <v>20190101</v>
      </c>
      <c r="D4661" s="17">
        <v>22991231</v>
      </c>
      <c r="E4661" s="25">
        <v>91.04</v>
      </c>
    </row>
    <row r="4662" spans="1:5" ht="26" x14ac:dyDescent="0.3">
      <c r="A4662" s="17" t="str">
        <f>"76979"</f>
        <v>76979</v>
      </c>
      <c r="B4662" s="5" t="s">
        <v>4817</v>
      </c>
      <c r="C4662" s="17">
        <v>20190101</v>
      </c>
      <c r="D4662" s="17">
        <v>22991231</v>
      </c>
      <c r="E4662" s="25">
        <v>0</v>
      </c>
    </row>
    <row r="4663" spans="1:5" ht="26" x14ac:dyDescent="0.3">
      <c r="A4663" s="17" t="str">
        <f>"76981"</f>
        <v>76981</v>
      </c>
      <c r="B4663" s="5" t="s">
        <v>4818</v>
      </c>
      <c r="C4663" s="17">
        <v>20190101</v>
      </c>
      <c r="D4663" s="17">
        <v>22991231</v>
      </c>
      <c r="E4663" s="25">
        <v>54.47</v>
      </c>
    </row>
    <row r="4664" spans="1:5" ht="26" x14ac:dyDescent="0.3">
      <c r="A4664" s="17" t="str">
        <f>"76982"</f>
        <v>76982</v>
      </c>
      <c r="B4664" s="5" t="s">
        <v>4819</v>
      </c>
      <c r="C4664" s="17">
        <v>20190101</v>
      </c>
      <c r="D4664" s="17">
        <v>22991231</v>
      </c>
      <c r="E4664" s="25">
        <v>54.47</v>
      </c>
    </row>
    <row r="4665" spans="1:5" ht="26" x14ac:dyDescent="0.3">
      <c r="A4665" s="17" t="str">
        <f>"76983"</f>
        <v>76983</v>
      </c>
      <c r="B4665" s="5" t="s">
        <v>4820</v>
      </c>
      <c r="C4665" s="17">
        <v>20190101</v>
      </c>
      <c r="D4665" s="17">
        <v>22991231</v>
      </c>
      <c r="E4665" s="25">
        <v>0</v>
      </c>
    </row>
    <row r="4666" spans="1:5" x14ac:dyDescent="0.3">
      <c r="A4666" s="17" t="str">
        <f>"76998"</f>
        <v>76998</v>
      </c>
      <c r="B4666" s="5" t="s">
        <v>4821</v>
      </c>
      <c r="C4666" s="17">
        <v>20230101</v>
      </c>
      <c r="D4666" s="17">
        <v>22991231</v>
      </c>
      <c r="E4666" s="25">
        <v>0</v>
      </c>
    </row>
    <row r="4667" spans="1:5" x14ac:dyDescent="0.3">
      <c r="A4667" s="17" t="str">
        <f>"76999"</f>
        <v>76999</v>
      </c>
      <c r="B4667" s="5" t="s">
        <v>4822</v>
      </c>
      <c r="C4667" s="17">
        <v>20230101</v>
      </c>
      <c r="D4667" s="17">
        <v>22991231</v>
      </c>
      <c r="E4667" s="25">
        <v>0</v>
      </c>
    </row>
    <row r="4668" spans="1:5" ht="26" x14ac:dyDescent="0.3">
      <c r="A4668" s="17" t="str">
        <f>"77001"</f>
        <v>77001</v>
      </c>
      <c r="B4668" s="5" t="s">
        <v>4823</v>
      </c>
      <c r="C4668" s="17">
        <v>20230101</v>
      </c>
      <c r="D4668" s="17">
        <v>22991231</v>
      </c>
      <c r="E4668" s="25">
        <v>0</v>
      </c>
    </row>
    <row r="4669" spans="1:5" x14ac:dyDescent="0.3">
      <c r="A4669" s="17" t="str">
        <f>"77002"</f>
        <v>77002</v>
      </c>
      <c r="B4669" s="5" t="s">
        <v>4824</v>
      </c>
      <c r="C4669" s="17">
        <v>20230101</v>
      </c>
      <c r="D4669" s="17">
        <v>22991231</v>
      </c>
      <c r="E4669" s="25">
        <v>0</v>
      </c>
    </row>
    <row r="4670" spans="1:5" ht="26" x14ac:dyDescent="0.3">
      <c r="A4670" s="17" t="str">
        <f>"77003"</f>
        <v>77003</v>
      </c>
      <c r="B4670" s="5" t="s">
        <v>4825</v>
      </c>
      <c r="C4670" s="17">
        <v>20230101</v>
      </c>
      <c r="D4670" s="17">
        <v>22991231</v>
      </c>
      <c r="E4670" s="25">
        <v>0</v>
      </c>
    </row>
    <row r="4671" spans="1:5" x14ac:dyDescent="0.3">
      <c r="A4671" s="17" t="str">
        <f>"77011"</f>
        <v>77011</v>
      </c>
      <c r="B4671" s="5" t="s">
        <v>4826</v>
      </c>
      <c r="C4671" s="17">
        <v>20230101</v>
      </c>
      <c r="D4671" s="17">
        <v>22991231</v>
      </c>
      <c r="E4671" s="25">
        <v>0</v>
      </c>
    </row>
    <row r="4672" spans="1:5" ht="26" x14ac:dyDescent="0.3">
      <c r="A4672" s="17" t="str">
        <f>"77012"</f>
        <v>77012</v>
      </c>
      <c r="B4672" s="5" t="s">
        <v>4827</v>
      </c>
      <c r="C4672" s="17">
        <v>20230101</v>
      </c>
      <c r="D4672" s="17">
        <v>22991231</v>
      </c>
      <c r="E4672" s="25">
        <v>0</v>
      </c>
    </row>
    <row r="4673" spans="1:5" x14ac:dyDescent="0.3">
      <c r="A4673" s="17" t="str">
        <f>"77013"</f>
        <v>77013</v>
      </c>
      <c r="B4673" s="5" t="s">
        <v>4828</v>
      </c>
      <c r="C4673" s="17">
        <v>20230101</v>
      </c>
      <c r="D4673" s="17">
        <v>22991231</v>
      </c>
      <c r="E4673" s="25">
        <v>0</v>
      </c>
    </row>
    <row r="4674" spans="1:5" ht="26" x14ac:dyDescent="0.3">
      <c r="A4674" s="17" t="str">
        <f>"77014"</f>
        <v>77014</v>
      </c>
      <c r="B4674" s="5" t="s">
        <v>4829</v>
      </c>
      <c r="C4674" s="17">
        <v>20230101</v>
      </c>
      <c r="D4674" s="17">
        <v>22991231</v>
      </c>
      <c r="E4674" s="25">
        <v>0</v>
      </c>
    </row>
    <row r="4675" spans="1:5" ht="26" x14ac:dyDescent="0.3">
      <c r="A4675" s="17" t="str">
        <f>"77021"</f>
        <v>77021</v>
      </c>
      <c r="B4675" s="5" t="s">
        <v>4830</v>
      </c>
      <c r="C4675" s="17">
        <v>20230101</v>
      </c>
      <c r="D4675" s="17">
        <v>22991231</v>
      </c>
      <c r="E4675" s="25">
        <v>0</v>
      </c>
    </row>
    <row r="4676" spans="1:5" x14ac:dyDescent="0.3">
      <c r="A4676" s="17" t="str">
        <f>"77022"</f>
        <v>77022</v>
      </c>
      <c r="B4676" s="5" t="s">
        <v>4831</v>
      </c>
      <c r="C4676" s="17">
        <v>20230101</v>
      </c>
      <c r="D4676" s="17">
        <v>22991231</v>
      </c>
      <c r="E4676" s="25">
        <v>0</v>
      </c>
    </row>
    <row r="4677" spans="1:5" x14ac:dyDescent="0.3">
      <c r="A4677" s="17" t="str">
        <f>"77046"</f>
        <v>77046</v>
      </c>
      <c r="B4677" s="5" t="s">
        <v>4832</v>
      </c>
      <c r="C4677" s="17">
        <v>20190101</v>
      </c>
      <c r="D4677" s="17">
        <v>22991231</v>
      </c>
      <c r="E4677" s="25">
        <v>121.41</v>
      </c>
    </row>
    <row r="4678" spans="1:5" x14ac:dyDescent="0.3">
      <c r="A4678" s="17" t="str">
        <f>"77047"</f>
        <v>77047</v>
      </c>
      <c r="B4678" s="5" t="s">
        <v>4833</v>
      </c>
      <c r="C4678" s="17">
        <v>20190101</v>
      </c>
      <c r="D4678" s="17">
        <v>22991231</v>
      </c>
      <c r="E4678" s="25">
        <v>121.41</v>
      </c>
    </row>
    <row r="4679" spans="1:5" x14ac:dyDescent="0.3">
      <c r="A4679" s="17" t="str">
        <f>"77048"</f>
        <v>77048</v>
      </c>
      <c r="B4679" s="5" t="s">
        <v>4834</v>
      </c>
      <c r="C4679" s="17">
        <v>20190101</v>
      </c>
      <c r="D4679" s="17">
        <v>22991231</v>
      </c>
      <c r="E4679" s="24" t="s">
        <v>7128</v>
      </c>
    </row>
    <row r="4680" spans="1:5" x14ac:dyDescent="0.3">
      <c r="A4680" s="17" t="str">
        <f>"77049"</f>
        <v>77049</v>
      </c>
      <c r="B4680" s="5" t="s">
        <v>4835</v>
      </c>
      <c r="C4680" s="17">
        <v>20190101</v>
      </c>
      <c r="D4680" s="17">
        <v>22991231</v>
      </c>
      <c r="E4680" s="24" t="s">
        <v>7128</v>
      </c>
    </row>
    <row r="4681" spans="1:5" ht="26" x14ac:dyDescent="0.3">
      <c r="A4681" s="17" t="str">
        <f>"77053"</f>
        <v>77053</v>
      </c>
      <c r="B4681" s="5" t="s">
        <v>4836</v>
      </c>
      <c r="C4681" s="17">
        <v>20230101</v>
      </c>
      <c r="D4681" s="17">
        <v>22991231</v>
      </c>
      <c r="E4681" s="25">
        <v>0</v>
      </c>
    </row>
    <row r="4682" spans="1:5" ht="26" x14ac:dyDescent="0.3">
      <c r="A4682" s="17" t="str">
        <f>"77054"</f>
        <v>77054</v>
      </c>
      <c r="B4682" s="5" t="s">
        <v>4837</v>
      </c>
      <c r="C4682" s="17">
        <v>20230101</v>
      </c>
      <c r="D4682" s="17">
        <v>22991231</v>
      </c>
      <c r="E4682" s="25">
        <v>0</v>
      </c>
    </row>
    <row r="4683" spans="1:5" x14ac:dyDescent="0.3">
      <c r="A4683" s="17" t="str">
        <f>"77065"</f>
        <v>77065</v>
      </c>
      <c r="B4683" s="5" t="s">
        <v>4838</v>
      </c>
      <c r="C4683" s="17">
        <v>20170101</v>
      </c>
      <c r="D4683" s="17">
        <v>22991231</v>
      </c>
      <c r="E4683" s="24" t="s">
        <v>7128</v>
      </c>
    </row>
    <row r="4684" spans="1:5" x14ac:dyDescent="0.3">
      <c r="A4684" s="17" t="str">
        <f>"77066"</f>
        <v>77066</v>
      </c>
      <c r="B4684" s="5" t="s">
        <v>4839</v>
      </c>
      <c r="C4684" s="17">
        <v>20170101</v>
      </c>
      <c r="D4684" s="17">
        <v>22991231</v>
      </c>
      <c r="E4684" s="24" t="s">
        <v>7128</v>
      </c>
    </row>
    <row r="4685" spans="1:5" x14ac:dyDescent="0.3">
      <c r="A4685" s="17" t="str">
        <f>"77067"</f>
        <v>77067</v>
      </c>
      <c r="B4685" s="5" t="s">
        <v>4840</v>
      </c>
      <c r="C4685" s="17">
        <v>20170101</v>
      </c>
      <c r="D4685" s="17">
        <v>22991231</v>
      </c>
      <c r="E4685" s="24" t="s">
        <v>7128</v>
      </c>
    </row>
    <row r="4686" spans="1:5" ht="26" x14ac:dyDescent="0.3">
      <c r="A4686" s="17" t="str">
        <f>"77071"</f>
        <v>77071</v>
      </c>
      <c r="B4686" s="5" t="s">
        <v>4841</v>
      </c>
      <c r="C4686" s="17">
        <v>20230101</v>
      </c>
      <c r="D4686" s="17">
        <v>22991231</v>
      </c>
      <c r="E4686" s="25">
        <v>0</v>
      </c>
    </row>
    <row r="4687" spans="1:5" x14ac:dyDescent="0.3">
      <c r="A4687" s="17" t="str">
        <f>"77072"</f>
        <v>77072</v>
      </c>
      <c r="B4687" s="5" t="s">
        <v>4842</v>
      </c>
      <c r="C4687" s="17">
        <v>20230101</v>
      </c>
      <c r="D4687" s="17">
        <v>22991231</v>
      </c>
      <c r="E4687" s="25">
        <v>0</v>
      </c>
    </row>
    <row r="4688" spans="1:5" x14ac:dyDescent="0.3">
      <c r="A4688" s="17" t="str">
        <f>"77073"</f>
        <v>77073</v>
      </c>
      <c r="B4688" s="5" t="s">
        <v>4843</v>
      </c>
      <c r="C4688" s="17">
        <v>20230101</v>
      </c>
      <c r="D4688" s="17">
        <v>22991231</v>
      </c>
      <c r="E4688" s="25">
        <v>0</v>
      </c>
    </row>
    <row r="4689" spans="1:5" x14ac:dyDescent="0.3">
      <c r="A4689" s="17" t="str">
        <f>"77074"</f>
        <v>77074</v>
      </c>
      <c r="B4689" s="5" t="s">
        <v>4844</v>
      </c>
      <c r="C4689" s="17">
        <v>20230101</v>
      </c>
      <c r="D4689" s="17">
        <v>22991231</v>
      </c>
      <c r="E4689" s="25">
        <v>0</v>
      </c>
    </row>
    <row r="4690" spans="1:5" x14ac:dyDescent="0.3">
      <c r="A4690" s="17" t="str">
        <f>"77075"</f>
        <v>77075</v>
      </c>
      <c r="B4690" s="5" t="s">
        <v>4845</v>
      </c>
      <c r="C4690" s="17">
        <v>20230101</v>
      </c>
      <c r="D4690" s="17">
        <v>22991231</v>
      </c>
      <c r="E4690" s="25">
        <v>0</v>
      </c>
    </row>
    <row r="4691" spans="1:5" x14ac:dyDescent="0.3">
      <c r="A4691" s="17" t="str">
        <f>"77076"</f>
        <v>77076</v>
      </c>
      <c r="B4691" s="5" t="s">
        <v>4846</v>
      </c>
      <c r="C4691" s="17">
        <v>20230101</v>
      </c>
      <c r="D4691" s="17">
        <v>22991231</v>
      </c>
      <c r="E4691" s="25">
        <v>0</v>
      </c>
    </row>
    <row r="4692" spans="1:5" x14ac:dyDescent="0.3">
      <c r="A4692" s="17" t="str">
        <f>"77077"</f>
        <v>77077</v>
      </c>
      <c r="B4692" s="5" t="s">
        <v>4847</v>
      </c>
      <c r="C4692" s="17">
        <v>20230101</v>
      </c>
      <c r="D4692" s="17">
        <v>22991231</v>
      </c>
      <c r="E4692" s="25">
        <v>0</v>
      </c>
    </row>
    <row r="4693" spans="1:5" ht="26" x14ac:dyDescent="0.3">
      <c r="A4693" s="17" t="str">
        <f>"77078"</f>
        <v>77078</v>
      </c>
      <c r="B4693" s="5" t="s">
        <v>4848</v>
      </c>
      <c r="C4693" s="17">
        <v>20230101</v>
      </c>
      <c r="D4693" s="17">
        <v>22991231</v>
      </c>
      <c r="E4693" s="25">
        <v>45.03</v>
      </c>
    </row>
    <row r="4694" spans="1:5" ht="26" x14ac:dyDescent="0.3">
      <c r="A4694" s="17" t="str">
        <f>"77080"</f>
        <v>77080</v>
      </c>
      <c r="B4694" s="5" t="s">
        <v>4849</v>
      </c>
      <c r="C4694" s="17">
        <v>20230101</v>
      </c>
      <c r="D4694" s="17">
        <v>22991231</v>
      </c>
      <c r="E4694" s="25">
        <v>29.71</v>
      </c>
    </row>
    <row r="4695" spans="1:5" ht="26" x14ac:dyDescent="0.3">
      <c r="A4695" s="17" t="str">
        <f>"77081"</f>
        <v>77081</v>
      </c>
      <c r="B4695" s="5" t="s">
        <v>4850</v>
      </c>
      <c r="C4695" s="17">
        <v>20230101</v>
      </c>
      <c r="D4695" s="17">
        <v>22991231</v>
      </c>
      <c r="E4695" s="25">
        <v>22.83</v>
      </c>
    </row>
    <row r="4696" spans="1:5" x14ac:dyDescent="0.3">
      <c r="A4696" s="17" t="str">
        <f>"77084"</f>
        <v>77084</v>
      </c>
      <c r="B4696" s="5" t="s">
        <v>4851</v>
      </c>
      <c r="C4696" s="17">
        <v>20230101</v>
      </c>
      <c r="D4696" s="17">
        <v>22991231</v>
      </c>
      <c r="E4696" s="25">
        <v>121.41</v>
      </c>
    </row>
    <row r="4697" spans="1:5" ht="26" x14ac:dyDescent="0.3">
      <c r="A4697" s="17" t="str">
        <f>"77085"</f>
        <v>77085</v>
      </c>
      <c r="B4697" s="5" t="s">
        <v>4852</v>
      </c>
      <c r="C4697" s="17">
        <v>20230101</v>
      </c>
      <c r="D4697" s="17">
        <v>22991231</v>
      </c>
      <c r="E4697" s="25">
        <v>0</v>
      </c>
    </row>
    <row r="4698" spans="1:5" x14ac:dyDescent="0.3">
      <c r="A4698" s="17" t="str">
        <f>"77086"</f>
        <v>77086</v>
      </c>
      <c r="B4698" s="5" t="s">
        <v>4853</v>
      </c>
      <c r="C4698" s="17">
        <v>20230101</v>
      </c>
      <c r="D4698" s="17">
        <v>22991231</v>
      </c>
      <c r="E4698" s="25">
        <v>0</v>
      </c>
    </row>
    <row r="4699" spans="1:5" x14ac:dyDescent="0.3">
      <c r="A4699" s="17" t="str">
        <f>"77261"</f>
        <v>77261</v>
      </c>
      <c r="B4699" s="5" t="s">
        <v>4854</v>
      </c>
      <c r="C4699" s="17">
        <v>19900101</v>
      </c>
      <c r="D4699" s="17">
        <v>22991231</v>
      </c>
      <c r="E4699" s="24" t="s">
        <v>7128</v>
      </c>
    </row>
    <row r="4700" spans="1:5" x14ac:dyDescent="0.3">
      <c r="A4700" s="17" t="str">
        <f>"77262"</f>
        <v>77262</v>
      </c>
      <c r="B4700" s="5" t="s">
        <v>4855</v>
      </c>
      <c r="C4700" s="17">
        <v>19900101</v>
      </c>
      <c r="D4700" s="17">
        <v>22991231</v>
      </c>
      <c r="E4700" s="24" t="s">
        <v>7128</v>
      </c>
    </row>
    <row r="4701" spans="1:5" x14ac:dyDescent="0.3">
      <c r="A4701" s="17" t="str">
        <f>"77263"</f>
        <v>77263</v>
      </c>
      <c r="B4701" s="5" t="s">
        <v>4856</v>
      </c>
      <c r="C4701" s="17">
        <v>19900101</v>
      </c>
      <c r="D4701" s="17">
        <v>22991231</v>
      </c>
      <c r="E4701" s="24" t="s">
        <v>7128</v>
      </c>
    </row>
    <row r="4702" spans="1:5" ht="26" x14ac:dyDescent="0.3">
      <c r="A4702" s="17" t="str">
        <f>"77280"</f>
        <v>77280</v>
      </c>
      <c r="B4702" s="5" t="s">
        <v>4857</v>
      </c>
      <c r="C4702" s="17">
        <v>19900101</v>
      </c>
      <c r="D4702" s="17">
        <v>22991231</v>
      </c>
      <c r="E4702" s="25">
        <v>67.23</v>
      </c>
    </row>
    <row r="4703" spans="1:5" ht="26" x14ac:dyDescent="0.3">
      <c r="A4703" s="17" t="str">
        <f>"77285"</f>
        <v>77285</v>
      </c>
      <c r="B4703" s="5" t="s">
        <v>4858</v>
      </c>
      <c r="C4703" s="17">
        <v>19900101</v>
      </c>
      <c r="D4703" s="17">
        <v>22991231</v>
      </c>
      <c r="E4703" s="25">
        <v>183.07</v>
      </c>
    </row>
    <row r="4704" spans="1:5" ht="52" x14ac:dyDescent="0.3">
      <c r="A4704" s="17" t="str">
        <f>"77290"</f>
        <v>77290</v>
      </c>
      <c r="B4704" s="5" t="s">
        <v>4859</v>
      </c>
      <c r="C4704" s="17">
        <v>19900101</v>
      </c>
      <c r="D4704" s="17">
        <v>22991231</v>
      </c>
      <c r="E4704" s="25">
        <v>183.07</v>
      </c>
    </row>
    <row r="4705" spans="1:5" ht="26" x14ac:dyDescent="0.3">
      <c r="A4705" s="17" t="str">
        <f>"77293"</f>
        <v>77293</v>
      </c>
      <c r="B4705" s="5" t="s">
        <v>4860</v>
      </c>
      <c r="C4705" s="17">
        <v>20230101</v>
      </c>
      <c r="D4705" s="17">
        <v>22991231</v>
      </c>
      <c r="E4705" s="25">
        <v>0</v>
      </c>
    </row>
    <row r="4706" spans="1:5" x14ac:dyDescent="0.3">
      <c r="A4706" s="17" t="str">
        <f>"77295"</f>
        <v>77295</v>
      </c>
      <c r="B4706" s="5" t="s">
        <v>4861</v>
      </c>
      <c r="C4706" s="17">
        <v>19940101</v>
      </c>
      <c r="D4706" s="17">
        <v>22991231</v>
      </c>
      <c r="E4706" s="25">
        <v>309</v>
      </c>
    </row>
    <row r="4707" spans="1:5" ht="26" x14ac:dyDescent="0.3">
      <c r="A4707" s="17" t="str">
        <f>"77299"</f>
        <v>77299</v>
      </c>
      <c r="B4707" s="5" t="s">
        <v>4862</v>
      </c>
      <c r="C4707" s="17">
        <v>19900101</v>
      </c>
      <c r="D4707" s="17">
        <v>22991231</v>
      </c>
      <c r="E4707" s="25">
        <v>67.23</v>
      </c>
    </row>
    <row r="4708" spans="1:5" x14ac:dyDescent="0.3">
      <c r="A4708" s="17" t="str">
        <f>"77300"</f>
        <v>77300</v>
      </c>
      <c r="B4708" s="5" t="s">
        <v>4863</v>
      </c>
      <c r="C4708" s="17">
        <v>19900101</v>
      </c>
      <c r="D4708" s="17">
        <v>22991231</v>
      </c>
      <c r="E4708" s="25">
        <v>41.28</v>
      </c>
    </row>
    <row r="4709" spans="1:5" x14ac:dyDescent="0.3">
      <c r="A4709" s="17" t="str">
        <f>"77301"</f>
        <v>77301</v>
      </c>
      <c r="B4709" s="5" t="s">
        <v>4864</v>
      </c>
      <c r="C4709" s="17">
        <v>20230101</v>
      </c>
      <c r="D4709" s="17">
        <v>22991231</v>
      </c>
      <c r="E4709" s="25">
        <v>686.53</v>
      </c>
    </row>
    <row r="4710" spans="1:5" ht="26" x14ac:dyDescent="0.3">
      <c r="A4710" s="17" t="str">
        <f>"77306"</f>
        <v>77306</v>
      </c>
      <c r="B4710" s="5" t="s">
        <v>4865</v>
      </c>
      <c r="C4710" s="17">
        <v>20230101</v>
      </c>
      <c r="D4710" s="17">
        <v>22991231</v>
      </c>
      <c r="E4710" s="25">
        <v>92.89</v>
      </c>
    </row>
    <row r="4711" spans="1:5" ht="26" x14ac:dyDescent="0.3">
      <c r="A4711" s="17" t="str">
        <f>"77307"</f>
        <v>77307</v>
      </c>
      <c r="B4711" s="5" t="s">
        <v>4866</v>
      </c>
      <c r="C4711" s="17">
        <v>20230101</v>
      </c>
      <c r="D4711" s="17">
        <v>22991231</v>
      </c>
      <c r="E4711" s="25">
        <v>173.89</v>
      </c>
    </row>
    <row r="4712" spans="1:5" ht="26" x14ac:dyDescent="0.3">
      <c r="A4712" s="17" t="str">
        <f>"77316"</f>
        <v>77316</v>
      </c>
      <c r="B4712" s="5" t="s">
        <v>4867</v>
      </c>
      <c r="C4712" s="17">
        <v>20230101</v>
      </c>
      <c r="D4712" s="17">
        <v>22991231</v>
      </c>
      <c r="E4712" s="25">
        <v>183.9</v>
      </c>
    </row>
    <row r="4713" spans="1:5" ht="26" x14ac:dyDescent="0.3">
      <c r="A4713" s="17" t="str">
        <f>"77317"</f>
        <v>77317</v>
      </c>
      <c r="B4713" s="5" t="s">
        <v>4868</v>
      </c>
      <c r="C4713" s="17">
        <v>20230101</v>
      </c>
      <c r="D4713" s="17">
        <v>22991231</v>
      </c>
      <c r="E4713" s="25">
        <v>183.07</v>
      </c>
    </row>
    <row r="4714" spans="1:5" ht="26" x14ac:dyDescent="0.3">
      <c r="A4714" s="17" t="str">
        <f>"77318"</f>
        <v>77318</v>
      </c>
      <c r="B4714" s="5" t="s">
        <v>4869</v>
      </c>
      <c r="C4714" s="17">
        <v>20230101</v>
      </c>
      <c r="D4714" s="17">
        <v>22991231</v>
      </c>
      <c r="E4714" s="25">
        <v>183.07</v>
      </c>
    </row>
    <row r="4715" spans="1:5" ht="26" x14ac:dyDescent="0.3">
      <c r="A4715" s="17" t="str">
        <f>"77321"</f>
        <v>77321</v>
      </c>
      <c r="B4715" s="5" t="s">
        <v>4870</v>
      </c>
      <c r="C4715" s="17">
        <v>19900101</v>
      </c>
      <c r="D4715" s="17">
        <v>22991231</v>
      </c>
      <c r="E4715" s="25">
        <v>57.23</v>
      </c>
    </row>
    <row r="4716" spans="1:5" x14ac:dyDescent="0.3">
      <c r="A4716" s="17" t="str">
        <f>"77331"</f>
        <v>77331</v>
      </c>
      <c r="B4716" s="5" t="s">
        <v>4871</v>
      </c>
      <c r="C4716" s="17">
        <v>19900101</v>
      </c>
      <c r="D4716" s="17">
        <v>22991231</v>
      </c>
      <c r="E4716" s="25">
        <v>32.22</v>
      </c>
    </row>
    <row r="4717" spans="1:5" ht="26" x14ac:dyDescent="0.3">
      <c r="A4717" s="17" t="str">
        <f>"77332"</f>
        <v>77332</v>
      </c>
      <c r="B4717" s="5" t="s">
        <v>4872</v>
      </c>
      <c r="C4717" s="17">
        <v>19900101</v>
      </c>
      <c r="D4717" s="17">
        <v>22991231</v>
      </c>
      <c r="E4717" s="25">
        <v>21.89</v>
      </c>
    </row>
    <row r="4718" spans="1:5" ht="26" x14ac:dyDescent="0.3">
      <c r="A4718" s="17" t="str">
        <f>"77333"</f>
        <v>77333</v>
      </c>
      <c r="B4718" s="5" t="s">
        <v>4873</v>
      </c>
      <c r="C4718" s="17">
        <v>19900101</v>
      </c>
      <c r="D4718" s="17">
        <v>22991231</v>
      </c>
      <c r="E4718" s="25">
        <v>67.23</v>
      </c>
    </row>
    <row r="4719" spans="1:5" ht="26" x14ac:dyDescent="0.3">
      <c r="A4719" s="17" t="str">
        <f>"77334"</f>
        <v>77334</v>
      </c>
      <c r="B4719" s="5" t="s">
        <v>4874</v>
      </c>
      <c r="C4719" s="17">
        <v>19900101</v>
      </c>
      <c r="D4719" s="17">
        <v>22991231</v>
      </c>
      <c r="E4719" s="25">
        <v>80.069999999999993</v>
      </c>
    </row>
    <row r="4720" spans="1:5" ht="26" x14ac:dyDescent="0.3">
      <c r="A4720" s="17" t="str">
        <f>"77336"</f>
        <v>77336</v>
      </c>
      <c r="B4720" s="5" t="s">
        <v>4875</v>
      </c>
      <c r="C4720" s="17">
        <v>19900101</v>
      </c>
      <c r="D4720" s="17">
        <v>22991231</v>
      </c>
      <c r="E4720" s="25">
        <v>67.23</v>
      </c>
    </row>
    <row r="4721" spans="1:5" ht="26" x14ac:dyDescent="0.3">
      <c r="A4721" s="17" t="str">
        <f>"77338"</f>
        <v>77338</v>
      </c>
      <c r="B4721" s="5" t="s">
        <v>4876</v>
      </c>
      <c r="C4721" s="17">
        <v>20230101</v>
      </c>
      <c r="D4721" s="17">
        <v>22991231</v>
      </c>
      <c r="E4721" s="25">
        <v>183.07</v>
      </c>
    </row>
    <row r="4722" spans="1:5" x14ac:dyDescent="0.3">
      <c r="A4722" s="17" t="str">
        <f>"77370"</f>
        <v>77370</v>
      </c>
      <c r="B4722" s="5" t="s">
        <v>4877</v>
      </c>
      <c r="C4722" s="17">
        <v>19900101</v>
      </c>
      <c r="D4722" s="17">
        <v>22991231</v>
      </c>
      <c r="E4722" s="25">
        <v>67.23</v>
      </c>
    </row>
    <row r="4723" spans="1:5" ht="26" x14ac:dyDescent="0.3">
      <c r="A4723" s="17" t="str">
        <f>"77385"</f>
        <v>77385</v>
      </c>
      <c r="B4723" s="5" t="s">
        <v>4878</v>
      </c>
      <c r="C4723" s="17">
        <v>20230101</v>
      </c>
      <c r="D4723" s="17">
        <v>22991231</v>
      </c>
      <c r="E4723" s="25">
        <v>291.66000000000003</v>
      </c>
    </row>
    <row r="4724" spans="1:5" ht="26" x14ac:dyDescent="0.3">
      <c r="A4724" s="17" t="str">
        <f>"77386"</f>
        <v>77386</v>
      </c>
      <c r="B4724" s="5" t="s">
        <v>4879</v>
      </c>
      <c r="C4724" s="17">
        <v>20230101</v>
      </c>
      <c r="D4724" s="17">
        <v>22991231</v>
      </c>
      <c r="E4724" s="25">
        <v>291.66000000000003</v>
      </c>
    </row>
    <row r="4725" spans="1:5" ht="26" x14ac:dyDescent="0.3">
      <c r="A4725" s="17" t="str">
        <f>"77387"</f>
        <v>77387</v>
      </c>
      <c r="B4725" s="5" t="s">
        <v>4880</v>
      </c>
      <c r="C4725" s="17">
        <v>20230101</v>
      </c>
      <c r="D4725" s="17">
        <v>22991231</v>
      </c>
      <c r="E4725" s="25">
        <v>0</v>
      </c>
    </row>
    <row r="4726" spans="1:5" ht="26" x14ac:dyDescent="0.3">
      <c r="A4726" s="17" t="str">
        <f>"77399"</f>
        <v>77399</v>
      </c>
      <c r="B4726" s="5" t="s">
        <v>4881</v>
      </c>
      <c r="C4726" s="17">
        <v>19900101</v>
      </c>
      <c r="D4726" s="17">
        <v>22991231</v>
      </c>
      <c r="E4726" s="25">
        <v>67.23</v>
      </c>
    </row>
    <row r="4727" spans="1:5" ht="26" x14ac:dyDescent="0.3">
      <c r="A4727" s="17" t="str">
        <f>"77401"</f>
        <v>77401</v>
      </c>
      <c r="B4727" s="5" t="s">
        <v>4882</v>
      </c>
      <c r="C4727" s="17">
        <v>20230101</v>
      </c>
      <c r="D4727" s="17">
        <v>22991231</v>
      </c>
      <c r="E4727" s="25">
        <v>38.78</v>
      </c>
    </row>
    <row r="4728" spans="1:5" x14ac:dyDescent="0.3">
      <c r="A4728" s="17" t="str">
        <f>"77402"</f>
        <v>77402</v>
      </c>
      <c r="B4728" s="5" t="s">
        <v>4883</v>
      </c>
      <c r="C4728" s="17">
        <v>20230101</v>
      </c>
      <c r="D4728" s="17">
        <v>22991231</v>
      </c>
      <c r="E4728" s="25">
        <v>59.41</v>
      </c>
    </row>
    <row r="4729" spans="1:5" x14ac:dyDescent="0.3">
      <c r="A4729" s="17" t="str">
        <f>"77407"</f>
        <v>77407</v>
      </c>
      <c r="B4729" s="5" t="s">
        <v>4884</v>
      </c>
      <c r="C4729" s="17">
        <v>20230101</v>
      </c>
      <c r="D4729" s="17">
        <v>22991231</v>
      </c>
      <c r="E4729" s="25">
        <v>133.16</v>
      </c>
    </row>
    <row r="4730" spans="1:5" x14ac:dyDescent="0.3">
      <c r="A4730" s="17" t="str">
        <f>"77412"</f>
        <v>77412</v>
      </c>
      <c r="B4730" s="5" t="s">
        <v>4885</v>
      </c>
      <c r="C4730" s="17">
        <v>20230101</v>
      </c>
      <c r="D4730" s="17">
        <v>22991231</v>
      </c>
      <c r="E4730" s="25">
        <v>133.16</v>
      </c>
    </row>
    <row r="4731" spans="1:5" x14ac:dyDescent="0.3">
      <c r="A4731" s="17" t="str">
        <f>"77417"</f>
        <v>77417</v>
      </c>
      <c r="B4731" s="5" t="s">
        <v>4886</v>
      </c>
      <c r="C4731" s="17">
        <v>19910401</v>
      </c>
      <c r="D4731" s="17">
        <v>22991231</v>
      </c>
      <c r="E4731" s="25">
        <v>0</v>
      </c>
    </row>
    <row r="4732" spans="1:5" ht="26" x14ac:dyDescent="0.3">
      <c r="A4732" s="17" t="str">
        <f>"77423"</f>
        <v>77423</v>
      </c>
      <c r="B4732" s="5" t="s">
        <v>4887</v>
      </c>
      <c r="C4732" s="17">
        <v>20230101</v>
      </c>
      <c r="D4732" s="17">
        <v>22991231</v>
      </c>
      <c r="E4732" s="25">
        <v>30.65</v>
      </c>
    </row>
    <row r="4733" spans="1:5" ht="26" x14ac:dyDescent="0.3">
      <c r="A4733" s="17" t="str">
        <f>"77424"</f>
        <v>77424</v>
      </c>
      <c r="B4733" s="5" t="s">
        <v>4888</v>
      </c>
      <c r="C4733" s="17">
        <v>20230101</v>
      </c>
      <c r="D4733" s="17">
        <v>22991231</v>
      </c>
      <c r="E4733" s="25">
        <v>2052.13</v>
      </c>
    </row>
    <row r="4734" spans="1:5" ht="26" x14ac:dyDescent="0.3">
      <c r="A4734" s="17" t="str">
        <f>"77425"</f>
        <v>77425</v>
      </c>
      <c r="B4734" s="5" t="s">
        <v>4889</v>
      </c>
      <c r="C4734" s="17">
        <v>20230101</v>
      </c>
      <c r="D4734" s="17">
        <v>22991231</v>
      </c>
      <c r="E4734" s="25">
        <v>2052.13</v>
      </c>
    </row>
    <row r="4735" spans="1:5" ht="26" x14ac:dyDescent="0.3">
      <c r="A4735" s="17" t="str">
        <f>"77427"</f>
        <v>77427</v>
      </c>
      <c r="B4735" s="5" t="s">
        <v>4890</v>
      </c>
      <c r="C4735" s="17">
        <v>20000101</v>
      </c>
      <c r="D4735" s="17">
        <v>22991231</v>
      </c>
      <c r="E4735" s="24" t="s">
        <v>7128</v>
      </c>
    </row>
    <row r="4736" spans="1:5" ht="26" x14ac:dyDescent="0.3">
      <c r="A4736" s="17" t="str">
        <f>"77431"</f>
        <v>77431</v>
      </c>
      <c r="B4736" s="5" t="s">
        <v>4891</v>
      </c>
      <c r="C4736" s="17">
        <v>19910401</v>
      </c>
      <c r="D4736" s="17">
        <v>22991231</v>
      </c>
      <c r="E4736" s="24" t="s">
        <v>7128</v>
      </c>
    </row>
    <row r="4737" spans="1:5" ht="26" x14ac:dyDescent="0.3">
      <c r="A4737" s="17" t="str">
        <f>"77432"</f>
        <v>77432</v>
      </c>
      <c r="B4737" s="5" t="s">
        <v>4892</v>
      </c>
      <c r="C4737" s="17">
        <v>19940101</v>
      </c>
      <c r="D4737" s="17">
        <v>22991231</v>
      </c>
      <c r="E4737" s="24" t="s">
        <v>7128</v>
      </c>
    </row>
    <row r="4738" spans="1:5" ht="26" x14ac:dyDescent="0.3">
      <c r="A4738" s="17" t="str">
        <f>"77435"</f>
        <v>77435</v>
      </c>
      <c r="B4738" s="5" t="s">
        <v>4893</v>
      </c>
      <c r="C4738" s="17">
        <v>20230101</v>
      </c>
      <c r="D4738" s="17">
        <v>22991231</v>
      </c>
      <c r="E4738" s="25">
        <v>0</v>
      </c>
    </row>
    <row r="4739" spans="1:5" x14ac:dyDescent="0.3">
      <c r="A4739" s="17" t="str">
        <f>"77470"</f>
        <v>77470</v>
      </c>
      <c r="B4739" s="5" t="s">
        <v>4894</v>
      </c>
      <c r="C4739" s="17">
        <v>19900101</v>
      </c>
      <c r="D4739" s="17">
        <v>22991231</v>
      </c>
      <c r="E4739" s="25">
        <v>66.31</v>
      </c>
    </row>
    <row r="4740" spans="1:5" x14ac:dyDescent="0.3">
      <c r="A4740" s="17" t="str">
        <f>"77499"</f>
        <v>77499</v>
      </c>
      <c r="B4740" s="5" t="s">
        <v>4895</v>
      </c>
      <c r="C4740" s="17">
        <v>19900101</v>
      </c>
      <c r="D4740" s="17">
        <v>22991231</v>
      </c>
      <c r="E4740" s="24" t="s">
        <v>7128</v>
      </c>
    </row>
    <row r="4741" spans="1:5" x14ac:dyDescent="0.3">
      <c r="A4741" s="17" t="str">
        <f>"77520"</f>
        <v>77520</v>
      </c>
      <c r="B4741" s="5" t="s">
        <v>4896</v>
      </c>
      <c r="C4741" s="17">
        <v>20230101</v>
      </c>
      <c r="D4741" s="17">
        <v>22991231</v>
      </c>
      <c r="E4741" s="25">
        <v>291.66000000000003</v>
      </c>
    </row>
    <row r="4742" spans="1:5" ht="26" x14ac:dyDescent="0.3">
      <c r="A4742" s="17" t="str">
        <f>"77522"</f>
        <v>77522</v>
      </c>
      <c r="B4742" s="5" t="s">
        <v>4897</v>
      </c>
      <c r="C4742" s="17">
        <v>20230101</v>
      </c>
      <c r="D4742" s="17">
        <v>22991231</v>
      </c>
      <c r="E4742" s="25">
        <v>702.88</v>
      </c>
    </row>
    <row r="4743" spans="1:5" x14ac:dyDescent="0.3">
      <c r="A4743" s="17" t="str">
        <f>"77523"</f>
        <v>77523</v>
      </c>
      <c r="B4743" s="5" t="s">
        <v>4898</v>
      </c>
      <c r="C4743" s="17">
        <v>20230101</v>
      </c>
      <c r="D4743" s="17">
        <v>22991231</v>
      </c>
      <c r="E4743" s="25">
        <v>702.88</v>
      </c>
    </row>
    <row r="4744" spans="1:5" x14ac:dyDescent="0.3">
      <c r="A4744" s="17" t="str">
        <f>"77525"</f>
        <v>77525</v>
      </c>
      <c r="B4744" s="5" t="s">
        <v>4899</v>
      </c>
      <c r="C4744" s="17">
        <v>20230101</v>
      </c>
      <c r="D4744" s="17">
        <v>22991231</v>
      </c>
      <c r="E4744" s="25">
        <v>702.88</v>
      </c>
    </row>
    <row r="4745" spans="1:5" ht="39" x14ac:dyDescent="0.3">
      <c r="A4745" s="17" t="str">
        <f>"77600"</f>
        <v>77600</v>
      </c>
      <c r="B4745" s="5" t="s">
        <v>4900</v>
      </c>
      <c r="C4745" s="17">
        <v>19900101</v>
      </c>
      <c r="D4745" s="17">
        <v>22991231</v>
      </c>
      <c r="E4745" s="25">
        <v>133.16</v>
      </c>
    </row>
    <row r="4746" spans="1:5" ht="39" x14ac:dyDescent="0.3">
      <c r="A4746" s="17" t="str">
        <f>"77605"</f>
        <v>77605</v>
      </c>
      <c r="B4746" s="5" t="s">
        <v>4901</v>
      </c>
      <c r="C4746" s="17">
        <v>19900101</v>
      </c>
      <c r="D4746" s="17">
        <v>22991231</v>
      </c>
      <c r="E4746" s="25">
        <v>355.24</v>
      </c>
    </row>
    <row r="4747" spans="1:5" ht="26" x14ac:dyDescent="0.3">
      <c r="A4747" s="17" t="str">
        <f>"77610"</f>
        <v>77610</v>
      </c>
      <c r="B4747" s="5" t="s">
        <v>4902</v>
      </c>
      <c r="C4747" s="17">
        <v>19900101</v>
      </c>
      <c r="D4747" s="17">
        <v>22991231</v>
      </c>
      <c r="E4747" s="25">
        <v>291.66000000000003</v>
      </c>
    </row>
    <row r="4748" spans="1:5" ht="39" x14ac:dyDescent="0.3">
      <c r="A4748" s="17" t="str">
        <f>"77615"</f>
        <v>77615</v>
      </c>
      <c r="B4748" s="5" t="s">
        <v>4903</v>
      </c>
      <c r="C4748" s="17">
        <v>19900101</v>
      </c>
      <c r="D4748" s="17">
        <v>22991231</v>
      </c>
      <c r="E4748" s="25">
        <v>291.66000000000003</v>
      </c>
    </row>
    <row r="4749" spans="1:5" ht="26" x14ac:dyDescent="0.3">
      <c r="A4749" s="17" t="str">
        <f>"77620"</f>
        <v>77620</v>
      </c>
      <c r="B4749" s="5" t="s">
        <v>4904</v>
      </c>
      <c r="C4749" s="17">
        <v>20230101</v>
      </c>
      <c r="D4749" s="17">
        <v>22991231</v>
      </c>
      <c r="E4749" s="25">
        <v>291.66000000000003</v>
      </c>
    </row>
    <row r="4750" spans="1:5" x14ac:dyDescent="0.3">
      <c r="A4750" s="17" t="str">
        <f>"77750"</f>
        <v>77750</v>
      </c>
      <c r="B4750" s="5" t="s">
        <v>4905</v>
      </c>
      <c r="C4750" s="17">
        <v>19900101</v>
      </c>
      <c r="D4750" s="17">
        <v>22991231</v>
      </c>
      <c r="E4750" s="25">
        <v>204.55</v>
      </c>
    </row>
    <row r="4751" spans="1:5" x14ac:dyDescent="0.3">
      <c r="A4751" s="17" t="str">
        <f>"77761"</f>
        <v>77761</v>
      </c>
      <c r="B4751" s="5" t="s">
        <v>4906</v>
      </c>
      <c r="C4751" s="17">
        <v>19900101</v>
      </c>
      <c r="D4751" s="17">
        <v>22991231</v>
      </c>
      <c r="E4751" s="25">
        <v>268.02999999999997</v>
      </c>
    </row>
    <row r="4752" spans="1:5" ht="26" x14ac:dyDescent="0.3">
      <c r="A4752" s="17" t="str">
        <f>"77762"</f>
        <v>77762</v>
      </c>
      <c r="B4752" s="5" t="s">
        <v>4907</v>
      </c>
      <c r="C4752" s="17">
        <v>19900101</v>
      </c>
      <c r="D4752" s="17">
        <v>22991231</v>
      </c>
      <c r="E4752" s="25">
        <v>329.34</v>
      </c>
    </row>
    <row r="4753" spans="1:5" ht="26" x14ac:dyDescent="0.3">
      <c r="A4753" s="17" t="str">
        <f>"77763"</f>
        <v>77763</v>
      </c>
      <c r="B4753" s="5" t="s">
        <v>4908</v>
      </c>
      <c r="C4753" s="17">
        <v>19900101</v>
      </c>
      <c r="D4753" s="17">
        <v>22991231</v>
      </c>
      <c r="E4753" s="25">
        <v>448.18</v>
      </c>
    </row>
    <row r="4754" spans="1:5" ht="26" x14ac:dyDescent="0.3">
      <c r="A4754" s="17" t="str">
        <f>"77767"</f>
        <v>77767</v>
      </c>
      <c r="B4754" s="5" t="s">
        <v>4909</v>
      </c>
      <c r="C4754" s="17">
        <v>20230101</v>
      </c>
      <c r="D4754" s="17">
        <v>22991231</v>
      </c>
      <c r="E4754" s="25">
        <v>133.16</v>
      </c>
    </row>
    <row r="4755" spans="1:5" ht="39" x14ac:dyDescent="0.3">
      <c r="A4755" s="17" t="str">
        <f>"77768"</f>
        <v>77768</v>
      </c>
      <c r="B4755" s="5" t="s">
        <v>4910</v>
      </c>
      <c r="C4755" s="17">
        <v>20230101</v>
      </c>
      <c r="D4755" s="17">
        <v>22991231</v>
      </c>
      <c r="E4755" s="25">
        <v>133.16</v>
      </c>
    </row>
    <row r="4756" spans="1:5" x14ac:dyDescent="0.3">
      <c r="A4756" s="17" t="str">
        <f>"77770"</f>
        <v>77770</v>
      </c>
      <c r="B4756" s="5" t="s">
        <v>4911</v>
      </c>
      <c r="C4756" s="17">
        <v>20230101</v>
      </c>
      <c r="D4756" s="17">
        <v>22991231</v>
      </c>
      <c r="E4756" s="25">
        <v>261.45999999999998</v>
      </c>
    </row>
    <row r="4757" spans="1:5" x14ac:dyDescent="0.3">
      <c r="A4757" s="17" t="str">
        <f>"77771"</f>
        <v>77771</v>
      </c>
      <c r="B4757" s="5" t="s">
        <v>4912</v>
      </c>
      <c r="C4757" s="17">
        <v>20230101</v>
      </c>
      <c r="D4757" s="17">
        <v>22991231</v>
      </c>
      <c r="E4757" s="25">
        <v>355.24</v>
      </c>
    </row>
    <row r="4758" spans="1:5" ht="26" x14ac:dyDescent="0.3">
      <c r="A4758" s="17" t="str">
        <f>"77772"</f>
        <v>77772</v>
      </c>
      <c r="B4758" s="5" t="s">
        <v>4913</v>
      </c>
      <c r="C4758" s="17">
        <v>20230101</v>
      </c>
      <c r="D4758" s="17">
        <v>22991231</v>
      </c>
      <c r="E4758" s="25">
        <v>355.24</v>
      </c>
    </row>
    <row r="4759" spans="1:5" x14ac:dyDescent="0.3">
      <c r="A4759" s="17" t="str">
        <f>"77778"</f>
        <v>77778</v>
      </c>
      <c r="B4759" s="5" t="s">
        <v>4914</v>
      </c>
      <c r="C4759" s="17">
        <v>19900101</v>
      </c>
      <c r="D4759" s="17">
        <v>22991231</v>
      </c>
      <c r="E4759" s="25">
        <v>355.24</v>
      </c>
    </row>
    <row r="4760" spans="1:5" x14ac:dyDescent="0.3">
      <c r="A4760" s="17" t="str">
        <f>"77789"</f>
        <v>77789</v>
      </c>
      <c r="B4760" s="5" t="s">
        <v>4915</v>
      </c>
      <c r="C4760" s="17">
        <v>19900101</v>
      </c>
      <c r="D4760" s="17">
        <v>22991231</v>
      </c>
      <c r="E4760" s="25">
        <v>59.41</v>
      </c>
    </row>
    <row r="4761" spans="1:5" ht="26" x14ac:dyDescent="0.3">
      <c r="A4761" s="17" t="str">
        <f>"77790"</f>
        <v>77790</v>
      </c>
      <c r="B4761" s="5" t="s">
        <v>4916</v>
      </c>
      <c r="C4761" s="17">
        <v>19900101</v>
      </c>
      <c r="D4761" s="17">
        <v>22991231</v>
      </c>
      <c r="E4761" s="25">
        <v>0</v>
      </c>
    </row>
    <row r="4762" spans="1:5" x14ac:dyDescent="0.3">
      <c r="A4762" s="17" t="str">
        <f>"77799"</f>
        <v>77799</v>
      </c>
      <c r="B4762" s="5" t="s">
        <v>4917</v>
      </c>
      <c r="C4762" s="17">
        <v>19900101</v>
      </c>
      <c r="D4762" s="17">
        <v>22991231</v>
      </c>
      <c r="E4762" s="25">
        <v>59.41</v>
      </c>
    </row>
    <row r="4763" spans="1:5" x14ac:dyDescent="0.3">
      <c r="A4763" s="17" t="str">
        <f>"78012"</f>
        <v>78012</v>
      </c>
      <c r="B4763" s="5" t="s">
        <v>4918</v>
      </c>
      <c r="C4763" s="17">
        <v>20230101</v>
      </c>
      <c r="D4763" s="17">
        <v>22991231</v>
      </c>
      <c r="E4763" s="25">
        <v>204.35</v>
      </c>
    </row>
    <row r="4764" spans="1:5" x14ac:dyDescent="0.3">
      <c r="A4764" s="17" t="str">
        <f>"78013"</f>
        <v>78013</v>
      </c>
      <c r="B4764" s="5" t="s">
        <v>4919</v>
      </c>
      <c r="C4764" s="17">
        <v>20230101</v>
      </c>
      <c r="D4764" s="17">
        <v>22991231</v>
      </c>
      <c r="E4764" s="25">
        <v>204.35</v>
      </c>
    </row>
    <row r="4765" spans="1:5" ht="26" x14ac:dyDescent="0.3">
      <c r="A4765" s="17" t="str">
        <f>"78014"</f>
        <v>78014</v>
      </c>
      <c r="B4765" s="5" t="s">
        <v>4920</v>
      </c>
      <c r="C4765" s="17">
        <v>20230101</v>
      </c>
      <c r="D4765" s="17">
        <v>22991231</v>
      </c>
      <c r="E4765" s="25">
        <v>204.35</v>
      </c>
    </row>
    <row r="4766" spans="1:5" ht="26" x14ac:dyDescent="0.3">
      <c r="A4766" s="17" t="str">
        <f>"78015"</f>
        <v>78015</v>
      </c>
      <c r="B4766" s="5" t="s">
        <v>4921</v>
      </c>
      <c r="C4766" s="17">
        <v>19900101</v>
      </c>
      <c r="D4766" s="17">
        <v>22991231</v>
      </c>
      <c r="E4766" s="25">
        <v>204.35</v>
      </c>
    </row>
    <row r="4767" spans="1:5" ht="26" x14ac:dyDescent="0.3">
      <c r="A4767" s="17" t="str">
        <f>"78016"</f>
        <v>78016</v>
      </c>
      <c r="B4767" s="5" t="s">
        <v>4922</v>
      </c>
      <c r="C4767" s="17">
        <v>19900101</v>
      </c>
      <c r="D4767" s="17">
        <v>22991231</v>
      </c>
      <c r="E4767" s="25">
        <v>204.35</v>
      </c>
    </row>
    <row r="4768" spans="1:5" ht="26" x14ac:dyDescent="0.3">
      <c r="A4768" s="17" t="str">
        <f>"78018"</f>
        <v>78018</v>
      </c>
      <c r="B4768" s="5" t="s">
        <v>4923</v>
      </c>
      <c r="C4768" s="17">
        <v>19900101</v>
      </c>
      <c r="D4768" s="17">
        <v>22991231</v>
      </c>
      <c r="E4768" s="25">
        <v>267.8</v>
      </c>
    </row>
    <row r="4769" spans="1:5" ht="26" x14ac:dyDescent="0.3">
      <c r="A4769" s="17" t="str">
        <f>"78020"</f>
        <v>78020</v>
      </c>
      <c r="B4769" s="5" t="s">
        <v>4924</v>
      </c>
      <c r="C4769" s="17">
        <v>19990101</v>
      </c>
      <c r="D4769" s="17">
        <v>22991231</v>
      </c>
      <c r="E4769" s="25">
        <v>0</v>
      </c>
    </row>
    <row r="4770" spans="1:5" x14ac:dyDescent="0.3">
      <c r="A4770" s="17" t="str">
        <f>"78070"</f>
        <v>78070</v>
      </c>
      <c r="B4770" s="5" t="s">
        <v>4925</v>
      </c>
      <c r="C4770" s="17">
        <v>19900101</v>
      </c>
      <c r="D4770" s="17">
        <v>22991231</v>
      </c>
      <c r="E4770" s="25">
        <v>204.35</v>
      </c>
    </row>
    <row r="4771" spans="1:5" ht="26" x14ac:dyDescent="0.3">
      <c r="A4771" s="17" t="str">
        <f>"78071"</f>
        <v>78071</v>
      </c>
      <c r="B4771" s="5" t="s">
        <v>4926</v>
      </c>
      <c r="C4771" s="17">
        <v>20230101</v>
      </c>
      <c r="D4771" s="17">
        <v>22991231</v>
      </c>
      <c r="E4771" s="25">
        <v>204.35</v>
      </c>
    </row>
    <row r="4772" spans="1:5" ht="26" x14ac:dyDescent="0.3">
      <c r="A4772" s="17" t="str">
        <f>"78072"</f>
        <v>78072</v>
      </c>
      <c r="B4772" s="5" t="s">
        <v>4927</v>
      </c>
      <c r="C4772" s="17">
        <v>20230101</v>
      </c>
      <c r="D4772" s="17">
        <v>22991231</v>
      </c>
      <c r="E4772" s="25">
        <v>267.8</v>
      </c>
    </row>
    <row r="4773" spans="1:5" x14ac:dyDescent="0.3">
      <c r="A4773" s="17" t="str">
        <f>"78075"</f>
        <v>78075</v>
      </c>
      <c r="B4773" s="5" t="s">
        <v>4928</v>
      </c>
      <c r="C4773" s="17">
        <v>19900101</v>
      </c>
      <c r="D4773" s="17">
        <v>22991231</v>
      </c>
      <c r="E4773" s="25">
        <v>703.54</v>
      </c>
    </row>
    <row r="4774" spans="1:5" x14ac:dyDescent="0.3">
      <c r="A4774" s="17" t="str">
        <f>"78099"</f>
        <v>78099</v>
      </c>
      <c r="B4774" s="5" t="s">
        <v>4929</v>
      </c>
      <c r="C4774" s="17">
        <v>19900101</v>
      </c>
      <c r="D4774" s="17">
        <v>22991231</v>
      </c>
      <c r="E4774" s="25">
        <v>204.35</v>
      </c>
    </row>
    <row r="4775" spans="1:5" ht="26" x14ac:dyDescent="0.3">
      <c r="A4775" s="17" t="str">
        <f>"78102"</f>
        <v>78102</v>
      </c>
      <c r="B4775" s="5" t="s">
        <v>4930</v>
      </c>
      <c r="C4775" s="17">
        <v>19900101</v>
      </c>
      <c r="D4775" s="17">
        <v>22991231</v>
      </c>
      <c r="E4775" s="25">
        <v>204.35</v>
      </c>
    </row>
    <row r="4776" spans="1:5" ht="26" x14ac:dyDescent="0.3">
      <c r="A4776" s="17" t="str">
        <f>"78103"</f>
        <v>78103</v>
      </c>
      <c r="B4776" s="5" t="s">
        <v>4931</v>
      </c>
      <c r="C4776" s="17">
        <v>19900101</v>
      </c>
      <c r="D4776" s="17">
        <v>22991231</v>
      </c>
      <c r="E4776" s="25">
        <v>204.35</v>
      </c>
    </row>
    <row r="4777" spans="1:5" ht="26" x14ac:dyDescent="0.3">
      <c r="A4777" s="17" t="str">
        <f>"78104"</f>
        <v>78104</v>
      </c>
      <c r="B4777" s="5" t="s">
        <v>4932</v>
      </c>
      <c r="C4777" s="17">
        <v>19900101</v>
      </c>
      <c r="D4777" s="17">
        <v>22991231</v>
      </c>
      <c r="E4777" s="25">
        <v>204.35</v>
      </c>
    </row>
    <row r="4778" spans="1:5" ht="26" x14ac:dyDescent="0.3">
      <c r="A4778" s="17" t="str">
        <f>"78110"</f>
        <v>78110</v>
      </c>
      <c r="B4778" s="5" t="s">
        <v>4933</v>
      </c>
      <c r="C4778" s="17">
        <v>19900101</v>
      </c>
      <c r="D4778" s="17">
        <v>22991231</v>
      </c>
      <c r="E4778" s="25">
        <v>703.54</v>
      </c>
    </row>
    <row r="4779" spans="1:5" ht="26" x14ac:dyDescent="0.3">
      <c r="A4779" s="17" t="str">
        <f>"78111"</f>
        <v>78111</v>
      </c>
      <c r="B4779" s="5" t="s">
        <v>4934</v>
      </c>
      <c r="C4779" s="17">
        <v>19900101</v>
      </c>
      <c r="D4779" s="17">
        <v>22991231</v>
      </c>
      <c r="E4779" s="25">
        <v>703.54</v>
      </c>
    </row>
    <row r="4780" spans="1:5" ht="26" x14ac:dyDescent="0.3">
      <c r="A4780" s="17" t="str">
        <f>"78120"</f>
        <v>78120</v>
      </c>
      <c r="B4780" s="5" t="s">
        <v>4935</v>
      </c>
      <c r="C4780" s="17">
        <v>19900101</v>
      </c>
      <c r="D4780" s="17">
        <v>22991231</v>
      </c>
      <c r="E4780" s="25">
        <v>204.35</v>
      </c>
    </row>
    <row r="4781" spans="1:5" ht="26" x14ac:dyDescent="0.3">
      <c r="A4781" s="17" t="str">
        <f>"78121"</f>
        <v>78121</v>
      </c>
      <c r="B4781" s="5" t="s">
        <v>4936</v>
      </c>
      <c r="C4781" s="17">
        <v>19900101</v>
      </c>
      <c r="D4781" s="17">
        <v>22991231</v>
      </c>
      <c r="E4781" s="25">
        <v>267.8</v>
      </c>
    </row>
    <row r="4782" spans="1:5" x14ac:dyDescent="0.3">
      <c r="A4782" s="17" t="str">
        <f>"78122"</f>
        <v>78122</v>
      </c>
      <c r="B4782" s="5" t="s">
        <v>4937</v>
      </c>
      <c r="C4782" s="17">
        <v>19900101</v>
      </c>
      <c r="D4782" s="17">
        <v>22991231</v>
      </c>
      <c r="E4782" s="25">
        <v>267.8</v>
      </c>
    </row>
    <row r="4783" spans="1:5" ht="26" x14ac:dyDescent="0.3">
      <c r="A4783" s="17" t="str">
        <f>"78130"</f>
        <v>78130</v>
      </c>
      <c r="B4783" s="5" t="s">
        <v>4938</v>
      </c>
      <c r="C4783" s="17">
        <v>19900101</v>
      </c>
      <c r="D4783" s="17">
        <v>22991231</v>
      </c>
      <c r="E4783" s="25">
        <v>204.35</v>
      </c>
    </row>
    <row r="4784" spans="1:5" ht="26" x14ac:dyDescent="0.3">
      <c r="A4784" s="17" t="str">
        <f>"78140"</f>
        <v>78140</v>
      </c>
      <c r="B4784" s="5" t="s">
        <v>4939</v>
      </c>
      <c r="C4784" s="17">
        <v>19900101</v>
      </c>
      <c r="D4784" s="17">
        <v>22991231</v>
      </c>
      <c r="E4784" s="25">
        <v>204.35</v>
      </c>
    </row>
    <row r="4785" spans="1:5" x14ac:dyDescent="0.3">
      <c r="A4785" s="17" t="str">
        <f>"78185"</f>
        <v>78185</v>
      </c>
      <c r="B4785" s="5" t="s">
        <v>4940</v>
      </c>
      <c r="C4785" s="17">
        <v>19900101</v>
      </c>
      <c r="D4785" s="17">
        <v>22991231</v>
      </c>
      <c r="E4785" s="25">
        <v>204.35</v>
      </c>
    </row>
    <row r="4786" spans="1:5" x14ac:dyDescent="0.3">
      <c r="A4786" s="17" t="str">
        <f>"78191"</f>
        <v>78191</v>
      </c>
      <c r="B4786" s="5" t="s">
        <v>4941</v>
      </c>
      <c r="C4786" s="17">
        <v>19900101</v>
      </c>
      <c r="D4786" s="17">
        <v>22991231</v>
      </c>
      <c r="E4786" s="25">
        <v>204.35</v>
      </c>
    </row>
    <row r="4787" spans="1:5" x14ac:dyDescent="0.3">
      <c r="A4787" s="17" t="str">
        <f>"78195"</f>
        <v>78195</v>
      </c>
      <c r="B4787" s="5" t="s">
        <v>4942</v>
      </c>
      <c r="C4787" s="17">
        <v>19900101</v>
      </c>
      <c r="D4787" s="17">
        <v>22991231</v>
      </c>
      <c r="E4787" s="25">
        <v>267.8</v>
      </c>
    </row>
    <row r="4788" spans="1:5" ht="26" x14ac:dyDescent="0.3">
      <c r="A4788" s="17" t="str">
        <f>"78199"</f>
        <v>78199</v>
      </c>
      <c r="B4788" s="5" t="s">
        <v>4943</v>
      </c>
      <c r="C4788" s="17">
        <v>19900101</v>
      </c>
      <c r="D4788" s="17">
        <v>22991231</v>
      </c>
      <c r="E4788" s="25">
        <v>204.35</v>
      </c>
    </row>
    <row r="4789" spans="1:5" x14ac:dyDescent="0.3">
      <c r="A4789" s="17" t="str">
        <f>"78201"</f>
        <v>78201</v>
      </c>
      <c r="B4789" s="5" t="s">
        <v>4944</v>
      </c>
      <c r="C4789" s="17">
        <v>19900101</v>
      </c>
      <c r="D4789" s="17">
        <v>22991231</v>
      </c>
      <c r="E4789" s="25">
        <v>267.8</v>
      </c>
    </row>
    <row r="4790" spans="1:5" x14ac:dyDescent="0.3">
      <c r="A4790" s="17" t="str">
        <f>"78202"</f>
        <v>78202</v>
      </c>
      <c r="B4790" s="5" t="s">
        <v>4945</v>
      </c>
      <c r="C4790" s="17">
        <v>19900101</v>
      </c>
      <c r="D4790" s="17">
        <v>22991231</v>
      </c>
      <c r="E4790" s="25">
        <v>267.8</v>
      </c>
    </row>
    <row r="4791" spans="1:5" x14ac:dyDescent="0.3">
      <c r="A4791" s="17" t="str">
        <f>"78215"</f>
        <v>78215</v>
      </c>
      <c r="B4791" s="5" t="s">
        <v>4946</v>
      </c>
      <c r="C4791" s="17">
        <v>19900101</v>
      </c>
      <c r="D4791" s="17">
        <v>22991231</v>
      </c>
      <c r="E4791" s="25">
        <v>204.35</v>
      </c>
    </row>
    <row r="4792" spans="1:5" ht="26" x14ac:dyDescent="0.3">
      <c r="A4792" s="17" t="str">
        <f>"78216"</f>
        <v>78216</v>
      </c>
      <c r="B4792" s="5" t="s">
        <v>4947</v>
      </c>
      <c r="C4792" s="17">
        <v>19900101</v>
      </c>
      <c r="D4792" s="17">
        <v>22991231</v>
      </c>
      <c r="E4792" s="25">
        <v>204.35</v>
      </c>
    </row>
    <row r="4793" spans="1:5" ht="26" x14ac:dyDescent="0.3">
      <c r="A4793" s="17" t="str">
        <f>"78226"</f>
        <v>78226</v>
      </c>
      <c r="B4793" s="5" t="s">
        <v>4948</v>
      </c>
      <c r="C4793" s="17">
        <v>20230101</v>
      </c>
      <c r="D4793" s="17">
        <v>22991231</v>
      </c>
      <c r="E4793" s="25">
        <v>204.35</v>
      </c>
    </row>
    <row r="4794" spans="1:5" ht="26" x14ac:dyDescent="0.3">
      <c r="A4794" s="17" t="str">
        <f>"78227"</f>
        <v>78227</v>
      </c>
      <c r="B4794" s="5" t="s">
        <v>4949</v>
      </c>
      <c r="C4794" s="17">
        <v>20230101</v>
      </c>
      <c r="D4794" s="17">
        <v>22991231</v>
      </c>
      <c r="E4794" s="25">
        <v>267.8</v>
      </c>
    </row>
    <row r="4795" spans="1:5" x14ac:dyDescent="0.3">
      <c r="A4795" s="17" t="str">
        <f>"78230"</f>
        <v>78230</v>
      </c>
      <c r="B4795" s="5" t="s">
        <v>4950</v>
      </c>
      <c r="C4795" s="17">
        <v>19900101</v>
      </c>
      <c r="D4795" s="17">
        <v>22991231</v>
      </c>
      <c r="E4795" s="25">
        <v>204.35</v>
      </c>
    </row>
    <row r="4796" spans="1:5" ht="26" x14ac:dyDescent="0.3">
      <c r="A4796" s="17" t="str">
        <f>"78231"</f>
        <v>78231</v>
      </c>
      <c r="B4796" s="5" t="s">
        <v>4951</v>
      </c>
      <c r="C4796" s="17">
        <v>19900101</v>
      </c>
      <c r="D4796" s="17">
        <v>22991231</v>
      </c>
      <c r="E4796" s="25">
        <v>204.35</v>
      </c>
    </row>
    <row r="4797" spans="1:5" ht="26" x14ac:dyDescent="0.3">
      <c r="A4797" s="17" t="str">
        <f>"78232"</f>
        <v>78232</v>
      </c>
      <c r="B4797" s="5" t="s">
        <v>4952</v>
      </c>
      <c r="C4797" s="17">
        <v>19900101</v>
      </c>
      <c r="D4797" s="17">
        <v>22991231</v>
      </c>
      <c r="E4797" s="25">
        <v>204.35</v>
      </c>
    </row>
    <row r="4798" spans="1:5" ht="26" x14ac:dyDescent="0.3">
      <c r="A4798" s="17" t="str">
        <f>"78258"</f>
        <v>78258</v>
      </c>
      <c r="B4798" s="5" t="s">
        <v>4953</v>
      </c>
      <c r="C4798" s="17">
        <v>19900101</v>
      </c>
      <c r="D4798" s="17">
        <v>22991231</v>
      </c>
      <c r="E4798" s="25">
        <v>204.35</v>
      </c>
    </row>
    <row r="4799" spans="1:5" x14ac:dyDescent="0.3">
      <c r="A4799" s="17" t="str">
        <f>"78261"</f>
        <v>78261</v>
      </c>
      <c r="B4799" s="5" t="s">
        <v>4954</v>
      </c>
      <c r="C4799" s="17">
        <v>19900101</v>
      </c>
      <c r="D4799" s="17">
        <v>22991231</v>
      </c>
      <c r="E4799" s="25">
        <v>204.35</v>
      </c>
    </row>
    <row r="4800" spans="1:5" ht="26" x14ac:dyDescent="0.3">
      <c r="A4800" s="17" t="str">
        <f>"78262"</f>
        <v>78262</v>
      </c>
      <c r="B4800" s="5" t="s">
        <v>4955</v>
      </c>
      <c r="C4800" s="17">
        <v>19900101</v>
      </c>
      <c r="D4800" s="17">
        <v>22991231</v>
      </c>
      <c r="E4800" s="25">
        <v>204.35</v>
      </c>
    </row>
    <row r="4801" spans="1:5" ht="26" x14ac:dyDescent="0.3">
      <c r="A4801" s="17" t="str">
        <f>"78264"</f>
        <v>78264</v>
      </c>
      <c r="B4801" s="5" t="s">
        <v>4956</v>
      </c>
      <c r="C4801" s="17">
        <v>19900101</v>
      </c>
      <c r="D4801" s="17">
        <v>22991231</v>
      </c>
      <c r="E4801" s="25">
        <v>204.35</v>
      </c>
    </row>
    <row r="4802" spans="1:5" ht="26" x14ac:dyDescent="0.3">
      <c r="A4802" s="17" t="str">
        <f>"78265"</f>
        <v>78265</v>
      </c>
      <c r="B4802" s="5" t="s">
        <v>4957</v>
      </c>
      <c r="C4802" s="17">
        <v>20230101</v>
      </c>
      <c r="D4802" s="17">
        <v>22991231</v>
      </c>
      <c r="E4802" s="25">
        <v>204.35</v>
      </c>
    </row>
    <row r="4803" spans="1:5" ht="26" x14ac:dyDescent="0.3">
      <c r="A4803" s="17" t="str">
        <f>"78266"</f>
        <v>78266</v>
      </c>
      <c r="B4803" s="5" t="s">
        <v>4958</v>
      </c>
      <c r="C4803" s="17">
        <v>20230101</v>
      </c>
      <c r="D4803" s="17">
        <v>22991231</v>
      </c>
      <c r="E4803" s="25">
        <v>267.8</v>
      </c>
    </row>
    <row r="4804" spans="1:5" ht="26" x14ac:dyDescent="0.3">
      <c r="A4804" s="17" t="str">
        <f>"78267"</f>
        <v>78267</v>
      </c>
      <c r="B4804" s="5" t="s">
        <v>4959</v>
      </c>
      <c r="C4804" s="17">
        <v>20000101</v>
      </c>
      <c r="D4804" s="17">
        <v>22991231</v>
      </c>
      <c r="E4804" s="24" t="s">
        <v>7128</v>
      </c>
    </row>
    <row r="4805" spans="1:5" ht="26" x14ac:dyDescent="0.3">
      <c r="A4805" s="17" t="str">
        <f>"78268"</f>
        <v>78268</v>
      </c>
      <c r="B4805" s="5" t="s">
        <v>4960</v>
      </c>
      <c r="C4805" s="17">
        <v>20000101</v>
      </c>
      <c r="D4805" s="17">
        <v>22991231</v>
      </c>
      <c r="E4805" s="24" t="s">
        <v>7128</v>
      </c>
    </row>
    <row r="4806" spans="1:5" x14ac:dyDescent="0.3">
      <c r="A4806" s="17" t="str">
        <f>"78278"</f>
        <v>78278</v>
      </c>
      <c r="B4806" s="5" t="s">
        <v>4961</v>
      </c>
      <c r="C4806" s="17">
        <v>19900101</v>
      </c>
      <c r="D4806" s="17">
        <v>22991231</v>
      </c>
      <c r="E4806" s="25">
        <v>204.35</v>
      </c>
    </row>
    <row r="4807" spans="1:5" ht="26" x14ac:dyDescent="0.3">
      <c r="A4807" s="17" t="str">
        <f>"78282"</f>
        <v>78282</v>
      </c>
      <c r="B4807" s="5" t="s">
        <v>4962</v>
      </c>
      <c r="C4807" s="17">
        <v>19900101</v>
      </c>
      <c r="D4807" s="17">
        <v>22991231</v>
      </c>
      <c r="E4807" s="25">
        <v>204.35</v>
      </c>
    </row>
    <row r="4808" spans="1:5" x14ac:dyDescent="0.3">
      <c r="A4808" s="17" t="str">
        <f>"78290"</f>
        <v>78290</v>
      </c>
      <c r="B4808" s="5" t="s">
        <v>4963</v>
      </c>
      <c r="C4808" s="17">
        <v>19900101</v>
      </c>
      <c r="D4808" s="17">
        <v>22991231</v>
      </c>
      <c r="E4808" s="25">
        <v>204.35</v>
      </c>
    </row>
    <row r="4809" spans="1:5" ht="39" x14ac:dyDescent="0.3">
      <c r="A4809" s="17" t="str">
        <f>"78291"</f>
        <v>78291</v>
      </c>
      <c r="B4809" s="5" t="s">
        <v>4964</v>
      </c>
      <c r="C4809" s="17">
        <v>19900101</v>
      </c>
      <c r="D4809" s="17">
        <v>22991231</v>
      </c>
      <c r="E4809" s="25">
        <v>204.35</v>
      </c>
    </row>
    <row r="4810" spans="1:5" x14ac:dyDescent="0.3">
      <c r="A4810" s="17" t="str">
        <f>"78299"</f>
        <v>78299</v>
      </c>
      <c r="B4810" s="5" t="s">
        <v>4965</v>
      </c>
      <c r="C4810" s="17">
        <v>19900101</v>
      </c>
      <c r="D4810" s="17">
        <v>22991231</v>
      </c>
      <c r="E4810" s="25">
        <v>204.35</v>
      </c>
    </row>
    <row r="4811" spans="1:5" ht="26" x14ac:dyDescent="0.3">
      <c r="A4811" s="17" t="str">
        <f>"78300"</f>
        <v>78300</v>
      </c>
      <c r="B4811" s="5" t="s">
        <v>4966</v>
      </c>
      <c r="C4811" s="17">
        <v>19900101</v>
      </c>
      <c r="D4811" s="17">
        <v>22991231</v>
      </c>
      <c r="E4811" s="25">
        <v>204.35</v>
      </c>
    </row>
    <row r="4812" spans="1:5" ht="26" x14ac:dyDescent="0.3">
      <c r="A4812" s="17" t="str">
        <f>"78305"</f>
        <v>78305</v>
      </c>
      <c r="B4812" s="5" t="s">
        <v>4967</v>
      </c>
      <c r="C4812" s="17">
        <v>19900101</v>
      </c>
      <c r="D4812" s="17">
        <v>22991231</v>
      </c>
      <c r="E4812" s="25">
        <v>204.35</v>
      </c>
    </row>
    <row r="4813" spans="1:5" ht="26" x14ac:dyDescent="0.3">
      <c r="A4813" s="17" t="str">
        <f>"78306"</f>
        <v>78306</v>
      </c>
      <c r="B4813" s="5" t="s">
        <v>4968</v>
      </c>
      <c r="C4813" s="17">
        <v>19900101</v>
      </c>
      <c r="D4813" s="17">
        <v>22991231</v>
      </c>
      <c r="E4813" s="25">
        <v>204.35</v>
      </c>
    </row>
    <row r="4814" spans="1:5" ht="26" x14ac:dyDescent="0.3">
      <c r="A4814" s="17" t="str">
        <f>"78315"</f>
        <v>78315</v>
      </c>
      <c r="B4814" s="5" t="s">
        <v>4969</v>
      </c>
      <c r="C4814" s="17">
        <v>19900101</v>
      </c>
      <c r="D4814" s="17">
        <v>22991231</v>
      </c>
      <c r="E4814" s="25">
        <v>204.35</v>
      </c>
    </row>
    <row r="4815" spans="1:5" ht="26" x14ac:dyDescent="0.3">
      <c r="A4815" s="17" t="str">
        <f>"78350"</f>
        <v>78350</v>
      </c>
      <c r="B4815" s="5" t="s">
        <v>4970</v>
      </c>
      <c r="C4815" s="17">
        <v>19900101</v>
      </c>
      <c r="D4815" s="17">
        <v>22991231</v>
      </c>
      <c r="E4815" s="24" t="s">
        <v>7128</v>
      </c>
    </row>
    <row r="4816" spans="1:5" ht="26" x14ac:dyDescent="0.3">
      <c r="A4816" s="17" t="str">
        <f>"78351"</f>
        <v>78351</v>
      </c>
      <c r="B4816" s="5" t="s">
        <v>4971</v>
      </c>
      <c r="C4816" s="17">
        <v>19900101</v>
      </c>
      <c r="D4816" s="17">
        <v>22991231</v>
      </c>
      <c r="E4816" s="24" t="s">
        <v>7128</v>
      </c>
    </row>
    <row r="4817" spans="1:5" ht="26" x14ac:dyDescent="0.3">
      <c r="A4817" s="17" t="str">
        <f>"78399"</f>
        <v>78399</v>
      </c>
      <c r="B4817" s="5" t="s">
        <v>4972</v>
      </c>
      <c r="C4817" s="17">
        <v>19900101</v>
      </c>
      <c r="D4817" s="17">
        <v>22991231</v>
      </c>
      <c r="E4817" s="25">
        <v>204.35</v>
      </c>
    </row>
    <row r="4818" spans="1:5" ht="26" x14ac:dyDescent="0.3">
      <c r="A4818" s="17" t="str">
        <f>"78414"</f>
        <v>78414</v>
      </c>
      <c r="B4818" s="5" t="s">
        <v>4973</v>
      </c>
      <c r="C4818" s="17">
        <v>19900101</v>
      </c>
      <c r="D4818" s="17">
        <v>22991231</v>
      </c>
      <c r="E4818" s="25">
        <v>267.8</v>
      </c>
    </row>
    <row r="4819" spans="1:5" x14ac:dyDescent="0.3">
      <c r="A4819" s="17" t="str">
        <f>"78428"</f>
        <v>78428</v>
      </c>
      <c r="B4819" s="5" t="s">
        <v>4974</v>
      </c>
      <c r="C4819" s="17">
        <v>19900101</v>
      </c>
      <c r="D4819" s="17">
        <v>22991231</v>
      </c>
      <c r="E4819" s="25">
        <v>204.35</v>
      </c>
    </row>
    <row r="4820" spans="1:5" ht="26" x14ac:dyDescent="0.3">
      <c r="A4820" s="17" t="str">
        <f>"78429"</f>
        <v>78429</v>
      </c>
      <c r="B4820" s="5" t="s">
        <v>4975</v>
      </c>
      <c r="C4820" s="17">
        <v>20200101</v>
      </c>
      <c r="D4820" s="17">
        <v>22991231</v>
      </c>
      <c r="E4820" s="25">
        <v>775.13</v>
      </c>
    </row>
    <row r="4821" spans="1:5" ht="39" x14ac:dyDescent="0.3">
      <c r="A4821" s="17" t="str">
        <f>"78430"</f>
        <v>78430</v>
      </c>
      <c r="B4821" s="5" t="s">
        <v>4976</v>
      </c>
      <c r="C4821" s="17">
        <v>20200101</v>
      </c>
      <c r="D4821" s="17">
        <v>22991231</v>
      </c>
      <c r="E4821" s="25">
        <v>775.13</v>
      </c>
    </row>
    <row r="4822" spans="1:5" ht="39" x14ac:dyDescent="0.3">
      <c r="A4822" s="17" t="str">
        <f>"78431"</f>
        <v>78431</v>
      </c>
      <c r="B4822" s="5" t="s">
        <v>4977</v>
      </c>
      <c r="C4822" s="17">
        <v>20200101</v>
      </c>
      <c r="D4822" s="17">
        <v>22991231</v>
      </c>
      <c r="E4822" s="25">
        <v>1170.3</v>
      </c>
    </row>
    <row r="4823" spans="1:5" ht="39" x14ac:dyDescent="0.3">
      <c r="A4823" s="17" t="str">
        <f>"78432"</f>
        <v>78432</v>
      </c>
      <c r="B4823" s="5" t="s">
        <v>4978</v>
      </c>
      <c r="C4823" s="17">
        <v>20200101</v>
      </c>
      <c r="D4823" s="17">
        <v>22991231</v>
      </c>
      <c r="E4823" s="25">
        <v>962.29</v>
      </c>
    </row>
    <row r="4824" spans="1:5" ht="39" x14ac:dyDescent="0.3">
      <c r="A4824" s="17" t="str">
        <f>"78433"</f>
        <v>78433</v>
      </c>
      <c r="B4824" s="5" t="s">
        <v>4979</v>
      </c>
      <c r="C4824" s="17">
        <v>20200101</v>
      </c>
      <c r="D4824" s="17">
        <v>22991231</v>
      </c>
      <c r="E4824" s="25">
        <v>1014.29</v>
      </c>
    </row>
    <row r="4825" spans="1:5" ht="26" x14ac:dyDescent="0.3">
      <c r="A4825" s="17" t="str">
        <f>"78434"</f>
        <v>78434</v>
      </c>
      <c r="B4825" s="5" t="s">
        <v>4980</v>
      </c>
      <c r="C4825" s="17">
        <v>20200101</v>
      </c>
      <c r="D4825" s="17">
        <v>22991231</v>
      </c>
      <c r="E4825" s="25">
        <v>0</v>
      </c>
    </row>
    <row r="4826" spans="1:5" ht="26" x14ac:dyDescent="0.3">
      <c r="A4826" s="17" t="str">
        <f>"78445"</f>
        <v>78445</v>
      </c>
      <c r="B4826" s="5" t="s">
        <v>4981</v>
      </c>
      <c r="C4826" s="17">
        <v>19900101</v>
      </c>
      <c r="D4826" s="17">
        <v>22991231</v>
      </c>
      <c r="E4826" s="25">
        <v>204.35</v>
      </c>
    </row>
    <row r="4827" spans="1:5" ht="26" x14ac:dyDescent="0.3">
      <c r="A4827" s="17" t="str">
        <f>"78451"</f>
        <v>78451</v>
      </c>
      <c r="B4827" s="5" t="s">
        <v>4982</v>
      </c>
      <c r="C4827" s="17">
        <v>20230101</v>
      </c>
      <c r="D4827" s="17">
        <v>22991231</v>
      </c>
      <c r="E4827" s="25">
        <v>703.54</v>
      </c>
    </row>
    <row r="4828" spans="1:5" ht="26" x14ac:dyDescent="0.3">
      <c r="A4828" s="17" t="str">
        <f>"78452"</f>
        <v>78452</v>
      </c>
      <c r="B4828" s="5" t="s">
        <v>4983</v>
      </c>
      <c r="C4828" s="17">
        <v>20230101</v>
      </c>
      <c r="D4828" s="17">
        <v>22991231</v>
      </c>
      <c r="E4828" s="25">
        <v>703.54</v>
      </c>
    </row>
    <row r="4829" spans="1:5" ht="26" x14ac:dyDescent="0.3">
      <c r="A4829" s="17" t="str">
        <f>"78453"</f>
        <v>78453</v>
      </c>
      <c r="B4829" s="5" t="s">
        <v>4984</v>
      </c>
      <c r="C4829" s="17">
        <v>20230101</v>
      </c>
      <c r="D4829" s="17">
        <v>22991231</v>
      </c>
      <c r="E4829" s="25">
        <v>703.54</v>
      </c>
    </row>
    <row r="4830" spans="1:5" ht="26" x14ac:dyDescent="0.3">
      <c r="A4830" s="17" t="str">
        <f>"78454"</f>
        <v>78454</v>
      </c>
      <c r="B4830" s="5" t="s">
        <v>4985</v>
      </c>
      <c r="C4830" s="17">
        <v>20230101</v>
      </c>
      <c r="D4830" s="17">
        <v>22991231</v>
      </c>
      <c r="E4830" s="25">
        <v>703.54</v>
      </c>
    </row>
    <row r="4831" spans="1:5" ht="26" x14ac:dyDescent="0.3">
      <c r="A4831" s="17" t="str">
        <f>"78456"</f>
        <v>78456</v>
      </c>
      <c r="B4831" s="5" t="s">
        <v>4986</v>
      </c>
      <c r="C4831" s="17">
        <v>20000101</v>
      </c>
      <c r="D4831" s="17">
        <v>22991231</v>
      </c>
      <c r="E4831" s="25">
        <v>703.54</v>
      </c>
    </row>
    <row r="4832" spans="1:5" ht="26" x14ac:dyDescent="0.3">
      <c r="A4832" s="17" t="str">
        <f>"78457"</f>
        <v>78457</v>
      </c>
      <c r="B4832" s="5" t="s">
        <v>4987</v>
      </c>
      <c r="C4832" s="17">
        <v>19900101</v>
      </c>
      <c r="D4832" s="17">
        <v>22991231</v>
      </c>
      <c r="E4832" s="25">
        <v>267.8</v>
      </c>
    </row>
    <row r="4833" spans="1:5" ht="26" x14ac:dyDescent="0.3">
      <c r="A4833" s="17" t="str">
        <f>"78458"</f>
        <v>78458</v>
      </c>
      <c r="B4833" s="5" t="s">
        <v>4988</v>
      </c>
      <c r="C4833" s="17">
        <v>19900101</v>
      </c>
      <c r="D4833" s="17">
        <v>22991231</v>
      </c>
      <c r="E4833" s="25">
        <v>204.35</v>
      </c>
    </row>
    <row r="4834" spans="1:5" ht="26" x14ac:dyDescent="0.3">
      <c r="A4834" s="17" t="str">
        <f>"78459"</f>
        <v>78459</v>
      </c>
      <c r="B4834" s="5" t="s">
        <v>4989</v>
      </c>
      <c r="C4834" s="17">
        <v>20151001</v>
      </c>
      <c r="D4834" s="17">
        <v>22991231</v>
      </c>
      <c r="E4834" s="25">
        <v>703.54</v>
      </c>
    </row>
    <row r="4835" spans="1:5" ht="26" x14ac:dyDescent="0.3">
      <c r="A4835" s="17" t="str">
        <f>"78466"</f>
        <v>78466</v>
      </c>
      <c r="B4835" s="5" t="s">
        <v>4990</v>
      </c>
      <c r="C4835" s="17">
        <v>20230101</v>
      </c>
      <c r="D4835" s="17">
        <v>22991231</v>
      </c>
      <c r="E4835" s="25">
        <v>204.35</v>
      </c>
    </row>
    <row r="4836" spans="1:5" ht="39" x14ac:dyDescent="0.3">
      <c r="A4836" s="17" t="str">
        <f>"78468"</f>
        <v>78468</v>
      </c>
      <c r="B4836" s="5" t="s">
        <v>4991</v>
      </c>
      <c r="C4836" s="17">
        <v>20230101</v>
      </c>
      <c r="D4836" s="17">
        <v>22991231</v>
      </c>
      <c r="E4836" s="25">
        <v>267.8</v>
      </c>
    </row>
    <row r="4837" spans="1:5" ht="26" x14ac:dyDescent="0.3">
      <c r="A4837" s="17" t="str">
        <f>"78469"</f>
        <v>78469</v>
      </c>
      <c r="B4837" s="5" t="s">
        <v>4992</v>
      </c>
      <c r="C4837" s="17">
        <v>20230101</v>
      </c>
      <c r="D4837" s="17">
        <v>22991231</v>
      </c>
      <c r="E4837" s="25">
        <v>267.8</v>
      </c>
    </row>
    <row r="4838" spans="1:5" ht="52" x14ac:dyDescent="0.3">
      <c r="A4838" s="17" t="str">
        <f>"78472"</f>
        <v>78472</v>
      </c>
      <c r="B4838" s="5" t="s">
        <v>4993</v>
      </c>
      <c r="C4838" s="17">
        <v>20230101</v>
      </c>
      <c r="D4838" s="17">
        <v>22991231</v>
      </c>
      <c r="E4838" s="25">
        <v>204.35</v>
      </c>
    </row>
    <row r="4839" spans="1:5" ht="52" x14ac:dyDescent="0.3">
      <c r="A4839" s="17" t="str">
        <f>"78473"</f>
        <v>78473</v>
      </c>
      <c r="B4839" s="5" t="s">
        <v>4994</v>
      </c>
      <c r="C4839" s="17">
        <v>19920115</v>
      </c>
      <c r="D4839" s="17">
        <v>22991231</v>
      </c>
      <c r="E4839" s="25">
        <v>204.35</v>
      </c>
    </row>
    <row r="4840" spans="1:5" ht="52" x14ac:dyDescent="0.3">
      <c r="A4840" s="17" t="str">
        <f>"78481"</f>
        <v>78481</v>
      </c>
      <c r="B4840" s="5" t="s">
        <v>4995</v>
      </c>
      <c r="C4840" s="17">
        <v>20230101</v>
      </c>
      <c r="D4840" s="17">
        <v>22991231</v>
      </c>
      <c r="E4840" s="25">
        <v>267.8</v>
      </c>
    </row>
    <row r="4841" spans="1:5" ht="52" x14ac:dyDescent="0.3">
      <c r="A4841" s="17" t="str">
        <f>"78483"</f>
        <v>78483</v>
      </c>
      <c r="B4841" s="5" t="s">
        <v>4996</v>
      </c>
      <c r="C4841" s="17">
        <v>19920115</v>
      </c>
      <c r="D4841" s="17">
        <v>22991231</v>
      </c>
      <c r="E4841" s="25">
        <v>267.8</v>
      </c>
    </row>
    <row r="4842" spans="1:5" ht="26" x14ac:dyDescent="0.3">
      <c r="A4842" s="17" t="str">
        <f>"78491"</f>
        <v>78491</v>
      </c>
      <c r="B4842" s="5" t="s">
        <v>4997</v>
      </c>
      <c r="C4842" s="17">
        <v>20151001</v>
      </c>
      <c r="D4842" s="17">
        <v>22991231</v>
      </c>
      <c r="E4842" s="25">
        <v>775.13</v>
      </c>
    </row>
    <row r="4843" spans="1:5" ht="26" x14ac:dyDescent="0.3">
      <c r="A4843" s="17" t="str">
        <f>"78492"</f>
        <v>78492</v>
      </c>
      <c r="B4843" s="5" t="s">
        <v>4998</v>
      </c>
      <c r="C4843" s="17">
        <v>20151001</v>
      </c>
      <c r="D4843" s="17">
        <v>22991231</v>
      </c>
      <c r="E4843" s="25">
        <v>775.13</v>
      </c>
    </row>
    <row r="4844" spans="1:5" ht="65" x14ac:dyDescent="0.3">
      <c r="A4844" s="17" t="str">
        <f>"78494"</f>
        <v>78494</v>
      </c>
      <c r="B4844" s="5" t="s">
        <v>4999</v>
      </c>
      <c r="C4844" s="17">
        <v>20151001</v>
      </c>
      <c r="D4844" s="17">
        <v>22991231</v>
      </c>
      <c r="E4844" s="25">
        <v>204.35</v>
      </c>
    </row>
    <row r="4845" spans="1:5" ht="26" x14ac:dyDescent="0.3">
      <c r="A4845" s="17" t="str">
        <f>"78496"</f>
        <v>78496</v>
      </c>
      <c r="B4845" s="5" t="s">
        <v>5000</v>
      </c>
      <c r="C4845" s="17">
        <v>20060915</v>
      </c>
      <c r="D4845" s="17">
        <v>22991231</v>
      </c>
      <c r="E4845" s="25">
        <v>0</v>
      </c>
    </row>
    <row r="4846" spans="1:5" ht="26" x14ac:dyDescent="0.3">
      <c r="A4846" s="17" t="str">
        <f>"78499"</f>
        <v>78499</v>
      </c>
      <c r="B4846" s="5" t="s">
        <v>5001</v>
      </c>
      <c r="C4846" s="17">
        <v>20151001</v>
      </c>
      <c r="D4846" s="17">
        <v>22991231</v>
      </c>
      <c r="E4846" s="25">
        <v>204.35</v>
      </c>
    </row>
    <row r="4847" spans="1:5" x14ac:dyDescent="0.3">
      <c r="A4847" s="17" t="str">
        <f>"78579"</f>
        <v>78579</v>
      </c>
      <c r="B4847" s="5" t="s">
        <v>5002</v>
      </c>
      <c r="C4847" s="17">
        <v>20230101</v>
      </c>
      <c r="D4847" s="17">
        <v>22991231</v>
      </c>
      <c r="E4847" s="25">
        <v>204.35</v>
      </c>
    </row>
    <row r="4848" spans="1:5" x14ac:dyDescent="0.3">
      <c r="A4848" s="17" t="str">
        <f>"78580"</f>
        <v>78580</v>
      </c>
      <c r="B4848" s="5" t="s">
        <v>5003</v>
      </c>
      <c r="C4848" s="17">
        <v>19900101</v>
      </c>
      <c r="D4848" s="17">
        <v>22991231</v>
      </c>
      <c r="E4848" s="25">
        <v>204.35</v>
      </c>
    </row>
    <row r="4849" spans="1:5" ht="26" x14ac:dyDescent="0.3">
      <c r="A4849" s="17" t="str">
        <f>"78582"</f>
        <v>78582</v>
      </c>
      <c r="B4849" s="5" t="s">
        <v>5004</v>
      </c>
      <c r="C4849" s="17">
        <v>20230101</v>
      </c>
      <c r="D4849" s="17">
        <v>22991231</v>
      </c>
      <c r="E4849" s="25">
        <v>267.8</v>
      </c>
    </row>
    <row r="4850" spans="1:5" ht="26" x14ac:dyDescent="0.3">
      <c r="A4850" s="17" t="str">
        <f>"78597"</f>
        <v>78597</v>
      </c>
      <c r="B4850" s="5" t="s">
        <v>5005</v>
      </c>
      <c r="C4850" s="17">
        <v>20230101</v>
      </c>
      <c r="D4850" s="17">
        <v>22991231</v>
      </c>
      <c r="E4850" s="25">
        <v>204.35</v>
      </c>
    </row>
    <row r="4851" spans="1:5" ht="26" x14ac:dyDescent="0.3">
      <c r="A4851" s="17" t="str">
        <f>"78598"</f>
        <v>78598</v>
      </c>
      <c r="B4851" s="5" t="s">
        <v>5006</v>
      </c>
      <c r="C4851" s="17">
        <v>20230101</v>
      </c>
      <c r="D4851" s="17">
        <v>22991231</v>
      </c>
      <c r="E4851" s="25">
        <v>267.8</v>
      </c>
    </row>
    <row r="4852" spans="1:5" ht="26" x14ac:dyDescent="0.3">
      <c r="A4852" s="17" t="str">
        <f>"78599"</f>
        <v>78599</v>
      </c>
      <c r="B4852" s="5" t="s">
        <v>5007</v>
      </c>
      <c r="C4852" s="17">
        <v>20151001</v>
      </c>
      <c r="D4852" s="17">
        <v>22991231</v>
      </c>
      <c r="E4852" s="25">
        <v>204.35</v>
      </c>
    </row>
    <row r="4853" spans="1:5" ht="26" x14ac:dyDescent="0.3">
      <c r="A4853" s="17" t="str">
        <f>"78600"</f>
        <v>78600</v>
      </c>
      <c r="B4853" s="5" t="s">
        <v>5008</v>
      </c>
      <c r="C4853" s="17">
        <v>19900101</v>
      </c>
      <c r="D4853" s="17">
        <v>22991231</v>
      </c>
      <c r="E4853" s="25">
        <v>204.35</v>
      </c>
    </row>
    <row r="4854" spans="1:5" x14ac:dyDescent="0.3">
      <c r="A4854" s="17" t="str">
        <f>"78601"</f>
        <v>78601</v>
      </c>
      <c r="B4854" s="5" t="s">
        <v>5009</v>
      </c>
      <c r="C4854" s="17">
        <v>19900101</v>
      </c>
      <c r="D4854" s="17">
        <v>22991231</v>
      </c>
      <c r="E4854" s="25">
        <v>204.35</v>
      </c>
    </row>
    <row r="4855" spans="1:5" ht="26" x14ac:dyDescent="0.3">
      <c r="A4855" s="17" t="str">
        <f>"78605"</f>
        <v>78605</v>
      </c>
      <c r="B4855" s="5" t="s">
        <v>5010</v>
      </c>
      <c r="C4855" s="17">
        <v>19900101</v>
      </c>
      <c r="D4855" s="17">
        <v>22991231</v>
      </c>
      <c r="E4855" s="25">
        <v>267.8</v>
      </c>
    </row>
    <row r="4856" spans="1:5" ht="26" x14ac:dyDescent="0.3">
      <c r="A4856" s="17" t="str">
        <f>"78606"</f>
        <v>78606</v>
      </c>
      <c r="B4856" s="5" t="s">
        <v>5011</v>
      </c>
      <c r="C4856" s="17">
        <v>19900101</v>
      </c>
      <c r="D4856" s="17">
        <v>22991231</v>
      </c>
      <c r="E4856" s="25">
        <v>267.8</v>
      </c>
    </row>
    <row r="4857" spans="1:5" ht="26" x14ac:dyDescent="0.3">
      <c r="A4857" s="17" t="str">
        <f>"78608"</f>
        <v>78608</v>
      </c>
      <c r="B4857" s="5" t="s">
        <v>5012</v>
      </c>
      <c r="C4857" s="17">
        <v>20151001</v>
      </c>
      <c r="D4857" s="17">
        <v>22991231</v>
      </c>
      <c r="E4857" s="25">
        <v>775.13</v>
      </c>
    </row>
    <row r="4858" spans="1:5" ht="26" x14ac:dyDescent="0.3">
      <c r="A4858" s="17" t="str">
        <f>"78609"</f>
        <v>78609</v>
      </c>
      <c r="B4858" s="5" t="s">
        <v>5013</v>
      </c>
      <c r="C4858" s="17">
        <v>20151001</v>
      </c>
      <c r="D4858" s="17">
        <v>22991231</v>
      </c>
      <c r="E4858" s="24" t="s">
        <v>7128</v>
      </c>
    </row>
    <row r="4859" spans="1:5" x14ac:dyDescent="0.3">
      <c r="A4859" s="17" t="str">
        <f>"78610"</f>
        <v>78610</v>
      </c>
      <c r="B4859" s="5" t="s">
        <v>5014</v>
      </c>
      <c r="C4859" s="17">
        <v>19900101</v>
      </c>
      <c r="D4859" s="17">
        <v>22991231</v>
      </c>
      <c r="E4859" s="25">
        <v>267.8</v>
      </c>
    </row>
    <row r="4860" spans="1:5" ht="26" x14ac:dyDescent="0.3">
      <c r="A4860" s="17" t="str">
        <f>"78630"</f>
        <v>78630</v>
      </c>
      <c r="B4860" s="5" t="s">
        <v>5015</v>
      </c>
      <c r="C4860" s="17">
        <v>19900101</v>
      </c>
      <c r="D4860" s="17">
        <v>22991231</v>
      </c>
      <c r="E4860" s="25">
        <v>267.8</v>
      </c>
    </row>
    <row r="4861" spans="1:5" ht="26" x14ac:dyDescent="0.3">
      <c r="A4861" s="17" t="str">
        <f>"78635"</f>
        <v>78635</v>
      </c>
      <c r="B4861" s="5" t="s">
        <v>5016</v>
      </c>
      <c r="C4861" s="17">
        <v>19900101</v>
      </c>
      <c r="D4861" s="17">
        <v>22991231</v>
      </c>
      <c r="E4861" s="25">
        <v>267.8</v>
      </c>
    </row>
    <row r="4862" spans="1:5" ht="26" x14ac:dyDescent="0.3">
      <c r="A4862" s="17" t="str">
        <f>"78645"</f>
        <v>78645</v>
      </c>
      <c r="B4862" s="5" t="s">
        <v>5017</v>
      </c>
      <c r="C4862" s="17">
        <v>19900101</v>
      </c>
      <c r="D4862" s="17">
        <v>22991231</v>
      </c>
      <c r="E4862" s="25">
        <v>267.8</v>
      </c>
    </row>
    <row r="4863" spans="1:5" ht="26" x14ac:dyDescent="0.3">
      <c r="A4863" s="17" t="str">
        <f>"78650"</f>
        <v>78650</v>
      </c>
      <c r="B4863" s="5" t="s">
        <v>5018</v>
      </c>
      <c r="C4863" s="17">
        <v>19900101</v>
      </c>
      <c r="D4863" s="17">
        <v>22991231</v>
      </c>
      <c r="E4863" s="25">
        <v>703.54</v>
      </c>
    </row>
    <row r="4864" spans="1:5" ht="26" x14ac:dyDescent="0.3">
      <c r="A4864" s="17" t="str">
        <f>"78660"</f>
        <v>78660</v>
      </c>
      <c r="B4864" s="5" t="s">
        <v>5019</v>
      </c>
      <c r="C4864" s="17">
        <v>19900101</v>
      </c>
      <c r="D4864" s="17">
        <v>22991231</v>
      </c>
      <c r="E4864" s="25">
        <v>204.35</v>
      </c>
    </row>
    <row r="4865" spans="1:5" x14ac:dyDescent="0.3">
      <c r="A4865" s="17" t="str">
        <f>"78699"</f>
        <v>78699</v>
      </c>
      <c r="B4865" s="5" t="s">
        <v>5020</v>
      </c>
      <c r="C4865" s="17">
        <v>20151001</v>
      </c>
      <c r="D4865" s="17">
        <v>22991231</v>
      </c>
      <c r="E4865" s="25">
        <v>204.35</v>
      </c>
    </row>
    <row r="4866" spans="1:5" x14ac:dyDescent="0.3">
      <c r="A4866" s="17" t="str">
        <f>"78700"</f>
        <v>78700</v>
      </c>
      <c r="B4866" s="5" t="s">
        <v>5021</v>
      </c>
      <c r="C4866" s="17">
        <v>19900101</v>
      </c>
      <c r="D4866" s="17">
        <v>22991231</v>
      </c>
      <c r="E4866" s="25">
        <v>204.35</v>
      </c>
    </row>
    <row r="4867" spans="1:5" ht="26" x14ac:dyDescent="0.3">
      <c r="A4867" s="17" t="str">
        <f>"78701"</f>
        <v>78701</v>
      </c>
      <c r="B4867" s="5" t="s">
        <v>5022</v>
      </c>
      <c r="C4867" s="17">
        <v>19900101</v>
      </c>
      <c r="D4867" s="17">
        <v>22991231</v>
      </c>
      <c r="E4867" s="25">
        <v>204.35</v>
      </c>
    </row>
    <row r="4868" spans="1:5" ht="26" x14ac:dyDescent="0.3">
      <c r="A4868" s="17" t="str">
        <f>"78707"</f>
        <v>78707</v>
      </c>
      <c r="B4868" s="5" t="s">
        <v>5023</v>
      </c>
      <c r="C4868" s="17">
        <v>19900101</v>
      </c>
      <c r="D4868" s="17">
        <v>22991231</v>
      </c>
      <c r="E4868" s="25">
        <v>267.8</v>
      </c>
    </row>
    <row r="4869" spans="1:5" ht="26" x14ac:dyDescent="0.3">
      <c r="A4869" s="17" t="str">
        <f>"78708"</f>
        <v>78708</v>
      </c>
      <c r="B4869" s="5" t="s">
        <v>5024</v>
      </c>
      <c r="C4869" s="17">
        <v>19980101</v>
      </c>
      <c r="D4869" s="17">
        <v>22991231</v>
      </c>
      <c r="E4869" s="25">
        <v>267.8</v>
      </c>
    </row>
    <row r="4870" spans="1:5" ht="26" x14ac:dyDescent="0.3">
      <c r="A4870" s="17" t="str">
        <f>"78709"</f>
        <v>78709</v>
      </c>
      <c r="B4870" s="5" t="s">
        <v>5025</v>
      </c>
      <c r="C4870" s="17">
        <v>19980101</v>
      </c>
      <c r="D4870" s="17">
        <v>22991231</v>
      </c>
      <c r="E4870" s="25">
        <v>267.8</v>
      </c>
    </row>
    <row r="4871" spans="1:5" x14ac:dyDescent="0.3">
      <c r="A4871" s="17" t="str">
        <f>"78725"</f>
        <v>78725</v>
      </c>
      <c r="B4871" s="5" t="s">
        <v>5026</v>
      </c>
      <c r="C4871" s="17">
        <v>19900101</v>
      </c>
      <c r="D4871" s="17">
        <v>22991231</v>
      </c>
      <c r="E4871" s="25">
        <v>204.35</v>
      </c>
    </row>
    <row r="4872" spans="1:5" ht="26" x14ac:dyDescent="0.3">
      <c r="A4872" s="17" t="str">
        <f>"78730"</f>
        <v>78730</v>
      </c>
      <c r="B4872" s="5" t="s">
        <v>5027</v>
      </c>
      <c r="C4872" s="17">
        <v>19900101</v>
      </c>
      <c r="D4872" s="17">
        <v>22991231</v>
      </c>
      <c r="E4872" s="25">
        <v>0</v>
      </c>
    </row>
    <row r="4873" spans="1:5" x14ac:dyDescent="0.3">
      <c r="A4873" s="17" t="str">
        <f>"78740"</f>
        <v>78740</v>
      </c>
      <c r="B4873" s="5" t="s">
        <v>5028</v>
      </c>
      <c r="C4873" s="17">
        <v>19900101</v>
      </c>
      <c r="D4873" s="17">
        <v>22991231</v>
      </c>
      <c r="E4873" s="25">
        <v>204.35</v>
      </c>
    </row>
    <row r="4874" spans="1:5" ht="26" x14ac:dyDescent="0.3">
      <c r="A4874" s="17" t="str">
        <f>"78761"</f>
        <v>78761</v>
      </c>
      <c r="B4874" s="5" t="s">
        <v>5029</v>
      </c>
      <c r="C4874" s="17">
        <v>19900101</v>
      </c>
      <c r="D4874" s="17">
        <v>22991231</v>
      </c>
      <c r="E4874" s="25">
        <v>204.35</v>
      </c>
    </row>
    <row r="4875" spans="1:5" ht="26" x14ac:dyDescent="0.3">
      <c r="A4875" s="17" t="str">
        <f>"78799"</f>
        <v>78799</v>
      </c>
      <c r="B4875" s="5" t="s">
        <v>5030</v>
      </c>
      <c r="C4875" s="17">
        <v>20151001</v>
      </c>
      <c r="D4875" s="17">
        <v>22991231</v>
      </c>
      <c r="E4875" s="25">
        <v>204.35</v>
      </c>
    </row>
    <row r="4876" spans="1:5" x14ac:dyDescent="0.3">
      <c r="A4876" s="17" t="str">
        <f>"78800"</f>
        <v>78800</v>
      </c>
      <c r="B4876" s="5" t="s">
        <v>5031</v>
      </c>
      <c r="C4876" s="17">
        <v>19900101</v>
      </c>
      <c r="D4876" s="17">
        <v>22991231</v>
      </c>
      <c r="E4876" s="25">
        <v>204.35</v>
      </c>
    </row>
    <row r="4877" spans="1:5" x14ac:dyDescent="0.3">
      <c r="A4877" s="17" t="str">
        <f>"78801"</f>
        <v>78801</v>
      </c>
      <c r="B4877" s="5" t="s">
        <v>5032</v>
      </c>
      <c r="C4877" s="17">
        <v>19900101</v>
      </c>
      <c r="D4877" s="17">
        <v>22991231</v>
      </c>
      <c r="E4877" s="25">
        <v>204.35</v>
      </c>
    </row>
    <row r="4878" spans="1:5" x14ac:dyDescent="0.3">
      <c r="A4878" s="17" t="str">
        <f>"78802"</f>
        <v>78802</v>
      </c>
      <c r="B4878" s="5" t="s">
        <v>5033</v>
      </c>
      <c r="C4878" s="17">
        <v>19900101</v>
      </c>
      <c r="D4878" s="17">
        <v>22991231</v>
      </c>
      <c r="E4878" s="25">
        <v>703.54</v>
      </c>
    </row>
    <row r="4879" spans="1:5" ht="26" x14ac:dyDescent="0.3">
      <c r="A4879" s="17" t="str">
        <f>"78803"</f>
        <v>78803</v>
      </c>
      <c r="B4879" s="5" t="s">
        <v>5034</v>
      </c>
      <c r="C4879" s="17">
        <v>20200101</v>
      </c>
      <c r="D4879" s="17">
        <v>22991231</v>
      </c>
      <c r="E4879" s="25">
        <v>703.54</v>
      </c>
    </row>
    <row r="4880" spans="1:5" ht="26" x14ac:dyDescent="0.3">
      <c r="A4880" s="17" t="str">
        <f>"78804"</f>
        <v>78804</v>
      </c>
      <c r="B4880" s="5" t="s">
        <v>5035</v>
      </c>
      <c r="C4880" s="17">
        <v>20200101</v>
      </c>
      <c r="D4880" s="17">
        <v>22991231</v>
      </c>
      <c r="E4880" s="25">
        <v>703.54</v>
      </c>
    </row>
    <row r="4881" spans="1:5" ht="26" x14ac:dyDescent="0.3">
      <c r="A4881" s="17" t="str">
        <f>"78808"</f>
        <v>78808</v>
      </c>
      <c r="B4881" s="5" t="s">
        <v>5036</v>
      </c>
      <c r="C4881" s="17">
        <v>20230101</v>
      </c>
      <c r="D4881" s="17">
        <v>22991231</v>
      </c>
      <c r="E4881" s="25">
        <v>0</v>
      </c>
    </row>
    <row r="4882" spans="1:5" x14ac:dyDescent="0.3">
      <c r="A4882" s="17" t="str">
        <f>"78811"</f>
        <v>78811</v>
      </c>
      <c r="B4882" s="5" t="s">
        <v>5037</v>
      </c>
      <c r="C4882" s="17">
        <v>20230101</v>
      </c>
      <c r="D4882" s="17">
        <v>22991231</v>
      </c>
      <c r="E4882" s="25">
        <v>703.54</v>
      </c>
    </row>
    <row r="4883" spans="1:5" ht="26" x14ac:dyDescent="0.3">
      <c r="A4883" s="17" t="str">
        <f>"78812"</f>
        <v>78812</v>
      </c>
      <c r="B4883" s="5" t="s">
        <v>5038</v>
      </c>
      <c r="C4883" s="17">
        <v>20230101</v>
      </c>
      <c r="D4883" s="17">
        <v>22991231</v>
      </c>
      <c r="E4883" s="25">
        <v>775.13</v>
      </c>
    </row>
    <row r="4884" spans="1:5" x14ac:dyDescent="0.3">
      <c r="A4884" s="17" t="str">
        <f>"78813"</f>
        <v>78813</v>
      </c>
      <c r="B4884" s="5" t="s">
        <v>5039</v>
      </c>
      <c r="C4884" s="17">
        <v>20230101</v>
      </c>
      <c r="D4884" s="17">
        <v>22991231</v>
      </c>
      <c r="E4884" s="25">
        <v>775.13</v>
      </c>
    </row>
    <row r="4885" spans="1:5" ht="26" x14ac:dyDescent="0.3">
      <c r="A4885" s="17" t="str">
        <f>"78814"</f>
        <v>78814</v>
      </c>
      <c r="B4885" s="5" t="s">
        <v>5040</v>
      </c>
      <c r="C4885" s="17">
        <v>20230101</v>
      </c>
      <c r="D4885" s="17">
        <v>22991231</v>
      </c>
      <c r="E4885" s="25">
        <v>775.13</v>
      </c>
    </row>
    <row r="4886" spans="1:5" ht="26" x14ac:dyDescent="0.3">
      <c r="A4886" s="17" t="str">
        <f>"78815"</f>
        <v>78815</v>
      </c>
      <c r="B4886" s="5" t="s">
        <v>5041</v>
      </c>
      <c r="C4886" s="17">
        <v>20230101</v>
      </c>
      <c r="D4886" s="17">
        <v>22991231</v>
      </c>
      <c r="E4886" s="25">
        <v>775.13</v>
      </c>
    </row>
    <row r="4887" spans="1:5" ht="26" x14ac:dyDescent="0.3">
      <c r="A4887" s="17" t="str">
        <f>"78816"</f>
        <v>78816</v>
      </c>
      <c r="B4887" s="5" t="s">
        <v>5042</v>
      </c>
      <c r="C4887" s="17">
        <v>20230101</v>
      </c>
      <c r="D4887" s="17">
        <v>22991231</v>
      </c>
      <c r="E4887" s="25">
        <v>775.13</v>
      </c>
    </row>
    <row r="4888" spans="1:5" ht="39" x14ac:dyDescent="0.3">
      <c r="A4888" s="17" t="str">
        <f>"78830"</f>
        <v>78830</v>
      </c>
      <c r="B4888" s="5" t="s">
        <v>5043</v>
      </c>
      <c r="C4888" s="17">
        <v>20200101</v>
      </c>
      <c r="D4888" s="17">
        <v>22991231</v>
      </c>
      <c r="E4888" s="25">
        <v>703.54</v>
      </c>
    </row>
    <row r="4889" spans="1:5" ht="52" x14ac:dyDescent="0.3">
      <c r="A4889" s="17" t="str">
        <f>"78831"</f>
        <v>78831</v>
      </c>
      <c r="B4889" s="5" t="s">
        <v>5044</v>
      </c>
      <c r="C4889" s="17">
        <v>20200101</v>
      </c>
      <c r="D4889" s="17">
        <v>22991231</v>
      </c>
      <c r="E4889" s="25">
        <v>703.54</v>
      </c>
    </row>
    <row r="4890" spans="1:5" ht="52" x14ac:dyDescent="0.3">
      <c r="A4890" s="17" t="str">
        <f>"78832"</f>
        <v>78832</v>
      </c>
      <c r="B4890" s="5" t="s">
        <v>5045</v>
      </c>
      <c r="C4890" s="17">
        <v>20200101</v>
      </c>
      <c r="D4890" s="17">
        <v>22991231</v>
      </c>
      <c r="E4890" s="25">
        <v>775.13</v>
      </c>
    </row>
    <row r="4891" spans="1:5" x14ac:dyDescent="0.3">
      <c r="A4891" s="17" t="str">
        <f>"78835"</f>
        <v>78835</v>
      </c>
      <c r="B4891" s="5" t="s">
        <v>5046</v>
      </c>
      <c r="C4891" s="17">
        <v>20200101</v>
      </c>
      <c r="D4891" s="17">
        <v>22991231</v>
      </c>
      <c r="E4891" s="24" t="s">
        <v>7128</v>
      </c>
    </row>
    <row r="4892" spans="1:5" x14ac:dyDescent="0.3">
      <c r="A4892" s="17" t="str">
        <f>"78999"</f>
        <v>78999</v>
      </c>
      <c r="B4892" s="5" t="s">
        <v>5047</v>
      </c>
      <c r="C4892" s="17">
        <v>20151001</v>
      </c>
      <c r="D4892" s="17">
        <v>22991231</v>
      </c>
      <c r="E4892" s="25">
        <v>204.35</v>
      </c>
    </row>
    <row r="4893" spans="1:5" x14ac:dyDescent="0.3">
      <c r="A4893" s="17" t="str">
        <f>"79005"</f>
        <v>79005</v>
      </c>
      <c r="B4893" s="5" t="s">
        <v>5048</v>
      </c>
      <c r="C4893" s="17">
        <v>20230101</v>
      </c>
      <c r="D4893" s="17">
        <v>22991231</v>
      </c>
      <c r="E4893" s="25">
        <v>66.31</v>
      </c>
    </row>
    <row r="4894" spans="1:5" x14ac:dyDescent="0.3">
      <c r="A4894" s="17" t="str">
        <f>"79101"</f>
        <v>79101</v>
      </c>
      <c r="B4894" s="5" t="s">
        <v>5049</v>
      </c>
      <c r="C4894" s="17">
        <v>20230101</v>
      </c>
      <c r="D4894" s="17">
        <v>22991231</v>
      </c>
      <c r="E4894" s="25">
        <v>72.25</v>
      </c>
    </row>
    <row r="4895" spans="1:5" x14ac:dyDescent="0.3">
      <c r="A4895" s="17" t="str">
        <f>"79200"</f>
        <v>79200</v>
      </c>
      <c r="B4895" s="5" t="s">
        <v>5050</v>
      </c>
      <c r="C4895" s="17">
        <v>19900101</v>
      </c>
      <c r="D4895" s="17">
        <v>22991231</v>
      </c>
      <c r="E4895" s="25">
        <v>58.17</v>
      </c>
    </row>
    <row r="4896" spans="1:5" x14ac:dyDescent="0.3">
      <c r="A4896" s="17" t="str">
        <f>"79300"</f>
        <v>79300</v>
      </c>
      <c r="B4896" s="5" t="s">
        <v>5051</v>
      </c>
      <c r="C4896" s="17">
        <v>19900101</v>
      </c>
      <c r="D4896" s="17">
        <v>22991231</v>
      </c>
      <c r="E4896" s="25">
        <v>123.26</v>
      </c>
    </row>
    <row r="4897" spans="1:5" ht="26" x14ac:dyDescent="0.3">
      <c r="A4897" s="17" t="str">
        <f>"79403"</f>
        <v>79403</v>
      </c>
      <c r="B4897" s="5" t="s">
        <v>5052</v>
      </c>
      <c r="C4897" s="17">
        <v>20230101</v>
      </c>
      <c r="D4897" s="17">
        <v>22991231</v>
      </c>
      <c r="E4897" s="25">
        <v>121.97</v>
      </c>
    </row>
    <row r="4898" spans="1:5" x14ac:dyDescent="0.3">
      <c r="A4898" s="17" t="str">
        <f>"79440"</f>
        <v>79440</v>
      </c>
      <c r="B4898" s="5" t="s">
        <v>5053</v>
      </c>
      <c r="C4898" s="17">
        <v>19900101</v>
      </c>
      <c r="D4898" s="17">
        <v>22991231</v>
      </c>
      <c r="E4898" s="25">
        <v>46.29</v>
      </c>
    </row>
    <row r="4899" spans="1:5" ht="26" x14ac:dyDescent="0.3">
      <c r="A4899" s="17" t="str">
        <f>"79445"</f>
        <v>79445</v>
      </c>
      <c r="B4899" s="5" t="s">
        <v>5054</v>
      </c>
      <c r="C4899" s="17">
        <v>20230101</v>
      </c>
      <c r="D4899" s="17">
        <v>22991231</v>
      </c>
      <c r="E4899" s="25">
        <v>123.26</v>
      </c>
    </row>
    <row r="4900" spans="1:5" x14ac:dyDescent="0.3">
      <c r="A4900" s="17" t="str">
        <f>"79999"</f>
        <v>79999</v>
      </c>
      <c r="B4900" s="5" t="s">
        <v>5055</v>
      </c>
      <c r="C4900" s="17">
        <v>20151001</v>
      </c>
      <c r="D4900" s="17">
        <v>22991231</v>
      </c>
      <c r="E4900" s="25">
        <v>123.26</v>
      </c>
    </row>
    <row r="4901" spans="1:5" x14ac:dyDescent="0.3">
      <c r="A4901" s="17" t="str">
        <f>"90284"</f>
        <v>90284</v>
      </c>
      <c r="B4901" s="5" t="s">
        <v>5056</v>
      </c>
      <c r="C4901" s="17">
        <v>20080101</v>
      </c>
      <c r="D4901" s="17">
        <v>22991231</v>
      </c>
      <c r="E4901" s="24" t="s">
        <v>7128</v>
      </c>
    </row>
    <row r="4902" spans="1:5" ht="26" x14ac:dyDescent="0.3">
      <c r="A4902" s="17" t="str">
        <f>"90371"</f>
        <v>90371</v>
      </c>
      <c r="B4902" s="5" t="s">
        <v>5057</v>
      </c>
      <c r="C4902" s="17">
        <v>20230101</v>
      </c>
      <c r="D4902" s="17">
        <v>22991231</v>
      </c>
      <c r="E4902" s="25">
        <v>131.71</v>
      </c>
    </row>
    <row r="4903" spans="1:5" x14ac:dyDescent="0.3">
      <c r="A4903" s="17" t="str">
        <f>"90375"</f>
        <v>90375</v>
      </c>
      <c r="B4903" s="5" t="s">
        <v>5058</v>
      </c>
      <c r="C4903" s="17">
        <v>20230101</v>
      </c>
      <c r="D4903" s="17">
        <v>22991231</v>
      </c>
      <c r="E4903" s="25">
        <v>276.97000000000003</v>
      </c>
    </row>
    <row r="4904" spans="1:5" ht="26" x14ac:dyDescent="0.3">
      <c r="A4904" s="17" t="str">
        <f>"90376"</f>
        <v>90376</v>
      </c>
      <c r="B4904" s="5" t="s">
        <v>5059</v>
      </c>
      <c r="C4904" s="17">
        <v>20230101</v>
      </c>
      <c r="D4904" s="17">
        <v>22991231</v>
      </c>
      <c r="E4904" s="25">
        <v>458.2</v>
      </c>
    </row>
    <row r="4905" spans="1:5" ht="26" x14ac:dyDescent="0.3">
      <c r="A4905" s="17" t="str">
        <f>"90377"</f>
        <v>90377</v>
      </c>
      <c r="B4905" s="5" t="s">
        <v>5060</v>
      </c>
      <c r="C4905" s="17">
        <v>20230101</v>
      </c>
      <c r="D4905" s="17">
        <v>22991231</v>
      </c>
      <c r="E4905" s="25">
        <v>244.81</v>
      </c>
    </row>
    <row r="4906" spans="1:5" ht="26" x14ac:dyDescent="0.3">
      <c r="A4906" s="17" t="str">
        <f>"90378"</f>
        <v>90378</v>
      </c>
      <c r="B4906" s="5" t="s">
        <v>5061</v>
      </c>
      <c r="C4906" s="17">
        <v>20230101</v>
      </c>
      <c r="D4906" s="17">
        <v>22991231</v>
      </c>
      <c r="E4906" s="25">
        <v>0</v>
      </c>
    </row>
    <row r="4907" spans="1:5" ht="26" x14ac:dyDescent="0.3">
      <c r="A4907" s="17" t="str">
        <f>"90384"</f>
        <v>90384</v>
      </c>
      <c r="B4907" s="5" t="s">
        <v>5062</v>
      </c>
      <c r="C4907" s="17">
        <v>19990101</v>
      </c>
      <c r="D4907" s="17">
        <v>22991231</v>
      </c>
      <c r="E4907" s="24" t="s">
        <v>7128</v>
      </c>
    </row>
    <row r="4908" spans="1:5" ht="26" x14ac:dyDescent="0.3">
      <c r="A4908" s="17" t="str">
        <f>"90385"</f>
        <v>90385</v>
      </c>
      <c r="B4908" s="5" t="s">
        <v>5063</v>
      </c>
      <c r="C4908" s="17">
        <v>19990101</v>
      </c>
      <c r="D4908" s="17">
        <v>22991231</v>
      </c>
      <c r="E4908" s="24" t="s">
        <v>7128</v>
      </c>
    </row>
    <row r="4909" spans="1:5" x14ac:dyDescent="0.3">
      <c r="A4909" s="17" t="str">
        <f>"90386"</f>
        <v>90386</v>
      </c>
      <c r="B4909" s="5" t="s">
        <v>5064</v>
      </c>
      <c r="C4909" s="17">
        <v>19990101</v>
      </c>
      <c r="D4909" s="17">
        <v>22991231</v>
      </c>
      <c r="E4909" s="24" t="s">
        <v>7128</v>
      </c>
    </row>
    <row r="4910" spans="1:5" ht="26" x14ac:dyDescent="0.3">
      <c r="A4910" s="17" t="str">
        <f>"90393"</f>
        <v>90393</v>
      </c>
      <c r="B4910" s="5" t="s">
        <v>5065</v>
      </c>
      <c r="C4910" s="17">
        <v>20230101</v>
      </c>
      <c r="D4910" s="17">
        <v>22991231</v>
      </c>
      <c r="E4910" s="24">
        <v>0</v>
      </c>
    </row>
    <row r="4911" spans="1:5" ht="26" x14ac:dyDescent="0.3">
      <c r="A4911" s="17" t="str">
        <f>"90396"</f>
        <v>90396</v>
      </c>
      <c r="B4911" s="5" t="s">
        <v>5066</v>
      </c>
      <c r="C4911" s="17">
        <v>20230101</v>
      </c>
      <c r="D4911" s="17">
        <v>22991231</v>
      </c>
      <c r="E4911" s="25">
        <v>2154.77</v>
      </c>
    </row>
    <row r="4912" spans="1:5" x14ac:dyDescent="0.3">
      <c r="A4912" s="17" t="str">
        <f>"90476"</f>
        <v>90476</v>
      </c>
      <c r="B4912" s="5" t="s">
        <v>5067</v>
      </c>
      <c r="C4912" s="17">
        <v>20230101</v>
      </c>
      <c r="D4912" s="17">
        <v>22991231</v>
      </c>
      <c r="E4912" s="25">
        <v>43.94</v>
      </c>
    </row>
    <row r="4913" spans="1:5" ht="52" x14ac:dyDescent="0.3">
      <c r="A4913" s="17" t="str">
        <f>"90480"</f>
        <v>90480</v>
      </c>
      <c r="B4913" s="5" t="s">
        <v>5068</v>
      </c>
      <c r="C4913" s="17">
        <v>20230911</v>
      </c>
      <c r="D4913" s="17">
        <v>22991231</v>
      </c>
      <c r="E4913" s="24" t="s">
        <v>7128</v>
      </c>
    </row>
    <row r="4914" spans="1:5" x14ac:dyDescent="0.3">
      <c r="A4914" s="17" t="str">
        <f>"90581"</f>
        <v>90581</v>
      </c>
      <c r="B4914" s="5" t="s">
        <v>5069</v>
      </c>
      <c r="C4914" s="17">
        <v>20230101</v>
      </c>
      <c r="D4914" s="17">
        <v>22991231</v>
      </c>
      <c r="E4914" s="25">
        <v>0</v>
      </c>
    </row>
    <row r="4915" spans="1:5" ht="52" x14ac:dyDescent="0.3">
      <c r="A4915" s="17" t="str">
        <f>"90611"</f>
        <v>90611</v>
      </c>
      <c r="B4915" s="5" t="s">
        <v>5070</v>
      </c>
      <c r="C4915" s="17">
        <v>20220726</v>
      </c>
      <c r="D4915" s="17">
        <v>22991231</v>
      </c>
      <c r="E4915" s="25">
        <v>0</v>
      </c>
    </row>
    <row r="4916" spans="1:5" ht="26" x14ac:dyDescent="0.3">
      <c r="A4916" s="17" t="str">
        <f>"90622"</f>
        <v>90622</v>
      </c>
      <c r="B4916" s="5" t="s">
        <v>5071</v>
      </c>
      <c r="C4916" s="17">
        <v>20220726</v>
      </c>
      <c r="D4916" s="17">
        <v>22991231</v>
      </c>
      <c r="E4916" s="25">
        <v>0</v>
      </c>
    </row>
    <row r="4917" spans="1:5" x14ac:dyDescent="0.3">
      <c r="A4917" s="17" t="str">
        <f>"90630"</f>
        <v>90630</v>
      </c>
      <c r="B4917" s="5" t="s">
        <v>5072</v>
      </c>
      <c r="C4917" s="17">
        <v>20230101</v>
      </c>
      <c r="D4917" s="17">
        <v>22991231</v>
      </c>
      <c r="E4917" s="25">
        <v>0</v>
      </c>
    </row>
    <row r="4918" spans="1:5" x14ac:dyDescent="0.3">
      <c r="A4918" s="17" t="str">
        <f>"90632"</f>
        <v>90632</v>
      </c>
      <c r="B4918" s="5" t="s">
        <v>5073</v>
      </c>
      <c r="C4918" s="17">
        <v>20230101</v>
      </c>
      <c r="D4918" s="17">
        <v>22991231</v>
      </c>
      <c r="E4918" s="25">
        <v>0</v>
      </c>
    </row>
    <row r="4919" spans="1:5" ht="26" x14ac:dyDescent="0.3">
      <c r="A4919" s="17" t="str">
        <f>"90633"</f>
        <v>90633</v>
      </c>
      <c r="B4919" s="5" t="s">
        <v>5074</v>
      </c>
      <c r="C4919" s="17">
        <v>20230101</v>
      </c>
      <c r="D4919" s="17">
        <v>22991231</v>
      </c>
      <c r="E4919" s="25">
        <v>0</v>
      </c>
    </row>
    <row r="4920" spans="1:5" ht="26" x14ac:dyDescent="0.3">
      <c r="A4920" s="17" t="str">
        <f>"90634"</f>
        <v>90634</v>
      </c>
      <c r="B4920" s="5" t="s">
        <v>5075</v>
      </c>
      <c r="C4920" s="17">
        <v>20230101</v>
      </c>
      <c r="D4920" s="17">
        <v>22991231</v>
      </c>
      <c r="E4920" s="25">
        <v>0</v>
      </c>
    </row>
    <row r="4921" spans="1:5" x14ac:dyDescent="0.3">
      <c r="A4921" s="17" t="str">
        <f>"90636"</f>
        <v>90636</v>
      </c>
      <c r="B4921" s="5" t="s">
        <v>5076</v>
      </c>
      <c r="C4921" s="17">
        <v>20230101</v>
      </c>
      <c r="D4921" s="17">
        <v>22991231</v>
      </c>
      <c r="E4921" s="25">
        <v>0</v>
      </c>
    </row>
    <row r="4922" spans="1:5" ht="26" x14ac:dyDescent="0.3">
      <c r="A4922" s="17" t="str">
        <f>"90647"</f>
        <v>90647</v>
      </c>
      <c r="B4922" s="5" t="s">
        <v>5077</v>
      </c>
      <c r="C4922" s="17">
        <v>19990101</v>
      </c>
      <c r="D4922" s="17">
        <v>22991231</v>
      </c>
      <c r="E4922" s="25">
        <v>0</v>
      </c>
    </row>
    <row r="4923" spans="1:5" ht="26" x14ac:dyDescent="0.3">
      <c r="A4923" s="17" t="str">
        <f>"90648"</f>
        <v>90648</v>
      </c>
      <c r="B4923" s="5" t="s">
        <v>5078</v>
      </c>
      <c r="C4923" s="17">
        <v>19990101</v>
      </c>
      <c r="D4923" s="17">
        <v>22991231</v>
      </c>
      <c r="E4923" s="25">
        <v>0</v>
      </c>
    </row>
    <row r="4924" spans="1:5" x14ac:dyDescent="0.3">
      <c r="A4924" s="17" t="str">
        <f>"90653"</f>
        <v>90653</v>
      </c>
      <c r="B4924" s="5" t="s">
        <v>5079</v>
      </c>
      <c r="C4924" s="17">
        <v>20230101</v>
      </c>
      <c r="D4924" s="17">
        <v>22991231</v>
      </c>
      <c r="E4924" s="25">
        <v>0</v>
      </c>
    </row>
    <row r="4925" spans="1:5" ht="26" x14ac:dyDescent="0.3">
      <c r="A4925" s="17" t="str">
        <f>"90654"</f>
        <v>90654</v>
      </c>
      <c r="B4925" s="5" t="s">
        <v>5080</v>
      </c>
      <c r="C4925" s="17">
        <v>20230101</v>
      </c>
      <c r="D4925" s="17">
        <v>22991231</v>
      </c>
      <c r="E4925" s="25">
        <v>0</v>
      </c>
    </row>
    <row r="4926" spans="1:5" ht="26" x14ac:dyDescent="0.3">
      <c r="A4926" s="17" t="str">
        <f>"90655"</f>
        <v>90655</v>
      </c>
      <c r="B4926" s="5" t="s">
        <v>5081</v>
      </c>
      <c r="C4926" s="17">
        <v>20230101</v>
      </c>
      <c r="D4926" s="17">
        <v>22991231</v>
      </c>
      <c r="E4926" s="25">
        <v>0</v>
      </c>
    </row>
    <row r="4927" spans="1:5" ht="26" x14ac:dyDescent="0.3">
      <c r="A4927" s="17" t="str">
        <f>"90656"</f>
        <v>90656</v>
      </c>
      <c r="B4927" s="5" t="s">
        <v>5082</v>
      </c>
      <c r="C4927" s="17">
        <v>20230101</v>
      </c>
      <c r="D4927" s="17">
        <v>22991231</v>
      </c>
      <c r="E4927" s="25">
        <v>0</v>
      </c>
    </row>
    <row r="4928" spans="1:5" x14ac:dyDescent="0.3">
      <c r="A4928" s="17" t="str">
        <f>"90657"</f>
        <v>90657</v>
      </c>
      <c r="B4928" s="5" t="s">
        <v>5083</v>
      </c>
      <c r="C4928" s="17">
        <v>19990101</v>
      </c>
      <c r="D4928" s="17">
        <v>22991231</v>
      </c>
      <c r="E4928" s="25">
        <v>0</v>
      </c>
    </row>
    <row r="4929" spans="1:5" x14ac:dyDescent="0.3">
      <c r="A4929" s="17" t="str">
        <f>"90658"</f>
        <v>90658</v>
      </c>
      <c r="B4929" s="5" t="s">
        <v>5084</v>
      </c>
      <c r="C4929" s="17">
        <v>19990101</v>
      </c>
      <c r="D4929" s="17">
        <v>22991231</v>
      </c>
      <c r="E4929" s="24" t="s">
        <v>7128</v>
      </c>
    </row>
    <row r="4930" spans="1:5" ht="26" x14ac:dyDescent="0.3">
      <c r="A4930" s="17" t="str">
        <f>"90660"</f>
        <v>90660</v>
      </c>
      <c r="B4930" s="5" t="s">
        <v>5085</v>
      </c>
      <c r="C4930" s="17">
        <v>19990101</v>
      </c>
      <c r="D4930" s="17">
        <v>22991231</v>
      </c>
      <c r="E4930" s="25">
        <v>0</v>
      </c>
    </row>
    <row r="4931" spans="1:5" ht="26" x14ac:dyDescent="0.3">
      <c r="A4931" s="17" t="str">
        <f>"90661"</f>
        <v>90661</v>
      </c>
      <c r="B4931" s="5" t="s">
        <v>5086</v>
      </c>
      <c r="C4931" s="17">
        <v>20230101</v>
      </c>
      <c r="D4931" s="17">
        <v>22991231</v>
      </c>
      <c r="E4931" s="25">
        <v>0</v>
      </c>
    </row>
    <row r="4932" spans="1:5" x14ac:dyDescent="0.3">
      <c r="A4932" s="17" t="str">
        <f>"90662"</f>
        <v>90662</v>
      </c>
      <c r="B4932" s="5" t="s">
        <v>5087</v>
      </c>
      <c r="C4932" s="17">
        <v>20230101</v>
      </c>
      <c r="D4932" s="17">
        <v>22991231</v>
      </c>
      <c r="E4932" s="25">
        <v>0</v>
      </c>
    </row>
    <row r="4933" spans="1:5" x14ac:dyDescent="0.3">
      <c r="A4933" s="17" t="str">
        <f>"90670"</f>
        <v>90670</v>
      </c>
      <c r="B4933" s="5" t="s">
        <v>5088</v>
      </c>
      <c r="C4933" s="17">
        <v>20230101</v>
      </c>
      <c r="D4933" s="17">
        <v>22991231</v>
      </c>
      <c r="E4933" s="25">
        <v>0</v>
      </c>
    </row>
    <row r="4934" spans="1:5" ht="26" x14ac:dyDescent="0.3">
      <c r="A4934" s="17" t="str">
        <f>"90672"</f>
        <v>90672</v>
      </c>
      <c r="B4934" s="5" t="s">
        <v>5089</v>
      </c>
      <c r="C4934" s="17">
        <v>20230101</v>
      </c>
      <c r="D4934" s="17">
        <v>22991231</v>
      </c>
      <c r="E4934" s="25">
        <v>0</v>
      </c>
    </row>
    <row r="4935" spans="1:5" ht="26" x14ac:dyDescent="0.3">
      <c r="A4935" s="17" t="str">
        <f>"90673"</f>
        <v>90673</v>
      </c>
      <c r="B4935" s="5" t="s">
        <v>5090</v>
      </c>
      <c r="C4935" s="17">
        <v>20230101</v>
      </c>
      <c r="D4935" s="17">
        <v>22991231</v>
      </c>
      <c r="E4935" s="25">
        <v>0</v>
      </c>
    </row>
    <row r="4936" spans="1:5" ht="26" x14ac:dyDescent="0.3">
      <c r="A4936" s="17" t="str">
        <f>"90674"</f>
        <v>90674</v>
      </c>
      <c r="B4936" s="5" t="s">
        <v>5091</v>
      </c>
      <c r="C4936" s="17">
        <v>20170101</v>
      </c>
      <c r="D4936" s="17">
        <v>22991231</v>
      </c>
      <c r="E4936" s="25">
        <v>0</v>
      </c>
    </row>
    <row r="4937" spans="1:5" x14ac:dyDescent="0.3">
      <c r="A4937" s="17" t="str">
        <f>"90675"</f>
        <v>90675</v>
      </c>
      <c r="B4937" s="5" t="s">
        <v>5092</v>
      </c>
      <c r="C4937" s="17">
        <v>20230101</v>
      </c>
      <c r="D4937" s="17">
        <v>22991231</v>
      </c>
      <c r="E4937" s="25">
        <v>310.18</v>
      </c>
    </row>
    <row r="4938" spans="1:5" x14ac:dyDescent="0.3">
      <c r="A4938" s="17" t="str">
        <f>"90676"</f>
        <v>90676</v>
      </c>
      <c r="B4938" s="5" t="s">
        <v>5093</v>
      </c>
      <c r="C4938" s="17">
        <v>20230101</v>
      </c>
      <c r="D4938" s="17">
        <v>22991231</v>
      </c>
      <c r="E4938" s="25">
        <v>266.63</v>
      </c>
    </row>
    <row r="4939" spans="1:5" x14ac:dyDescent="0.3">
      <c r="A4939" s="17" t="str">
        <f>"90680"</f>
        <v>90680</v>
      </c>
      <c r="B4939" s="5" t="s">
        <v>5094</v>
      </c>
      <c r="C4939" s="17">
        <v>20230101</v>
      </c>
      <c r="D4939" s="17">
        <v>22991231</v>
      </c>
      <c r="E4939" s="25">
        <v>0</v>
      </c>
    </row>
    <row r="4940" spans="1:5" ht="26" x14ac:dyDescent="0.3">
      <c r="A4940" s="17" t="str">
        <f>"90682"</f>
        <v>90682</v>
      </c>
      <c r="B4940" s="5" t="s">
        <v>5095</v>
      </c>
      <c r="C4940" s="17">
        <v>20230101</v>
      </c>
      <c r="D4940" s="17">
        <v>22991231</v>
      </c>
      <c r="E4940" s="25">
        <v>0</v>
      </c>
    </row>
    <row r="4941" spans="1:5" ht="26" x14ac:dyDescent="0.3">
      <c r="A4941" s="17" t="str">
        <f>"90685"</f>
        <v>90685</v>
      </c>
      <c r="B4941" s="5" t="s">
        <v>5096</v>
      </c>
      <c r="C4941" s="17">
        <v>20230101</v>
      </c>
      <c r="D4941" s="17">
        <v>22991231</v>
      </c>
      <c r="E4941" s="25">
        <v>0</v>
      </c>
    </row>
    <row r="4942" spans="1:5" ht="26" x14ac:dyDescent="0.3">
      <c r="A4942" s="17" t="str">
        <f>"90686"</f>
        <v>90686</v>
      </c>
      <c r="B4942" s="5" t="s">
        <v>5097</v>
      </c>
      <c r="C4942" s="17">
        <v>20230101</v>
      </c>
      <c r="D4942" s="17">
        <v>22991231</v>
      </c>
      <c r="E4942" s="25">
        <v>0</v>
      </c>
    </row>
    <row r="4943" spans="1:5" x14ac:dyDescent="0.3">
      <c r="A4943" s="17" t="str">
        <f>"90687"</f>
        <v>90687</v>
      </c>
      <c r="B4943" s="5" t="s">
        <v>5098</v>
      </c>
      <c r="C4943" s="17">
        <v>20230101</v>
      </c>
      <c r="D4943" s="17">
        <v>22991231</v>
      </c>
      <c r="E4943" s="25">
        <v>0</v>
      </c>
    </row>
    <row r="4944" spans="1:5" x14ac:dyDescent="0.3">
      <c r="A4944" s="17" t="str">
        <f>"90688"</f>
        <v>90688</v>
      </c>
      <c r="B4944" s="5" t="s">
        <v>5099</v>
      </c>
      <c r="C4944" s="17">
        <v>20230101</v>
      </c>
      <c r="D4944" s="17">
        <v>22991231</v>
      </c>
      <c r="E4944" s="25">
        <v>0</v>
      </c>
    </row>
    <row r="4945" spans="1:5" ht="26" x14ac:dyDescent="0.3">
      <c r="A4945" s="17" t="str">
        <f>"90689"</f>
        <v>90689</v>
      </c>
      <c r="B4945" s="5" t="s">
        <v>5100</v>
      </c>
      <c r="C4945" s="17">
        <v>20230101</v>
      </c>
      <c r="D4945" s="17">
        <v>22991231</v>
      </c>
      <c r="E4945" s="25">
        <v>0</v>
      </c>
    </row>
    <row r="4946" spans="1:5" x14ac:dyDescent="0.3">
      <c r="A4946" s="17" t="str">
        <f>"90690"</f>
        <v>90690</v>
      </c>
      <c r="B4946" s="5" t="s">
        <v>5101</v>
      </c>
      <c r="C4946" s="17">
        <v>20230101</v>
      </c>
      <c r="D4946" s="17">
        <v>22991231</v>
      </c>
      <c r="E4946" s="25">
        <v>0</v>
      </c>
    </row>
    <row r="4947" spans="1:5" x14ac:dyDescent="0.3">
      <c r="A4947" s="17" t="str">
        <f>"90691"</f>
        <v>90691</v>
      </c>
      <c r="B4947" s="5" t="s">
        <v>5102</v>
      </c>
      <c r="C4947" s="17">
        <v>20230101</v>
      </c>
      <c r="D4947" s="17">
        <v>22991231</v>
      </c>
      <c r="E4947" s="25">
        <v>0</v>
      </c>
    </row>
    <row r="4948" spans="1:5" ht="26" x14ac:dyDescent="0.3">
      <c r="A4948" s="17" t="str">
        <f>"90694"</f>
        <v>90694</v>
      </c>
      <c r="B4948" s="5" t="s">
        <v>5103</v>
      </c>
      <c r="C4948" s="17">
        <v>20230101</v>
      </c>
      <c r="D4948" s="17">
        <v>22991231</v>
      </c>
      <c r="E4948" s="25">
        <v>0</v>
      </c>
    </row>
    <row r="4949" spans="1:5" ht="26" x14ac:dyDescent="0.3">
      <c r="A4949" s="17" t="str">
        <f>"90696"</f>
        <v>90696</v>
      </c>
      <c r="B4949" s="5" t="s">
        <v>5104</v>
      </c>
      <c r="C4949" s="17">
        <v>20230101</v>
      </c>
      <c r="D4949" s="17">
        <v>22991231</v>
      </c>
      <c r="E4949" s="25">
        <v>0</v>
      </c>
    </row>
    <row r="4950" spans="1:5" ht="26" x14ac:dyDescent="0.3">
      <c r="A4950" s="17" t="str">
        <f>"90698"</f>
        <v>90698</v>
      </c>
      <c r="B4950" s="5" t="s">
        <v>5105</v>
      </c>
      <c r="C4950" s="17">
        <v>20230101</v>
      </c>
      <c r="D4950" s="17">
        <v>22991231</v>
      </c>
      <c r="E4950" s="25">
        <v>0</v>
      </c>
    </row>
    <row r="4951" spans="1:5" ht="26" x14ac:dyDescent="0.3">
      <c r="A4951" s="17" t="str">
        <f>"90715"</f>
        <v>90715</v>
      </c>
      <c r="B4951" s="5" t="s">
        <v>5106</v>
      </c>
      <c r="C4951" s="17">
        <v>20050101</v>
      </c>
      <c r="D4951" s="17">
        <v>22991231</v>
      </c>
      <c r="E4951" s="24" t="s">
        <v>7128</v>
      </c>
    </row>
    <row r="4952" spans="1:5" x14ac:dyDescent="0.3">
      <c r="A4952" s="17" t="str">
        <f>"90717"</f>
        <v>90717</v>
      </c>
      <c r="B4952" s="5" t="s">
        <v>5107</v>
      </c>
      <c r="C4952" s="17">
        <v>20230101</v>
      </c>
      <c r="D4952" s="17">
        <v>22991231</v>
      </c>
      <c r="E4952" s="25">
        <v>0</v>
      </c>
    </row>
    <row r="4953" spans="1:5" x14ac:dyDescent="0.3">
      <c r="A4953" s="17" t="str">
        <f>"90732"</f>
        <v>90732</v>
      </c>
      <c r="B4953" s="5" t="s">
        <v>5108</v>
      </c>
      <c r="C4953" s="17">
        <v>20230101</v>
      </c>
      <c r="D4953" s="17">
        <v>22991231</v>
      </c>
      <c r="E4953" s="25">
        <v>0</v>
      </c>
    </row>
    <row r="4954" spans="1:5" ht="39" x14ac:dyDescent="0.3">
      <c r="A4954" s="17" t="str">
        <f>"90739"</f>
        <v>90739</v>
      </c>
      <c r="B4954" s="5" t="s">
        <v>5109</v>
      </c>
      <c r="C4954" s="17">
        <v>20230101</v>
      </c>
      <c r="D4954" s="17">
        <v>22991231</v>
      </c>
      <c r="E4954" s="25">
        <v>0</v>
      </c>
    </row>
    <row r="4955" spans="1:5" ht="26" x14ac:dyDescent="0.3">
      <c r="A4955" s="17" t="str">
        <f>"90740"</f>
        <v>90740</v>
      </c>
      <c r="B4955" s="5" t="s">
        <v>5110</v>
      </c>
      <c r="C4955" s="17">
        <v>20230101</v>
      </c>
      <c r="D4955" s="17">
        <v>22991231</v>
      </c>
      <c r="E4955" s="25">
        <v>0</v>
      </c>
    </row>
    <row r="4956" spans="1:5" x14ac:dyDescent="0.3">
      <c r="A4956" s="17" t="str">
        <f>"90743"</f>
        <v>90743</v>
      </c>
      <c r="B4956" s="5" t="s">
        <v>5111</v>
      </c>
      <c r="C4956" s="17">
        <v>20230101</v>
      </c>
      <c r="D4956" s="17">
        <v>22991231</v>
      </c>
      <c r="E4956" s="25">
        <v>0</v>
      </c>
    </row>
    <row r="4957" spans="1:5" ht="26" x14ac:dyDescent="0.3">
      <c r="A4957" s="17" t="str">
        <f>"90744"</f>
        <v>90744</v>
      </c>
      <c r="B4957" s="5" t="s">
        <v>5112</v>
      </c>
      <c r="C4957" s="17">
        <v>20230101</v>
      </c>
      <c r="D4957" s="17">
        <v>22991231</v>
      </c>
      <c r="E4957" s="25">
        <v>0</v>
      </c>
    </row>
    <row r="4958" spans="1:5" ht="26" x14ac:dyDescent="0.3">
      <c r="A4958" s="17" t="str">
        <f>"90746"</f>
        <v>90746</v>
      </c>
      <c r="B4958" s="5" t="s">
        <v>5113</v>
      </c>
      <c r="C4958" s="17">
        <v>20230101</v>
      </c>
      <c r="D4958" s="17">
        <v>22991231</v>
      </c>
      <c r="E4958" s="25">
        <v>0</v>
      </c>
    </row>
    <row r="4959" spans="1:5" ht="39" x14ac:dyDescent="0.3">
      <c r="A4959" s="17" t="str">
        <f>"90747"</f>
        <v>90747</v>
      </c>
      <c r="B4959" s="5" t="s">
        <v>5114</v>
      </c>
      <c r="C4959" s="17">
        <v>20230101</v>
      </c>
      <c r="D4959" s="17">
        <v>22991231</v>
      </c>
      <c r="E4959" s="25">
        <v>0</v>
      </c>
    </row>
    <row r="4960" spans="1:5" ht="26" x14ac:dyDescent="0.3">
      <c r="A4960" s="17" t="str">
        <f>"90749"</f>
        <v>90749</v>
      </c>
      <c r="B4960" s="5" t="s">
        <v>5115</v>
      </c>
      <c r="C4960" s="17">
        <v>20230101</v>
      </c>
      <c r="D4960" s="17">
        <v>22991231</v>
      </c>
      <c r="E4960" s="25">
        <v>0</v>
      </c>
    </row>
    <row r="4961" spans="1:5" ht="26" x14ac:dyDescent="0.3">
      <c r="A4961" s="17" t="str">
        <f>"90756"</f>
        <v>90756</v>
      </c>
      <c r="B4961" s="5" t="s">
        <v>5116</v>
      </c>
      <c r="C4961" s="17">
        <v>20230101</v>
      </c>
      <c r="D4961" s="17">
        <v>22991231</v>
      </c>
      <c r="E4961" s="25">
        <v>0</v>
      </c>
    </row>
    <row r="4962" spans="1:5" ht="26" x14ac:dyDescent="0.3">
      <c r="A4962" s="17" t="str">
        <f>"90759"</f>
        <v>90759</v>
      </c>
      <c r="B4962" s="5" t="s">
        <v>5117</v>
      </c>
      <c r="C4962" s="17">
        <v>20230101</v>
      </c>
      <c r="D4962" s="17">
        <v>22991231</v>
      </c>
      <c r="E4962" s="25">
        <v>0</v>
      </c>
    </row>
    <row r="4963" spans="1:5" x14ac:dyDescent="0.3">
      <c r="A4963" s="17" t="str">
        <f>"90870"</f>
        <v>90870</v>
      </c>
      <c r="B4963" s="5" t="s">
        <v>5118</v>
      </c>
      <c r="C4963" s="17">
        <v>19900101</v>
      </c>
      <c r="D4963" s="17">
        <v>22991231</v>
      </c>
      <c r="E4963" s="24" t="s">
        <v>7128</v>
      </c>
    </row>
    <row r="4964" spans="1:5" ht="39" x14ac:dyDescent="0.3">
      <c r="A4964" s="17" t="str">
        <f>"90875"</f>
        <v>90875</v>
      </c>
      <c r="B4964" s="5" t="s">
        <v>5119</v>
      </c>
      <c r="C4964" s="17">
        <v>19970101</v>
      </c>
      <c r="D4964" s="17">
        <v>22991231</v>
      </c>
      <c r="E4964" s="24" t="s">
        <v>7128</v>
      </c>
    </row>
    <row r="4965" spans="1:5" ht="39" x14ac:dyDescent="0.3">
      <c r="A4965" s="17" t="str">
        <f>"90876"</f>
        <v>90876</v>
      </c>
      <c r="B4965" s="5" t="s">
        <v>5120</v>
      </c>
      <c r="C4965" s="17">
        <v>19970101</v>
      </c>
      <c r="D4965" s="17">
        <v>22991231</v>
      </c>
      <c r="E4965" s="24" t="s">
        <v>7128</v>
      </c>
    </row>
    <row r="4966" spans="1:5" x14ac:dyDescent="0.3">
      <c r="A4966" s="17" t="str">
        <f>"90999"</f>
        <v>90999</v>
      </c>
      <c r="B4966" s="5" t="s">
        <v>5121</v>
      </c>
      <c r="C4966" s="17">
        <v>19900101</v>
      </c>
      <c r="D4966" s="17">
        <v>22991231</v>
      </c>
      <c r="E4966" s="24" t="s">
        <v>7128</v>
      </c>
    </row>
    <row r="4967" spans="1:5" x14ac:dyDescent="0.3">
      <c r="A4967" s="17" t="str">
        <f>"91010"</f>
        <v>91010</v>
      </c>
      <c r="B4967" s="5" t="s">
        <v>5122</v>
      </c>
      <c r="C4967" s="17">
        <v>19900101</v>
      </c>
      <c r="D4967" s="17">
        <v>22991231</v>
      </c>
      <c r="E4967" s="24" t="s">
        <v>7128</v>
      </c>
    </row>
    <row r="4968" spans="1:5" x14ac:dyDescent="0.3">
      <c r="A4968" s="17" t="str">
        <f>"91020"</f>
        <v>91020</v>
      </c>
      <c r="B4968" s="5" t="s">
        <v>5123</v>
      </c>
      <c r="C4968" s="17">
        <v>19900101</v>
      </c>
      <c r="D4968" s="17">
        <v>22991231</v>
      </c>
      <c r="E4968" s="24" t="s">
        <v>7128</v>
      </c>
    </row>
    <row r="4969" spans="1:5" x14ac:dyDescent="0.3">
      <c r="A4969" s="17" t="str">
        <f>"91022"</f>
        <v>91022</v>
      </c>
      <c r="B4969" s="5" t="s">
        <v>5124</v>
      </c>
      <c r="C4969" s="17">
        <v>20060101</v>
      </c>
      <c r="D4969" s="17">
        <v>22991231</v>
      </c>
      <c r="E4969" s="24" t="s">
        <v>7128</v>
      </c>
    </row>
    <row r="4970" spans="1:5" x14ac:dyDescent="0.3">
      <c r="A4970" s="17" t="str">
        <f>"91030"</f>
        <v>91030</v>
      </c>
      <c r="B4970" s="5" t="s">
        <v>5125</v>
      </c>
      <c r="C4970" s="17">
        <v>19900101</v>
      </c>
      <c r="D4970" s="17">
        <v>22991231</v>
      </c>
      <c r="E4970" s="24" t="s">
        <v>7128</v>
      </c>
    </row>
    <row r="4971" spans="1:5" ht="26" x14ac:dyDescent="0.3">
      <c r="A4971" s="17" t="str">
        <f>"91035"</f>
        <v>91035</v>
      </c>
      <c r="B4971" s="5" t="s">
        <v>5126</v>
      </c>
      <c r="C4971" s="17">
        <v>20230101</v>
      </c>
      <c r="D4971" s="17">
        <v>22991231</v>
      </c>
      <c r="E4971" s="25">
        <v>265.56</v>
      </c>
    </row>
    <row r="4972" spans="1:5" ht="26" x14ac:dyDescent="0.3">
      <c r="A4972" s="17" t="str">
        <f>"91065"</f>
        <v>91065</v>
      </c>
      <c r="B4972" s="5" t="s">
        <v>5127</v>
      </c>
      <c r="C4972" s="17">
        <v>19900101</v>
      </c>
      <c r="D4972" s="17">
        <v>22991231</v>
      </c>
      <c r="E4972" s="24" t="s">
        <v>7128</v>
      </c>
    </row>
    <row r="4973" spans="1:5" x14ac:dyDescent="0.3">
      <c r="A4973" s="17" t="str">
        <f>"91122"</f>
        <v>91122</v>
      </c>
      <c r="B4973" s="5" t="s">
        <v>5128</v>
      </c>
      <c r="C4973" s="17">
        <v>19900101</v>
      </c>
      <c r="D4973" s="17">
        <v>22991231</v>
      </c>
      <c r="E4973" s="24" t="s">
        <v>7128</v>
      </c>
    </row>
    <row r="4974" spans="1:5" x14ac:dyDescent="0.3">
      <c r="A4974" s="17" t="str">
        <f>"91299"</f>
        <v>91299</v>
      </c>
      <c r="B4974" s="5" t="s">
        <v>5129</v>
      </c>
      <c r="C4974" s="17">
        <v>20151001</v>
      </c>
      <c r="D4974" s="17">
        <v>22991231</v>
      </c>
      <c r="E4974" s="24" t="s">
        <v>7128</v>
      </c>
    </row>
    <row r="4975" spans="1:5" x14ac:dyDescent="0.3">
      <c r="A4975" s="17" t="str">
        <f>"91299"</f>
        <v>91299</v>
      </c>
      <c r="B4975" s="5" t="s">
        <v>5129</v>
      </c>
      <c r="C4975" s="17">
        <v>20151001</v>
      </c>
      <c r="D4975" s="17">
        <v>22991231</v>
      </c>
      <c r="E4975" s="24" t="s">
        <v>7128</v>
      </c>
    </row>
    <row r="4976" spans="1:5" x14ac:dyDescent="0.3">
      <c r="A4976" s="17" t="str">
        <f>"91299"</f>
        <v>91299</v>
      </c>
      <c r="B4976" s="5" t="s">
        <v>5129</v>
      </c>
      <c r="C4976" s="17">
        <v>20060915</v>
      </c>
      <c r="D4976" s="17">
        <v>22991231</v>
      </c>
      <c r="E4976" s="24" t="s">
        <v>7128</v>
      </c>
    </row>
    <row r="4977" spans="1:5" ht="65" x14ac:dyDescent="0.3">
      <c r="A4977" s="17" t="str">
        <f>"91304"</f>
        <v>91304</v>
      </c>
      <c r="B4977" s="5" t="s">
        <v>5130</v>
      </c>
      <c r="C4977" s="17">
        <v>20220713</v>
      </c>
      <c r="D4977" s="17">
        <v>22991231</v>
      </c>
      <c r="E4977" s="25">
        <v>0</v>
      </c>
    </row>
    <row r="4978" spans="1:5" ht="65" x14ac:dyDescent="0.3">
      <c r="A4978" s="17" t="str">
        <f>"91318"</f>
        <v>91318</v>
      </c>
      <c r="B4978" s="5" t="s">
        <v>5131</v>
      </c>
      <c r="C4978" s="17">
        <v>20230911</v>
      </c>
      <c r="D4978" s="17">
        <v>22991231</v>
      </c>
      <c r="E4978" s="25">
        <v>65.36</v>
      </c>
    </row>
    <row r="4979" spans="1:5" ht="65" x14ac:dyDescent="0.3">
      <c r="A4979" s="17" t="str">
        <f>"91319"</f>
        <v>91319</v>
      </c>
      <c r="B4979" s="5" t="s">
        <v>5132</v>
      </c>
      <c r="C4979" s="17">
        <v>20230911</v>
      </c>
      <c r="D4979" s="17">
        <v>22991231</v>
      </c>
      <c r="E4979" s="25">
        <v>87.78</v>
      </c>
    </row>
    <row r="4980" spans="1:5" ht="65" x14ac:dyDescent="0.3">
      <c r="A4980" s="17" t="str">
        <f>"91320"</f>
        <v>91320</v>
      </c>
      <c r="B4980" s="5" t="s">
        <v>5133</v>
      </c>
      <c r="C4980" s="17">
        <v>20230911</v>
      </c>
      <c r="D4980" s="17">
        <v>22991231</v>
      </c>
      <c r="E4980" s="25">
        <v>131.1</v>
      </c>
    </row>
    <row r="4981" spans="1:5" ht="52" x14ac:dyDescent="0.3">
      <c r="A4981" s="17" t="str">
        <f>"91321"</f>
        <v>91321</v>
      </c>
      <c r="B4981" s="5" t="s">
        <v>5134</v>
      </c>
      <c r="C4981" s="17">
        <v>20230911</v>
      </c>
      <c r="D4981" s="17">
        <v>22991231</v>
      </c>
      <c r="E4981" s="25">
        <v>145.91999999999999</v>
      </c>
    </row>
    <row r="4982" spans="1:5" ht="52" x14ac:dyDescent="0.3">
      <c r="A4982" s="17" t="str">
        <f>"91322"</f>
        <v>91322</v>
      </c>
      <c r="B4982" s="5" t="s">
        <v>5135</v>
      </c>
      <c r="C4982" s="17">
        <v>20230911</v>
      </c>
      <c r="D4982" s="17">
        <v>22991231</v>
      </c>
      <c r="E4982" s="25">
        <v>145.91999999999999</v>
      </c>
    </row>
    <row r="4983" spans="1:5" ht="26" x14ac:dyDescent="0.3">
      <c r="A4983" s="17" t="str">
        <f>"92018"</f>
        <v>92018</v>
      </c>
      <c r="B4983" s="5" t="s">
        <v>5136</v>
      </c>
      <c r="C4983" s="17">
        <v>19900101</v>
      </c>
      <c r="D4983" s="17">
        <v>22991231</v>
      </c>
      <c r="E4983" s="24" t="s">
        <v>7128</v>
      </c>
    </row>
    <row r="4984" spans="1:5" ht="26" x14ac:dyDescent="0.3">
      <c r="A4984" s="17" t="str">
        <f>"92019"</f>
        <v>92019</v>
      </c>
      <c r="B4984" s="5" t="s">
        <v>5137</v>
      </c>
      <c r="C4984" s="17">
        <v>20080101</v>
      </c>
      <c r="D4984" s="17">
        <v>22991231</v>
      </c>
      <c r="E4984" s="24" t="s">
        <v>7128</v>
      </c>
    </row>
    <row r="4985" spans="1:5" ht="26" x14ac:dyDescent="0.3">
      <c r="A4985" s="17" t="str">
        <f>"92235"</f>
        <v>92235</v>
      </c>
      <c r="B4985" s="5" t="s">
        <v>5138</v>
      </c>
      <c r="C4985" s="17">
        <v>19900101</v>
      </c>
      <c r="D4985" s="17">
        <v>22991231</v>
      </c>
      <c r="E4985" s="24" t="s">
        <v>7128</v>
      </c>
    </row>
    <row r="4986" spans="1:5" ht="39" x14ac:dyDescent="0.3">
      <c r="A4986" s="17" t="str">
        <f>"92240"</f>
        <v>92240</v>
      </c>
      <c r="B4986" s="5" t="s">
        <v>5139</v>
      </c>
      <c r="C4986" s="17">
        <v>19970101</v>
      </c>
      <c r="D4986" s="17">
        <v>22991231</v>
      </c>
      <c r="E4986" s="24" t="s">
        <v>7128</v>
      </c>
    </row>
    <row r="4987" spans="1:5" ht="39" x14ac:dyDescent="0.3">
      <c r="A4987" s="17" t="str">
        <f>"92242"</f>
        <v>92242</v>
      </c>
      <c r="B4987" s="5" t="s">
        <v>5140</v>
      </c>
      <c r="C4987" s="17">
        <v>20170101</v>
      </c>
      <c r="D4987" s="17">
        <v>22991231</v>
      </c>
      <c r="E4987" s="24" t="s">
        <v>7128</v>
      </c>
    </row>
    <row r="4988" spans="1:5" ht="26" x14ac:dyDescent="0.3">
      <c r="A4988" s="17" t="str">
        <f>"92502"</f>
        <v>92502</v>
      </c>
      <c r="B4988" s="5" t="s">
        <v>5141</v>
      </c>
      <c r="C4988" s="17">
        <v>19900101</v>
      </c>
      <c r="D4988" s="17">
        <v>22991231</v>
      </c>
      <c r="E4988" s="24" t="s">
        <v>7128</v>
      </c>
    </row>
    <row r="4989" spans="1:5" x14ac:dyDescent="0.3">
      <c r="A4989" s="17" t="str">
        <f>"92504"</f>
        <v>92504</v>
      </c>
      <c r="B4989" s="5" t="s">
        <v>5142</v>
      </c>
      <c r="C4989" s="17">
        <v>19900101</v>
      </c>
      <c r="D4989" s="17">
        <v>22991231</v>
      </c>
      <c r="E4989" s="24" t="s">
        <v>7128</v>
      </c>
    </row>
    <row r="4990" spans="1:5" x14ac:dyDescent="0.3">
      <c r="A4990" s="17" t="str">
        <f>"92511"</f>
        <v>92511</v>
      </c>
      <c r="B4990" s="5" t="s">
        <v>5143</v>
      </c>
      <c r="C4990" s="17">
        <v>19900101</v>
      </c>
      <c r="D4990" s="17">
        <v>22991231</v>
      </c>
      <c r="E4990" s="24" t="s">
        <v>7128</v>
      </c>
    </row>
    <row r="4991" spans="1:5" ht="26" x14ac:dyDescent="0.3">
      <c r="A4991" s="17" t="str">
        <f>"92540"</f>
        <v>92540</v>
      </c>
      <c r="B4991" s="5" t="s">
        <v>5144</v>
      </c>
      <c r="C4991" s="17">
        <v>20100101</v>
      </c>
      <c r="D4991" s="17">
        <v>22991231</v>
      </c>
      <c r="E4991" s="24" t="s">
        <v>7128</v>
      </c>
    </row>
    <row r="4992" spans="1:5" x14ac:dyDescent="0.3">
      <c r="A4992" s="17" t="str">
        <f>"92548"</f>
        <v>92548</v>
      </c>
      <c r="B4992" s="5" t="s">
        <v>5145</v>
      </c>
      <c r="C4992" s="17">
        <v>19970101</v>
      </c>
      <c r="D4992" s="17">
        <v>22991231</v>
      </c>
      <c r="E4992" s="24" t="s">
        <v>7128</v>
      </c>
    </row>
    <row r="4993" spans="1:5" x14ac:dyDescent="0.3">
      <c r="A4993" s="17" t="str">
        <f>"92550"</f>
        <v>92550</v>
      </c>
      <c r="B4993" s="5" t="s">
        <v>5146</v>
      </c>
      <c r="C4993" s="17">
        <v>20100101</v>
      </c>
      <c r="D4993" s="17">
        <v>22991231</v>
      </c>
      <c r="E4993" s="24" t="s">
        <v>7128</v>
      </c>
    </row>
    <row r="4994" spans="1:5" x14ac:dyDescent="0.3">
      <c r="A4994" s="17" t="str">
        <f>"92570"</f>
        <v>92570</v>
      </c>
      <c r="B4994" s="5" t="s">
        <v>5147</v>
      </c>
      <c r="C4994" s="17">
        <v>20100101</v>
      </c>
      <c r="D4994" s="17">
        <v>22991231</v>
      </c>
      <c r="E4994" s="24" t="s">
        <v>7128</v>
      </c>
    </row>
    <row r="4995" spans="1:5" ht="26" x14ac:dyDescent="0.3">
      <c r="A4995" s="17" t="str">
        <f>"92650"</f>
        <v>92650</v>
      </c>
      <c r="B4995" s="5" t="s">
        <v>5148</v>
      </c>
      <c r="C4995" s="17">
        <v>20210101</v>
      </c>
      <c r="D4995" s="17">
        <v>22991231</v>
      </c>
      <c r="E4995" s="24" t="s">
        <v>7128</v>
      </c>
    </row>
    <row r="4996" spans="1:5" ht="39" x14ac:dyDescent="0.3">
      <c r="A4996" s="17" t="str">
        <f>"92651"</f>
        <v>92651</v>
      </c>
      <c r="B4996" s="5" t="s">
        <v>5149</v>
      </c>
      <c r="C4996" s="17">
        <v>20210101</v>
      </c>
      <c r="D4996" s="17">
        <v>22991231</v>
      </c>
      <c r="E4996" s="24" t="s">
        <v>7128</v>
      </c>
    </row>
    <row r="4997" spans="1:5" ht="39" x14ac:dyDescent="0.3">
      <c r="A4997" s="17" t="str">
        <f>"92652"</f>
        <v>92652</v>
      </c>
      <c r="B4997" s="5" t="s">
        <v>5150</v>
      </c>
      <c r="C4997" s="17">
        <v>20210101</v>
      </c>
      <c r="D4997" s="17">
        <v>22991231</v>
      </c>
      <c r="E4997" s="24" t="s">
        <v>7128</v>
      </c>
    </row>
    <row r="4998" spans="1:5" ht="39" x14ac:dyDescent="0.3">
      <c r="A4998" s="17" t="str">
        <f>"92653"</f>
        <v>92653</v>
      </c>
      <c r="B4998" s="5" t="s">
        <v>5151</v>
      </c>
      <c r="C4998" s="17">
        <v>20210101</v>
      </c>
      <c r="D4998" s="17">
        <v>22991231</v>
      </c>
      <c r="E4998" s="24" t="s">
        <v>7128</v>
      </c>
    </row>
    <row r="4999" spans="1:5" ht="26" x14ac:dyDescent="0.3">
      <c r="A4999" s="17" t="str">
        <f>"92920"</f>
        <v>92920</v>
      </c>
      <c r="B4999" s="5" t="s">
        <v>5152</v>
      </c>
      <c r="C4999" s="17">
        <v>20230101</v>
      </c>
      <c r="D4999" s="17">
        <v>22991231</v>
      </c>
      <c r="E4999" s="25">
        <v>3257.7</v>
      </c>
    </row>
    <row r="5000" spans="1:5" ht="26" x14ac:dyDescent="0.3">
      <c r="A5000" s="17" t="str">
        <f>"92921"</f>
        <v>92921</v>
      </c>
      <c r="B5000" s="5" t="s">
        <v>5153</v>
      </c>
      <c r="C5000" s="17">
        <v>20230101</v>
      </c>
      <c r="D5000" s="17">
        <v>22991231</v>
      </c>
      <c r="E5000" s="25">
        <v>0</v>
      </c>
    </row>
    <row r="5001" spans="1:5" ht="26" x14ac:dyDescent="0.3">
      <c r="A5001" s="17" t="str">
        <f>"92928"</f>
        <v>92928</v>
      </c>
      <c r="B5001" s="5" t="s">
        <v>5154</v>
      </c>
      <c r="C5001" s="17">
        <v>20230101</v>
      </c>
      <c r="D5001" s="17">
        <v>22991231</v>
      </c>
      <c r="E5001" s="25">
        <v>6315.75</v>
      </c>
    </row>
    <row r="5002" spans="1:5" ht="39" x14ac:dyDescent="0.3">
      <c r="A5002" s="17" t="str">
        <f>"92929"</f>
        <v>92929</v>
      </c>
      <c r="B5002" s="5" t="s">
        <v>5155</v>
      </c>
      <c r="C5002" s="17">
        <v>20230101</v>
      </c>
      <c r="D5002" s="17">
        <v>22991231</v>
      </c>
      <c r="E5002" s="25">
        <v>0</v>
      </c>
    </row>
    <row r="5003" spans="1:5" x14ac:dyDescent="0.3">
      <c r="A5003" s="17" t="str">
        <f>"92961"</f>
        <v>92961</v>
      </c>
      <c r="B5003" s="5" t="s">
        <v>5156</v>
      </c>
      <c r="C5003" s="17">
        <v>20000101</v>
      </c>
      <c r="D5003" s="17">
        <v>22991231</v>
      </c>
      <c r="E5003" s="24" t="s">
        <v>7128</v>
      </c>
    </row>
    <row r="5004" spans="1:5" ht="26" x14ac:dyDescent="0.3">
      <c r="A5004" s="17" t="str">
        <f>"92978"</f>
        <v>92978</v>
      </c>
      <c r="B5004" s="5" t="s">
        <v>5157</v>
      </c>
      <c r="C5004" s="17">
        <v>19970101</v>
      </c>
      <c r="D5004" s="17">
        <v>22991231</v>
      </c>
      <c r="E5004" s="25">
        <v>0</v>
      </c>
    </row>
    <row r="5005" spans="1:5" ht="39" x14ac:dyDescent="0.3">
      <c r="A5005" s="17" t="str">
        <f>"92979"</f>
        <v>92979</v>
      </c>
      <c r="B5005" s="5" t="s">
        <v>5158</v>
      </c>
      <c r="C5005" s="17">
        <v>19970101</v>
      </c>
      <c r="D5005" s="17">
        <v>22991231</v>
      </c>
      <c r="E5005" s="24" t="s">
        <v>7128</v>
      </c>
    </row>
    <row r="5006" spans="1:5" ht="39" x14ac:dyDescent="0.3">
      <c r="A5006" s="17" t="str">
        <f>"93015"</f>
        <v>93015</v>
      </c>
      <c r="B5006" s="5" t="s">
        <v>5159</v>
      </c>
      <c r="C5006" s="17">
        <v>19900101</v>
      </c>
      <c r="D5006" s="17">
        <v>22991231</v>
      </c>
      <c r="E5006" s="24" t="s">
        <v>7128</v>
      </c>
    </row>
    <row r="5007" spans="1:5" ht="39" x14ac:dyDescent="0.3">
      <c r="A5007" s="17" t="str">
        <f>"93241"</f>
        <v>93241</v>
      </c>
      <c r="B5007" s="5" t="s">
        <v>5160</v>
      </c>
      <c r="C5007" s="17">
        <v>20210101</v>
      </c>
      <c r="D5007" s="17">
        <v>22991231</v>
      </c>
      <c r="E5007" s="24" t="s">
        <v>7128</v>
      </c>
    </row>
    <row r="5008" spans="1:5" ht="26" x14ac:dyDescent="0.3">
      <c r="A5008" s="17" t="str">
        <f>"93242"</f>
        <v>93242</v>
      </c>
      <c r="B5008" s="5" t="s">
        <v>5161</v>
      </c>
      <c r="C5008" s="17">
        <v>20210101</v>
      </c>
      <c r="D5008" s="17">
        <v>22991231</v>
      </c>
      <c r="E5008" s="24" t="s">
        <v>7128</v>
      </c>
    </row>
    <row r="5009" spans="1:5" ht="39" x14ac:dyDescent="0.3">
      <c r="A5009" s="17" t="str">
        <f>"93243"</f>
        <v>93243</v>
      </c>
      <c r="B5009" s="5" t="s">
        <v>5162</v>
      </c>
      <c r="C5009" s="17">
        <v>20210101</v>
      </c>
      <c r="D5009" s="17">
        <v>22991231</v>
      </c>
      <c r="E5009" s="24" t="s">
        <v>7128</v>
      </c>
    </row>
    <row r="5010" spans="1:5" ht="39" x14ac:dyDescent="0.3">
      <c r="A5010" s="17" t="str">
        <f>"93244"</f>
        <v>93244</v>
      </c>
      <c r="B5010" s="5" t="s">
        <v>5163</v>
      </c>
      <c r="C5010" s="17">
        <v>20210101</v>
      </c>
      <c r="D5010" s="17">
        <v>22991231</v>
      </c>
      <c r="E5010" s="24" t="s">
        <v>7128</v>
      </c>
    </row>
    <row r="5011" spans="1:5" ht="39" x14ac:dyDescent="0.3">
      <c r="A5011" s="17" t="str">
        <f>"93245"</f>
        <v>93245</v>
      </c>
      <c r="B5011" s="5" t="s">
        <v>5164</v>
      </c>
      <c r="C5011" s="17">
        <v>20210101</v>
      </c>
      <c r="D5011" s="17">
        <v>22991231</v>
      </c>
      <c r="E5011" s="24" t="s">
        <v>7128</v>
      </c>
    </row>
    <row r="5012" spans="1:5" ht="26" x14ac:dyDescent="0.3">
      <c r="A5012" s="17" t="str">
        <f>"93246"</f>
        <v>93246</v>
      </c>
      <c r="B5012" s="5" t="s">
        <v>5165</v>
      </c>
      <c r="C5012" s="17">
        <v>20210101</v>
      </c>
      <c r="D5012" s="17">
        <v>22991231</v>
      </c>
      <c r="E5012" s="24" t="s">
        <v>7128</v>
      </c>
    </row>
    <row r="5013" spans="1:5" ht="26" x14ac:dyDescent="0.3">
      <c r="A5013" s="17" t="str">
        <f>"93247"</f>
        <v>93247</v>
      </c>
      <c r="B5013" s="5" t="s">
        <v>5166</v>
      </c>
      <c r="C5013" s="17">
        <v>20210101</v>
      </c>
      <c r="D5013" s="17">
        <v>22991231</v>
      </c>
      <c r="E5013" s="24" t="s">
        <v>7128</v>
      </c>
    </row>
    <row r="5014" spans="1:5" ht="26" x14ac:dyDescent="0.3">
      <c r="A5014" s="17" t="str">
        <f>"93248"</f>
        <v>93248</v>
      </c>
      <c r="B5014" s="5" t="s">
        <v>5167</v>
      </c>
      <c r="C5014" s="17">
        <v>20210101</v>
      </c>
      <c r="D5014" s="17">
        <v>22991231</v>
      </c>
      <c r="E5014" s="24" t="s">
        <v>7128</v>
      </c>
    </row>
    <row r="5015" spans="1:5" ht="26" x14ac:dyDescent="0.3">
      <c r="A5015" s="17" t="str">
        <f>"93264"</f>
        <v>93264</v>
      </c>
      <c r="B5015" s="5" t="s">
        <v>5168</v>
      </c>
      <c r="C5015" s="17">
        <v>20190101</v>
      </c>
      <c r="D5015" s="17">
        <v>22991231</v>
      </c>
      <c r="E5015" s="24" t="s">
        <v>7128</v>
      </c>
    </row>
    <row r="5016" spans="1:5" x14ac:dyDescent="0.3">
      <c r="A5016" s="17" t="str">
        <f>"93303"</f>
        <v>93303</v>
      </c>
      <c r="B5016" s="5" t="s">
        <v>5169</v>
      </c>
      <c r="C5016" s="17">
        <v>19970101</v>
      </c>
      <c r="D5016" s="17">
        <v>22991231</v>
      </c>
      <c r="E5016" s="24" t="s">
        <v>7128</v>
      </c>
    </row>
    <row r="5017" spans="1:5" ht="26" x14ac:dyDescent="0.3">
      <c r="A5017" s="17" t="str">
        <f>"93304"</f>
        <v>93304</v>
      </c>
      <c r="B5017" s="5" t="s">
        <v>5170</v>
      </c>
      <c r="C5017" s="17">
        <v>19970101</v>
      </c>
      <c r="D5017" s="17">
        <v>22991231</v>
      </c>
      <c r="E5017" s="24" t="s">
        <v>7128</v>
      </c>
    </row>
    <row r="5018" spans="1:5" ht="26" x14ac:dyDescent="0.3">
      <c r="A5018" s="17" t="str">
        <f>"93315"</f>
        <v>93315</v>
      </c>
      <c r="B5018" s="5" t="s">
        <v>5171</v>
      </c>
      <c r="C5018" s="17">
        <v>19970101</v>
      </c>
      <c r="D5018" s="17">
        <v>22991231</v>
      </c>
      <c r="E5018" s="24" t="s">
        <v>7128</v>
      </c>
    </row>
    <row r="5019" spans="1:5" ht="26" x14ac:dyDescent="0.3">
      <c r="A5019" s="17" t="str">
        <f>"93316"</f>
        <v>93316</v>
      </c>
      <c r="B5019" s="5" t="s">
        <v>5172</v>
      </c>
      <c r="C5019" s="17">
        <v>19970101</v>
      </c>
      <c r="D5019" s="17">
        <v>22991231</v>
      </c>
      <c r="E5019" s="24" t="s">
        <v>7128</v>
      </c>
    </row>
    <row r="5020" spans="1:5" ht="26" x14ac:dyDescent="0.3">
      <c r="A5020" s="17" t="str">
        <f>"93317"</f>
        <v>93317</v>
      </c>
      <c r="B5020" s="5" t="s">
        <v>5173</v>
      </c>
      <c r="C5020" s="17">
        <v>19970101</v>
      </c>
      <c r="D5020" s="17">
        <v>22991231</v>
      </c>
      <c r="E5020" s="24" t="s">
        <v>7128</v>
      </c>
    </row>
    <row r="5021" spans="1:5" ht="26" x14ac:dyDescent="0.3">
      <c r="A5021" s="17" t="str">
        <f>"93318"</f>
        <v>93318</v>
      </c>
      <c r="B5021" s="5" t="s">
        <v>5174</v>
      </c>
      <c r="C5021" s="17">
        <v>20010101</v>
      </c>
      <c r="D5021" s="17">
        <v>22991231</v>
      </c>
      <c r="E5021" s="24" t="s">
        <v>7128</v>
      </c>
    </row>
    <row r="5022" spans="1:5" ht="26" x14ac:dyDescent="0.3">
      <c r="A5022" s="17" t="str">
        <f>"93451"</f>
        <v>93451</v>
      </c>
      <c r="B5022" s="5" t="s">
        <v>5175</v>
      </c>
      <c r="C5022" s="17">
        <v>20230101</v>
      </c>
      <c r="D5022" s="17">
        <v>22991231</v>
      </c>
      <c r="E5022" s="25">
        <v>1559.23</v>
      </c>
    </row>
    <row r="5023" spans="1:5" ht="26" x14ac:dyDescent="0.3">
      <c r="A5023" s="17" t="str">
        <f>"93452"</f>
        <v>93452</v>
      </c>
      <c r="B5023" s="5" t="s">
        <v>5176</v>
      </c>
      <c r="C5023" s="17">
        <v>20230101</v>
      </c>
      <c r="D5023" s="17">
        <v>22991231</v>
      </c>
      <c r="E5023" s="25">
        <v>1559.23</v>
      </c>
    </row>
    <row r="5024" spans="1:5" ht="26" x14ac:dyDescent="0.3">
      <c r="A5024" s="17" t="str">
        <f>"93453"</f>
        <v>93453</v>
      </c>
      <c r="B5024" s="5" t="s">
        <v>5177</v>
      </c>
      <c r="C5024" s="17">
        <v>20230101</v>
      </c>
      <c r="D5024" s="17">
        <v>22991231</v>
      </c>
      <c r="E5024" s="25">
        <v>1559.23</v>
      </c>
    </row>
    <row r="5025" spans="1:5" ht="26" x14ac:dyDescent="0.3">
      <c r="A5025" s="17" t="str">
        <f>"93454"</f>
        <v>93454</v>
      </c>
      <c r="B5025" s="5" t="s">
        <v>5178</v>
      </c>
      <c r="C5025" s="17">
        <v>20230101</v>
      </c>
      <c r="D5025" s="17">
        <v>22991231</v>
      </c>
      <c r="E5025" s="25">
        <v>1559.23</v>
      </c>
    </row>
    <row r="5026" spans="1:5" ht="26" x14ac:dyDescent="0.3">
      <c r="A5026" s="17" t="str">
        <f>"93455"</f>
        <v>93455</v>
      </c>
      <c r="B5026" s="5" t="s">
        <v>5179</v>
      </c>
      <c r="C5026" s="17">
        <v>20230101</v>
      </c>
      <c r="D5026" s="17">
        <v>22991231</v>
      </c>
      <c r="E5026" s="25">
        <v>1559.23</v>
      </c>
    </row>
    <row r="5027" spans="1:5" ht="39" x14ac:dyDescent="0.3">
      <c r="A5027" s="17" t="str">
        <f>"93456"</f>
        <v>93456</v>
      </c>
      <c r="B5027" s="5" t="s">
        <v>5180</v>
      </c>
      <c r="C5027" s="17">
        <v>20230101</v>
      </c>
      <c r="D5027" s="17">
        <v>22991231</v>
      </c>
      <c r="E5027" s="25">
        <v>1559.23</v>
      </c>
    </row>
    <row r="5028" spans="1:5" ht="39" x14ac:dyDescent="0.3">
      <c r="A5028" s="17" t="str">
        <f>"93457"</f>
        <v>93457</v>
      </c>
      <c r="B5028" s="5" t="s">
        <v>5181</v>
      </c>
      <c r="C5028" s="17">
        <v>20230101</v>
      </c>
      <c r="D5028" s="17">
        <v>22991231</v>
      </c>
      <c r="E5028" s="25">
        <v>1559.23</v>
      </c>
    </row>
    <row r="5029" spans="1:5" ht="39" x14ac:dyDescent="0.3">
      <c r="A5029" s="17" t="str">
        <f>"93458"</f>
        <v>93458</v>
      </c>
      <c r="B5029" s="5" t="s">
        <v>5182</v>
      </c>
      <c r="C5029" s="17">
        <v>20230101</v>
      </c>
      <c r="D5029" s="17">
        <v>22991231</v>
      </c>
      <c r="E5029" s="25">
        <v>1559.23</v>
      </c>
    </row>
    <row r="5030" spans="1:5" ht="39" x14ac:dyDescent="0.3">
      <c r="A5030" s="17" t="str">
        <f>"93459"</f>
        <v>93459</v>
      </c>
      <c r="B5030" s="5" t="s">
        <v>5183</v>
      </c>
      <c r="C5030" s="17">
        <v>20230101</v>
      </c>
      <c r="D5030" s="17">
        <v>22991231</v>
      </c>
      <c r="E5030" s="25">
        <v>1559.23</v>
      </c>
    </row>
    <row r="5031" spans="1:5" ht="39" x14ac:dyDescent="0.3">
      <c r="A5031" s="17" t="str">
        <f>"93460"</f>
        <v>93460</v>
      </c>
      <c r="B5031" s="5" t="s">
        <v>5184</v>
      </c>
      <c r="C5031" s="17">
        <v>20230101</v>
      </c>
      <c r="D5031" s="17">
        <v>22991231</v>
      </c>
      <c r="E5031" s="25">
        <v>1559.23</v>
      </c>
    </row>
    <row r="5032" spans="1:5" ht="39" x14ac:dyDescent="0.3">
      <c r="A5032" s="17" t="str">
        <f>"93461"</f>
        <v>93461</v>
      </c>
      <c r="B5032" s="5" t="s">
        <v>5185</v>
      </c>
      <c r="C5032" s="17">
        <v>20230101</v>
      </c>
      <c r="D5032" s="17">
        <v>22991231</v>
      </c>
      <c r="E5032" s="25">
        <v>1559.23</v>
      </c>
    </row>
    <row r="5033" spans="1:5" ht="26" x14ac:dyDescent="0.3">
      <c r="A5033" s="17" t="str">
        <f>"93462"</f>
        <v>93462</v>
      </c>
      <c r="B5033" s="5" t="s">
        <v>5186</v>
      </c>
      <c r="C5033" s="17">
        <v>20230101</v>
      </c>
      <c r="D5033" s="17">
        <v>22991231</v>
      </c>
      <c r="E5033" s="25">
        <v>0</v>
      </c>
    </row>
    <row r="5034" spans="1:5" x14ac:dyDescent="0.3">
      <c r="A5034" s="17" t="str">
        <f>"93463"</f>
        <v>93463</v>
      </c>
      <c r="B5034" s="5" t="s">
        <v>5187</v>
      </c>
      <c r="C5034" s="17">
        <v>20240101</v>
      </c>
      <c r="D5034" s="17">
        <v>22991231</v>
      </c>
      <c r="E5034" s="25">
        <v>0</v>
      </c>
    </row>
    <row r="5035" spans="1:5" ht="26" x14ac:dyDescent="0.3">
      <c r="A5035" s="17" t="str">
        <f>"93566"</f>
        <v>93566</v>
      </c>
      <c r="B5035" s="5" t="s">
        <v>5188</v>
      </c>
      <c r="C5035" s="17">
        <v>20230101</v>
      </c>
      <c r="D5035" s="17">
        <v>22991231</v>
      </c>
      <c r="E5035" s="25">
        <v>0</v>
      </c>
    </row>
    <row r="5036" spans="1:5" ht="26" x14ac:dyDescent="0.3">
      <c r="A5036" s="17" t="str">
        <f>"93567"</f>
        <v>93567</v>
      </c>
      <c r="B5036" s="5" t="s">
        <v>5189</v>
      </c>
      <c r="C5036" s="17">
        <v>20230101</v>
      </c>
      <c r="D5036" s="17">
        <v>22991231</v>
      </c>
      <c r="E5036" s="25">
        <v>0</v>
      </c>
    </row>
    <row r="5037" spans="1:5" ht="26" x14ac:dyDescent="0.3">
      <c r="A5037" s="17" t="str">
        <f>"93568"</f>
        <v>93568</v>
      </c>
      <c r="B5037" s="5" t="s">
        <v>5190</v>
      </c>
      <c r="C5037" s="17">
        <v>20230101</v>
      </c>
      <c r="D5037" s="17">
        <v>22991231</v>
      </c>
      <c r="E5037" s="25">
        <v>0</v>
      </c>
    </row>
    <row r="5038" spans="1:5" ht="26" x14ac:dyDescent="0.3">
      <c r="A5038" s="17" t="str">
        <f>"93571"</f>
        <v>93571</v>
      </c>
      <c r="B5038" s="5" t="s">
        <v>5191</v>
      </c>
      <c r="C5038" s="17">
        <v>19990101</v>
      </c>
      <c r="D5038" s="17">
        <v>22991231</v>
      </c>
      <c r="E5038" s="25">
        <v>0</v>
      </c>
    </row>
    <row r="5039" spans="1:5" ht="39" x14ac:dyDescent="0.3">
      <c r="A5039" s="17" t="str">
        <f>"93572"</f>
        <v>93572</v>
      </c>
      <c r="B5039" s="5" t="s">
        <v>5192</v>
      </c>
      <c r="C5039" s="17">
        <v>19990101</v>
      </c>
      <c r="D5039" s="17">
        <v>22991231</v>
      </c>
      <c r="E5039" s="25">
        <v>0</v>
      </c>
    </row>
    <row r="5040" spans="1:5" ht="26" x14ac:dyDescent="0.3">
      <c r="A5040" s="17" t="str">
        <f>"93590"</f>
        <v>93590</v>
      </c>
      <c r="B5040" s="5" t="s">
        <v>5193</v>
      </c>
      <c r="C5040" s="17">
        <v>20170101</v>
      </c>
      <c r="D5040" s="17">
        <v>22991231</v>
      </c>
      <c r="E5040" s="24" t="s">
        <v>7128</v>
      </c>
    </row>
    <row r="5041" spans="1:5" ht="26" x14ac:dyDescent="0.3">
      <c r="A5041" s="17" t="str">
        <f>"93591"</f>
        <v>93591</v>
      </c>
      <c r="B5041" s="5" t="s">
        <v>5194</v>
      </c>
      <c r="C5041" s="17">
        <v>20170101</v>
      </c>
      <c r="D5041" s="17">
        <v>22991231</v>
      </c>
      <c r="E5041" s="24" t="s">
        <v>7128</v>
      </c>
    </row>
    <row r="5042" spans="1:5" ht="26" x14ac:dyDescent="0.3">
      <c r="A5042" s="17" t="str">
        <f>"93592"</f>
        <v>93592</v>
      </c>
      <c r="B5042" s="5" t="s">
        <v>5195</v>
      </c>
      <c r="C5042" s="17">
        <v>20170101</v>
      </c>
      <c r="D5042" s="17">
        <v>22991231</v>
      </c>
      <c r="E5042" s="24" t="s">
        <v>7128</v>
      </c>
    </row>
    <row r="5043" spans="1:5" ht="26" x14ac:dyDescent="0.3">
      <c r="A5043" s="17" t="str">
        <f>"93662"</f>
        <v>93662</v>
      </c>
      <c r="B5043" s="5" t="s">
        <v>5196</v>
      </c>
      <c r="C5043" s="17">
        <v>20010101</v>
      </c>
      <c r="D5043" s="17">
        <v>22991231</v>
      </c>
      <c r="E5043" s="24" t="s">
        <v>7128</v>
      </c>
    </row>
    <row r="5044" spans="1:5" ht="26" x14ac:dyDescent="0.3">
      <c r="A5044" s="17" t="str">
        <f>"93792"</f>
        <v>93792</v>
      </c>
      <c r="B5044" s="5" t="s">
        <v>5197</v>
      </c>
      <c r="C5044" s="17">
        <v>20180101</v>
      </c>
      <c r="D5044" s="17">
        <v>22991231</v>
      </c>
      <c r="E5044" s="24" t="s">
        <v>7128</v>
      </c>
    </row>
    <row r="5045" spans="1:5" ht="26" x14ac:dyDescent="0.3">
      <c r="A5045" s="17" t="str">
        <f>"93793"</f>
        <v>93793</v>
      </c>
      <c r="B5045" s="5" t="s">
        <v>5198</v>
      </c>
      <c r="C5045" s="17">
        <v>20180101</v>
      </c>
      <c r="D5045" s="17">
        <v>22991231</v>
      </c>
      <c r="E5045" s="24" t="s">
        <v>7128</v>
      </c>
    </row>
    <row r="5046" spans="1:5" x14ac:dyDescent="0.3">
      <c r="A5046" s="17" t="str">
        <f>"93891"</f>
        <v>93891</v>
      </c>
      <c r="B5046" s="5" t="s">
        <v>3729</v>
      </c>
      <c r="C5046" s="17">
        <v>20050101</v>
      </c>
      <c r="D5046" s="17">
        <v>22991231</v>
      </c>
      <c r="E5046" s="24" t="s">
        <v>7128</v>
      </c>
    </row>
    <row r="5047" spans="1:5" ht="39" x14ac:dyDescent="0.3">
      <c r="A5047" s="17" t="str">
        <f>"93985"</f>
        <v>93985</v>
      </c>
      <c r="B5047" s="5" t="s">
        <v>5199</v>
      </c>
      <c r="C5047" s="17">
        <v>20230101</v>
      </c>
      <c r="D5047" s="17">
        <v>22991231</v>
      </c>
      <c r="E5047" s="25">
        <v>121.41</v>
      </c>
    </row>
    <row r="5048" spans="1:5" ht="39" x14ac:dyDescent="0.3">
      <c r="A5048" s="17" t="str">
        <f>"93986"</f>
        <v>93986</v>
      </c>
      <c r="B5048" s="5" t="s">
        <v>5200</v>
      </c>
      <c r="C5048" s="17">
        <v>20230101</v>
      </c>
      <c r="D5048" s="17">
        <v>22991231</v>
      </c>
      <c r="E5048" s="25">
        <v>54.47</v>
      </c>
    </row>
    <row r="5049" spans="1:5" x14ac:dyDescent="0.3">
      <c r="A5049" s="17" t="str">
        <f>"94617"</f>
        <v>94617</v>
      </c>
      <c r="B5049" s="5" t="s">
        <v>5201</v>
      </c>
      <c r="C5049" s="17">
        <v>20180101</v>
      </c>
      <c r="D5049" s="17">
        <v>22991231</v>
      </c>
      <c r="E5049" s="24" t="s">
        <v>7128</v>
      </c>
    </row>
    <row r="5050" spans="1:5" x14ac:dyDescent="0.3">
      <c r="A5050" s="17" t="str">
        <f>"94618"</f>
        <v>94618</v>
      </c>
      <c r="B5050" s="5" t="s">
        <v>5202</v>
      </c>
      <c r="C5050" s="17">
        <v>20180101</v>
      </c>
      <c r="D5050" s="17">
        <v>22991231</v>
      </c>
      <c r="E5050" s="24" t="s">
        <v>7128</v>
      </c>
    </row>
    <row r="5051" spans="1:5" x14ac:dyDescent="0.3">
      <c r="A5051" s="17" t="str">
        <f>"94619"</f>
        <v>94619</v>
      </c>
      <c r="B5051" s="5" t="s">
        <v>5203</v>
      </c>
      <c r="C5051" s="17">
        <v>20210101</v>
      </c>
      <c r="D5051" s="17">
        <v>22991231</v>
      </c>
      <c r="E5051" s="24" t="s">
        <v>7128</v>
      </c>
    </row>
    <row r="5052" spans="1:5" x14ac:dyDescent="0.3">
      <c r="A5052" s="17" t="str">
        <f>"94621"</f>
        <v>94621</v>
      </c>
      <c r="B5052" s="5" t="s">
        <v>5204</v>
      </c>
      <c r="C5052" s="17">
        <v>19990101</v>
      </c>
      <c r="D5052" s="17">
        <v>22991231</v>
      </c>
      <c r="E5052" s="24" t="s">
        <v>7128</v>
      </c>
    </row>
    <row r="5053" spans="1:5" ht="26" x14ac:dyDescent="0.3">
      <c r="A5053" s="17" t="str">
        <f>"95249"</f>
        <v>95249</v>
      </c>
      <c r="B5053" s="5" t="s">
        <v>5205</v>
      </c>
      <c r="C5053" s="17">
        <v>20180101</v>
      </c>
      <c r="D5053" s="17">
        <v>22991231</v>
      </c>
      <c r="E5053" s="24" t="s">
        <v>7128</v>
      </c>
    </row>
    <row r="5054" spans="1:5" ht="26" x14ac:dyDescent="0.3">
      <c r="A5054" s="17" t="str">
        <f>"95867"</f>
        <v>95867</v>
      </c>
      <c r="B5054" s="5" t="s">
        <v>5206</v>
      </c>
      <c r="C5054" s="17">
        <v>20050101</v>
      </c>
      <c r="D5054" s="17">
        <v>22991231</v>
      </c>
      <c r="E5054" s="24" t="s">
        <v>7128</v>
      </c>
    </row>
    <row r="5055" spans="1:5" ht="26" x14ac:dyDescent="0.3">
      <c r="A5055" s="17" t="str">
        <f>"95921"</f>
        <v>95921</v>
      </c>
      <c r="B5055" s="5" t="s">
        <v>5207</v>
      </c>
      <c r="C5055" s="17">
        <v>19970101</v>
      </c>
      <c r="D5055" s="17">
        <v>22991231</v>
      </c>
      <c r="E5055" s="24" t="s">
        <v>7128</v>
      </c>
    </row>
    <row r="5056" spans="1:5" ht="39" x14ac:dyDescent="0.3">
      <c r="A5056" s="17" t="str">
        <f>"95922"</f>
        <v>95922</v>
      </c>
      <c r="B5056" s="5" t="s">
        <v>5208</v>
      </c>
      <c r="C5056" s="17">
        <v>19970101</v>
      </c>
      <c r="D5056" s="17">
        <v>22991231</v>
      </c>
      <c r="E5056" s="24" t="s">
        <v>7128</v>
      </c>
    </row>
    <row r="5057" spans="1:5" ht="26" x14ac:dyDescent="0.3">
      <c r="A5057" s="17" t="str">
        <f>"95923"</f>
        <v>95923</v>
      </c>
      <c r="B5057" s="5" t="s">
        <v>5209</v>
      </c>
      <c r="C5057" s="17">
        <v>19970101</v>
      </c>
      <c r="D5057" s="17">
        <v>22991231</v>
      </c>
      <c r="E5057" s="24" t="s">
        <v>7128</v>
      </c>
    </row>
    <row r="5058" spans="1:5" ht="26" x14ac:dyDescent="0.3">
      <c r="A5058" s="17" t="str">
        <f>"95970"</f>
        <v>95970</v>
      </c>
      <c r="B5058" s="5" t="s">
        <v>5210</v>
      </c>
      <c r="C5058" s="17">
        <v>19990101</v>
      </c>
      <c r="D5058" s="17">
        <v>22991231</v>
      </c>
      <c r="E5058" s="24" t="s">
        <v>7128</v>
      </c>
    </row>
    <row r="5059" spans="1:5" ht="39" x14ac:dyDescent="0.3">
      <c r="A5059" s="17" t="str">
        <f>"95971"</f>
        <v>95971</v>
      </c>
      <c r="B5059" s="5" t="s">
        <v>5211</v>
      </c>
      <c r="C5059" s="17">
        <v>19990101</v>
      </c>
      <c r="D5059" s="17">
        <v>22991231</v>
      </c>
      <c r="E5059" s="24" t="s">
        <v>7128</v>
      </c>
    </row>
    <row r="5060" spans="1:5" ht="39" x14ac:dyDescent="0.3">
      <c r="A5060" s="17" t="str">
        <f>"95976"</f>
        <v>95976</v>
      </c>
      <c r="B5060" s="5" t="s">
        <v>5212</v>
      </c>
      <c r="C5060" s="17">
        <v>20190101</v>
      </c>
      <c r="D5060" s="17">
        <v>22991231</v>
      </c>
      <c r="E5060" s="24" t="s">
        <v>7128</v>
      </c>
    </row>
    <row r="5061" spans="1:5" ht="39" x14ac:dyDescent="0.3">
      <c r="A5061" s="17" t="str">
        <f>"95977"</f>
        <v>95977</v>
      </c>
      <c r="B5061" s="5" t="s">
        <v>5213</v>
      </c>
      <c r="C5061" s="17">
        <v>20190101</v>
      </c>
      <c r="D5061" s="17">
        <v>22991231</v>
      </c>
      <c r="E5061" s="24" t="s">
        <v>7128</v>
      </c>
    </row>
    <row r="5062" spans="1:5" ht="39" x14ac:dyDescent="0.3">
      <c r="A5062" s="17" t="str">
        <f>"95980"</f>
        <v>95980</v>
      </c>
      <c r="B5062" s="5" t="s">
        <v>5214</v>
      </c>
      <c r="C5062" s="17">
        <v>20080101</v>
      </c>
      <c r="D5062" s="17">
        <v>22991231</v>
      </c>
      <c r="E5062" s="24" t="s">
        <v>7128</v>
      </c>
    </row>
    <row r="5063" spans="1:5" ht="26" x14ac:dyDescent="0.3">
      <c r="A5063" s="17" t="str">
        <f>"95981"</f>
        <v>95981</v>
      </c>
      <c r="B5063" s="5" t="s">
        <v>5215</v>
      </c>
      <c r="C5063" s="17">
        <v>20080101</v>
      </c>
      <c r="D5063" s="17">
        <v>22991231</v>
      </c>
      <c r="E5063" s="24" t="s">
        <v>7128</v>
      </c>
    </row>
    <row r="5064" spans="1:5" ht="26" x14ac:dyDescent="0.3">
      <c r="A5064" s="17" t="str">
        <f>"95982"</f>
        <v>95982</v>
      </c>
      <c r="B5064" s="5" t="s">
        <v>5216</v>
      </c>
      <c r="C5064" s="17">
        <v>20080101</v>
      </c>
      <c r="D5064" s="17">
        <v>22991231</v>
      </c>
      <c r="E5064" s="24" t="s">
        <v>7128</v>
      </c>
    </row>
    <row r="5065" spans="1:5" ht="52" x14ac:dyDescent="0.3">
      <c r="A5065" s="17" t="str">
        <f>"95983"</f>
        <v>95983</v>
      </c>
      <c r="B5065" s="5" t="s">
        <v>5217</v>
      </c>
      <c r="C5065" s="17">
        <v>20190101</v>
      </c>
      <c r="D5065" s="17">
        <v>22991231</v>
      </c>
      <c r="E5065" s="24" t="s">
        <v>7128</v>
      </c>
    </row>
    <row r="5066" spans="1:5" ht="65" x14ac:dyDescent="0.3">
      <c r="A5066" s="17" t="str">
        <f>"95984"</f>
        <v>95984</v>
      </c>
      <c r="B5066" s="5" t="s">
        <v>5218</v>
      </c>
      <c r="C5066" s="17">
        <v>20190101</v>
      </c>
      <c r="D5066" s="17">
        <v>22991231</v>
      </c>
      <c r="E5066" s="24" t="s">
        <v>7128</v>
      </c>
    </row>
    <row r="5067" spans="1:5" ht="26" x14ac:dyDescent="0.3">
      <c r="A5067" s="17" t="str">
        <f>"96160"</f>
        <v>96160</v>
      </c>
      <c r="B5067" s="5" t="s">
        <v>5219</v>
      </c>
      <c r="C5067" s="17">
        <v>20170101</v>
      </c>
      <c r="D5067" s="17">
        <v>22991231</v>
      </c>
      <c r="E5067" s="24" t="s">
        <v>7128</v>
      </c>
    </row>
    <row r="5068" spans="1:5" ht="26" x14ac:dyDescent="0.3">
      <c r="A5068" s="17" t="str">
        <f>"96161"</f>
        <v>96161</v>
      </c>
      <c r="B5068" s="5" t="s">
        <v>5220</v>
      </c>
      <c r="C5068" s="17">
        <v>20170101</v>
      </c>
      <c r="D5068" s="17">
        <v>22991231</v>
      </c>
      <c r="E5068" s="24" t="s">
        <v>7128</v>
      </c>
    </row>
    <row r="5069" spans="1:5" x14ac:dyDescent="0.3">
      <c r="A5069" s="17" t="str">
        <f>"96360"</f>
        <v>96360</v>
      </c>
      <c r="B5069" s="5" t="s">
        <v>5221</v>
      </c>
      <c r="C5069" s="17">
        <v>20090101</v>
      </c>
      <c r="D5069" s="17">
        <v>22991231</v>
      </c>
      <c r="E5069" s="24" t="s">
        <v>7128</v>
      </c>
    </row>
    <row r="5070" spans="1:5" ht="26" x14ac:dyDescent="0.3">
      <c r="A5070" s="17" t="str">
        <f>"96361"</f>
        <v>96361</v>
      </c>
      <c r="B5070" s="5" t="s">
        <v>5222</v>
      </c>
      <c r="C5070" s="17">
        <v>20090101</v>
      </c>
      <c r="D5070" s="17">
        <v>22991231</v>
      </c>
      <c r="E5070" s="24" t="s">
        <v>7128</v>
      </c>
    </row>
    <row r="5071" spans="1:5" ht="26" x14ac:dyDescent="0.3">
      <c r="A5071" s="17" t="str">
        <f>"96365"</f>
        <v>96365</v>
      </c>
      <c r="B5071" s="5" t="s">
        <v>5223</v>
      </c>
      <c r="C5071" s="17">
        <v>20090101</v>
      </c>
      <c r="D5071" s="17">
        <v>22991231</v>
      </c>
      <c r="E5071" s="24" t="s">
        <v>7128</v>
      </c>
    </row>
    <row r="5072" spans="1:5" ht="26" x14ac:dyDescent="0.3">
      <c r="A5072" s="17" t="str">
        <f>"96366"</f>
        <v>96366</v>
      </c>
      <c r="B5072" s="5" t="s">
        <v>5224</v>
      </c>
      <c r="C5072" s="17">
        <v>20090101</v>
      </c>
      <c r="D5072" s="17">
        <v>22991231</v>
      </c>
      <c r="E5072" s="24" t="s">
        <v>7128</v>
      </c>
    </row>
    <row r="5073" spans="1:5" ht="39" x14ac:dyDescent="0.3">
      <c r="A5073" s="17" t="str">
        <f>"96367"</f>
        <v>96367</v>
      </c>
      <c r="B5073" s="5" t="s">
        <v>5225</v>
      </c>
      <c r="C5073" s="17">
        <v>20090101</v>
      </c>
      <c r="D5073" s="17">
        <v>22991231</v>
      </c>
      <c r="E5073" s="24" t="s">
        <v>7128</v>
      </c>
    </row>
    <row r="5074" spans="1:5" ht="26" x14ac:dyDescent="0.3">
      <c r="A5074" s="17" t="str">
        <f>"96368"</f>
        <v>96368</v>
      </c>
      <c r="B5074" s="5" t="s">
        <v>5226</v>
      </c>
      <c r="C5074" s="17">
        <v>20090101</v>
      </c>
      <c r="D5074" s="17">
        <v>22991231</v>
      </c>
      <c r="E5074" s="24" t="s">
        <v>7128</v>
      </c>
    </row>
    <row r="5075" spans="1:5" ht="26" x14ac:dyDescent="0.3">
      <c r="A5075" s="17" t="str">
        <f>"96369"</f>
        <v>96369</v>
      </c>
      <c r="B5075" s="5" t="s">
        <v>5227</v>
      </c>
      <c r="C5075" s="17">
        <v>20090101</v>
      </c>
      <c r="D5075" s="17">
        <v>22991231</v>
      </c>
      <c r="E5075" s="24" t="s">
        <v>7128</v>
      </c>
    </row>
    <row r="5076" spans="1:5" ht="26" x14ac:dyDescent="0.3">
      <c r="A5076" s="17" t="str">
        <f>"96370"</f>
        <v>96370</v>
      </c>
      <c r="B5076" s="5" t="s">
        <v>5228</v>
      </c>
      <c r="C5076" s="17">
        <v>20090101</v>
      </c>
      <c r="D5076" s="17">
        <v>22991231</v>
      </c>
      <c r="E5076" s="24" t="s">
        <v>7128</v>
      </c>
    </row>
    <row r="5077" spans="1:5" ht="26" x14ac:dyDescent="0.3">
      <c r="A5077" s="17" t="str">
        <f>"96371"</f>
        <v>96371</v>
      </c>
      <c r="B5077" s="5" t="s">
        <v>5229</v>
      </c>
      <c r="C5077" s="17">
        <v>20090101</v>
      </c>
      <c r="D5077" s="17">
        <v>22991231</v>
      </c>
      <c r="E5077" s="24" t="s">
        <v>7128</v>
      </c>
    </row>
    <row r="5078" spans="1:5" ht="26" x14ac:dyDescent="0.3">
      <c r="A5078" s="17" t="str">
        <f>"96372"</f>
        <v>96372</v>
      </c>
      <c r="B5078" s="5" t="s">
        <v>5230</v>
      </c>
      <c r="C5078" s="17">
        <v>20090101</v>
      </c>
      <c r="D5078" s="17">
        <v>22991231</v>
      </c>
      <c r="E5078" s="24" t="s">
        <v>7128</v>
      </c>
    </row>
    <row r="5079" spans="1:5" x14ac:dyDescent="0.3">
      <c r="A5079" s="17" t="str">
        <f>"96373"</f>
        <v>96373</v>
      </c>
      <c r="B5079" s="5" t="s">
        <v>5231</v>
      </c>
      <c r="C5079" s="17">
        <v>20090101</v>
      </c>
      <c r="D5079" s="17">
        <v>22991231</v>
      </c>
      <c r="E5079" s="24" t="s">
        <v>7128</v>
      </c>
    </row>
    <row r="5080" spans="1:5" x14ac:dyDescent="0.3">
      <c r="A5080" s="17" t="str">
        <f>"96374"</f>
        <v>96374</v>
      </c>
      <c r="B5080" s="5" t="s">
        <v>5232</v>
      </c>
      <c r="C5080" s="17">
        <v>20090101</v>
      </c>
      <c r="D5080" s="17">
        <v>22991231</v>
      </c>
      <c r="E5080" s="24" t="s">
        <v>7128</v>
      </c>
    </row>
    <row r="5081" spans="1:5" ht="26" x14ac:dyDescent="0.3">
      <c r="A5081" s="17" t="str">
        <f>"96375"</f>
        <v>96375</v>
      </c>
      <c r="B5081" s="5" t="s">
        <v>5233</v>
      </c>
      <c r="C5081" s="17">
        <v>20090101</v>
      </c>
      <c r="D5081" s="17">
        <v>22991231</v>
      </c>
      <c r="E5081" s="24" t="s">
        <v>7128</v>
      </c>
    </row>
    <row r="5082" spans="1:5" ht="26" x14ac:dyDescent="0.3">
      <c r="A5082" s="17" t="str">
        <f>"96376"</f>
        <v>96376</v>
      </c>
      <c r="B5082" s="5" t="s">
        <v>5234</v>
      </c>
      <c r="C5082" s="17">
        <v>20090101</v>
      </c>
      <c r="D5082" s="17">
        <v>22991231</v>
      </c>
      <c r="E5082" s="24" t="s">
        <v>7128</v>
      </c>
    </row>
    <row r="5083" spans="1:5" ht="26" x14ac:dyDescent="0.3">
      <c r="A5083" s="17" t="str">
        <f>"96377"</f>
        <v>96377</v>
      </c>
      <c r="B5083" s="5" t="s">
        <v>5235</v>
      </c>
      <c r="C5083" s="17">
        <v>20170101</v>
      </c>
      <c r="D5083" s="17">
        <v>22991231</v>
      </c>
      <c r="E5083" s="24" t="s">
        <v>7128</v>
      </c>
    </row>
    <row r="5084" spans="1:5" ht="26" x14ac:dyDescent="0.3">
      <c r="A5084" s="17" t="str">
        <f>"96379"</f>
        <v>96379</v>
      </c>
      <c r="B5084" s="5" t="s">
        <v>5236</v>
      </c>
      <c r="C5084" s="17">
        <v>20090101</v>
      </c>
      <c r="D5084" s="17">
        <v>22991231</v>
      </c>
      <c r="E5084" s="24" t="s">
        <v>7128</v>
      </c>
    </row>
    <row r="5085" spans="1:5" x14ac:dyDescent="0.3">
      <c r="A5085" s="17" t="str">
        <f>"96521"</f>
        <v>96521</v>
      </c>
      <c r="B5085" s="5" t="s">
        <v>5237</v>
      </c>
      <c r="C5085" s="17">
        <v>20060101</v>
      </c>
      <c r="D5085" s="17">
        <v>22991231</v>
      </c>
      <c r="E5085" s="24" t="s">
        <v>7128</v>
      </c>
    </row>
    <row r="5086" spans="1:5" ht="26" x14ac:dyDescent="0.3">
      <c r="A5086" s="17" t="str">
        <f>"96522"</f>
        <v>96522</v>
      </c>
      <c r="B5086" s="5" t="s">
        <v>5238</v>
      </c>
      <c r="C5086" s="17">
        <v>20060101</v>
      </c>
      <c r="D5086" s="17">
        <v>22991231</v>
      </c>
      <c r="E5086" s="24" t="s">
        <v>7128</v>
      </c>
    </row>
    <row r="5087" spans="1:5" ht="26" x14ac:dyDescent="0.3">
      <c r="A5087" s="17" t="str">
        <f>"96523"</f>
        <v>96523</v>
      </c>
      <c r="B5087" s="5" t="s">
        <v>5239</v>
      </c>
      <c r="C5087" s="17">
        <v>20060101</v>
      </c>
      <c r="D5087" s="17">
        <v>22991231</v>
      </c>
      <c r="E5087" s="24" t="s">
        <v>7128</v>
      </c>
    </row>
    <row r="5088" spans="1:5" ht="26" x14ac:dyDescent="0.3">
      <c r="A5088" s="17" t="str">
        <f>"96570"</f>
        <v>96570</v>
      </c>
      <c r="B5088" s="5" t="s">
        <v>5240</v>
      </c>
      <c r="C5088" s="17">
        <v>20000101</v>
      </c>
      <c r="D5088" s="17">
        <v>22991231</v>
      </c>
      <c r="E5088" s="24" t="s">
        <v>7128</v>
      </c>
    </row>
    <row r="5089" spans="1:5" ht="39" x14ac:dyDescent="0.3">
      <c r="A5089" s="17" t="str">
        <f>"96571"</f>
        <v>96571</v>
      </c>
      <c r="B5089" s="5" t="s">
        <v>5241</v>
      </c>
      <c r="C5089" s="17">
        <v>20000101</v>
      </c>
      <c r="D5089" s="17">
        <v>22991231</v>
      </c>
      <c r="E5089" s="24" t="s">
        <v>7128</v>
      </c>
    </row>
    <row r="5090" spans="1:5" ht="26" x14ac:dyDescent="0.3">
      <c r="A5090" s="17" t="str">
        <f>"96573"</f>
        <v>96573</v>
      </c>
      <c r="B5090" s="5" t="s">
        <v>5242</v>
      </c>
      <c r="C5090" s="17">
        <v>20180101</v>
      </c>
      <c r="D5090" s="17">
        <v>22991231</v>
      </c>
      <c r="E5090" s="24" t="s">
        <v>7128</v>
      </c>
    </row>
    <row r="5091" spans="1:5" ht="26" x14ac:dyDescent="0.3">
      <c r="A5091" s="17" t="str">
        <f>"96574"</f>
        <v>96574</v>
      </c>
      <c r="B5091" s="5" t="s">
        <v>5243</v>
      </c>
      <c r="C5091" s="17">
        <v>20180101</v>
      </c>
      <c r="D5091" s="17">
        <v>22991231</v>
      </c>
      <c r="E5091" s="24" t="s">
        <v>7128</v>
      </c>
    </row>
    <row r="5092" spans="1:5" ht="26" x14ac:dyDescent="0.3">
      <c r="A5092" s="17" t="str">
        <f>"97140"</f>
        <v>97140</v>
      </c>
      <c r="B5092" s="5" t="s">
        <v>5244</v>
      </c>
      <c r="C5092" s="17">
        <v>20070105</v>
      </c>
      <c r="D5092" s="17">
        <v>22991231</v>
      </c>
      <c r="E5092" s="24" t="s">
        <v>7128</v>
      </c>
    </row>
    <row r="5093" spans="1:5" ht="26" x14ac:dyDescent="0.3">
      <c r="A5093" s="17" t="str">
        <f>"97161"</f>
        <v>97161</v>
      </c>
      <c r="B5093" s="5" t="s">
        <v>5245</v>
      </c>
      <c r="C5093" s="17">
        <v>20170101</v>
      </c>
      <c r="D5093" s="17">
        <v>22991231</v>
      </c>
      <c r="E5093" s="24" t="s">
        <v>7128</v>
      </c>
    </row>
    <row r="5094" spans="1:5" ht="26" x14ac:dyDescent="0.3">
      <c r="A5094" s="17" t="str">
        <f>"97162"</f>
        <v>97162</v>
      </c>
      <c r="B5094" s="5" t="s">
        <v>5246</v>
      </c>
      <c r="C5094" s="17">
        <v>20170101</v>
      </c>
      <c r="D5094" s="17">
        <v>22991231</v>
      </c>
      <c r="E5094" s="24" t="s">
        <v>7128</v>
      </c>
    </row>
    <row r="5095" spans="1:5" ht="26" x14ac:dyDescent="0.3">
      <c r="A5095" s="17" t="str">
        <f>"97163"</f>
        <v>97163</v>
      </c>
      <c r="B5095" s="5" t="s">
        <v>5247</v>
      </c>
      <c r="C5095" s="17">
        <v>20170101</v>
      </c>
      <c r="D5095" s="17">
        <v>22991231</v>
      </c>
      <c r="E5095" s="24" t="s">
        <v>7128</v>
      </c>
    </row>
    <row r="5096" spans="1:5" ht="26" x14ac:dyDescent="0.3">
      <c r="A5096" s="17" t="str">
        <f>"97164"</f>
        <v>97164</v>
      </c>
      <c r="B5096" s="5" t="s">
        <v>5248</v>
      </c>
      <c r="C5096" s="17">
        <v>20170101</v>
      </c>
      <c r="D5096" s="17">
        <v>22991231</v>
      </c>
      <c r="E5096" s="24" t="s">
        <v>7128</v>
      </c>
    </row>
    <row r="5097" spans="1:5" ht="26" x14ac:dyDescent="0.3">
      <c r="A5097" s="17" t="str">
        <f>"97165"</f>
        <v>97165</v>
      </c>
      <c r="B5097" s="5" t="s">
        <v>5249</v>
      </c>
      <c r="C5097" s="17">
        <v>20170101</v>
      </c>
      <c r="D5097" s="17">
        <v>22991231</v>
      </c>
      <c r="E5097" s="24" t="s">
        <v>7128</v>
      </c>
    </row>
    <row r="5098" spans="1:5" ht="26" x14ac:dyDescent="0.3">
      <c r="A5098" s="17" t="str">
        <f>"97166"</f>
        <v>97166</v>
      </c>
      <c r="B5098" s="5" t="s">
        <v>5250</v>
      </c>
      <c r="C5098" s="17">
        <v>20170101</v>
      </c>
      <c r="D5098" s="17">
        <v>22991231</v>
      </c>
      <c r="E5098" s="24" t="s">
        <v>7128</v>
      </c>
    </row>
    <row r="5099" spans="1:5" ht="26" x14ac:dyDescent="0.3">
      <c r="A5099" s="17" t="str">
        <f>"97167"</f>
        <v>97167</v>
      </c>
      <c r="B5099" s="5" t="s">
        <v>5251</v>
      </c>
      <c r="C5099" s="17">
        <v>20170101</v>
      </c>
      <c r="D5099" s="17">
        <v>22991231</v>
      </c>
      <c r="E5099" s="24" t="s">
        <v>7128</v>
      </c>
    </row>
    <row r="5100" spans="1:5" ht="26" x14ac:dyDescent="0.3">
      <c r="A5100" s="17" t="str">
        <f>"97168"</f>
        <v>97168</v>
      </c>
      <c r="B5100" s="5" t="s">
        <v>5252</v>
      </c>
      <c r="C5100" s="17">
        <v>20170101</v>
      </c>
      <c r="D5100" s="17">
        <v>22991231</v>
      </c>
      <c r="E5100" s="24" t="s">
        <v>7128</v>
      </c>
    </row>
    <row r="5101" spans="1:5" ht="26" x14ac:dyDescent="0.3">
      <c r="A5101" s="17" t="str">
        <f>"97169"</f>
        <v>97169</v>
      </c>
      <c r="B5101" s="5" t="s">
        <v>5253</v>
      </c>
      <c r="C5101" s="17">
        <v>20170101</v>
      </c>
      <c r="D5101" s="17">
        <v>22991231</v>
      </c>
      <c r="E5101" s="24" t="s">
        <v>7128</v>
      </c>
    </row>
    <row r="5102" spans="1:5" ht="26" x14ac:dyDescent="0.3">
      <c r="A5102" s="17" t="str">
        <f>"97170"</f>
        <v>97170</v>
      </c>
      <c r="B5102" s="5" t="s">
        <v>5254</v>
      </c>
      <c r="C5102" s="17">
        <v>20170101</v>
      </c>
      <c r="D5102" s="17">
        <v>22991231</v>
      </c>
      <c r="E5102" s="24" t="s">
        <v>7128</v>
      </c>
    </row>
    <row r="5103" spans="1:5" ht="26" x14ac:dyDescent="0.3">
      <c r="A5103" s="17" t="str">
        <f>"97171"</f>
        <v>97171</v>
      </c>
      <c r="B5103" s="5" t="s">
        <v>5255</v>
      </c>
      <c r="C5103" s="17">
        <v>20170101</v>
      </c>
      <c r="D5103" s="17">
        <v>22991231</v>
      </c>
      <c r="E5103" s="24" t="s">
        <v>7128</v>
      </c>
    </row>
    <row r="5104" spans="1:5" ht="26" x14ac:dyDescent="0.3">
      <c r="A5104" s="17" t="str">
        <f>"97172"</f>
        <v>97172</v>
      </c>
      <c r="B5104" s="5" t="s">
        <v>5256</v>
      </c>
      <c r="C5104" s="17">
        <v>20170101</v>
      </c>
      <c r="D5104" s="17">
        <v>22991231</v>
      </c>
      <c r="E5104" s="24" t="s">
        <v>7128</v>
      </c>
    </row>
    <row r="5105" spans="1:5" x14ac:dyDescent="0.3">
      <c r="A5105" s="17" t="str">
        <f>"97602"</f>
        <v>97602</v>
      </c>
      <c r="B5105" s="5" t="s">
        <v>5257</v>
      </c>
      <c r="C5105" s="17">
        <v>20070105</v>
      </c>
      <c r="D5105" s="17">
        <v>22991231</v>
      </c>
      <c r="E5105" s="24" t="s">
        <v>7128</v>
      </c>
    </row>
    <row r="5106" spans="1:5" ht="39" x14ac:dyDescent="0.3">
      <c r="A5106" s="17" t="str">
        <f>"97763"</f>
        <v>97763</v>
      </c>
      <c r="B5106" s="5" t="s">
        <v>5258</v>
      </c>
      <c r="C5106" s="17">
        <v>20180101</v>
      </c>
      <c r="D5106" s="17">
        <v>22991231</v>
      </c>
      <c r="E5106" s="24" t="s">
        <v>7128</v>
      </c>
    </row>
    <row r="5107" spans="1:5" ht="26" x14ac:dyDescent="0.3">
      <c r="A5107" s="17" t="str">
        <f>"98940"</f>
        <v>98940</v>
      </c>
      <c r="B5107" s="5" t="s">
        <v>5259</v>
      </c>
      <c r="C5107" s="17">
        <v>19970101</v>
      </c>
      <c r="D5107" s="17">
        <v>22991231</v>
      </c>
      <c r="E5107" s="24" t="s">
        <v>7128</v>
      </c>
    </row>
    <row r="5108" spans="1:5" ht="26" x14ac:dyDescent="0.3">
      <c r="A5108" s="17" t="str">
        <f>"98941"</f>
        <v>98941</v>
      </c>
      <c r="B5108" s="5" t="s">
        <v>5260</v>
      </c>
      <c r="C5108" s="17">
        <v>19970101</v>
      </c>
      <c r="D5108" s="17">
        <v>22991231</v>
      </c>
      <c r="E5108" s="24" t="s">
        <v>7128</v>
      </c>
    </row>
    <row r="5109" spans="1:5" ht="26" x14ac:dyDescent="0.3">
      <c r="A5109" s="17" t="str">
        <f>"98942"</f>
        <v>98942</v>
      </c>
      <c r="B5109" s="5" t="s">
        <v>5261</v>
      </c>
      <c r="C5109" s="17">
        <v>19970101</v>
      </c>
      <c r="D5109" s="17">
        <v>22991231</v>
      </c>
      <c r="E5109" s="24" t="s">
        <v>7128</v>
      </c>
    </row>
    <row r="5110" spans="1:5" ht="26" x14ac:dyDescent="0.3">
      <c r="A5110" s="17" t="str">
        <f>"98943"</f>
        <v>98943</v>
      </c>
      <c r="B5110" s="5" t="s">
        <v>5262</v>
      </c>
      <c r="C5110" s="17">
        <v>19970101</v>
      </c>
      <c r="D5110" s="17">
        <v>22991231</v>
      </c>
      <c r="E5110" s="24" t="s">
        <v>7128</v>
      </c>
    </row>
    <row r="5111" spans="1:5" ht="52" x14ac:dyDescent="0.3">
      <c r="A5111" s="17" t="str">
        <f>"99151"</f>
        <v>99151</v>
      </c>
      <c r="B5111" s="5" t="s">
        <v>5263</v>
      </c>
      <c r="C5111" s="17">
        <v>20170101</v>
      </c>
      <c r="D5111" s="17">
        <v>22991231</v>
      </c>
      <c r="E5111" s="24" t="s">
        <v>7128</v>
      </c>
    </row>
    <row r="5112" spans="1:5" ht="39" x14ac:dyDescent="0.3">
      <c r="A5112" s="17" t="str">
        <f>"99152"</f>
        <v>99152</v>
      </c>
      <c r="B5112" s="5" t="s">
        <v>5264</v>
      </c>
      <c r="C5112" s="17">
        <v>20170101</v>
      </c>
      <c r="D5112" s="17">
        <v>22991231</v>
      </c>
      <c r="E5112" s="24" t="s">
        <v>7128</v>
      </c>
    </row>
    <row r="5113" spans="1:5" ht="39" x14ac:dyDescent="0.3">
      <c r="A5113" s="17" t="str">
        <f>"99153"</f>
        <v>99153</v>
      </c>
      <c r="B5113" s="5" t="s">
        <v>5265</v>
      </c>
      <c r="C5113" s="17">
        <v>20170101</v>
      </c>
      <c r="D5113" s="17">
        <v>22991231</v>
      </c>
      <c r="E5113" s="24" t="s">
        <v>7128</v>
      </c>
    </row>
    <row r="5114" spans="1:5" ht="52" x14ac:dyDescent="0.3">
      <c r="A5114" s="17" t="str">
        <f>"99155"</f>
        <v>99155</v>
      </c>
      <c r="B5114" s="5" t="s">
        <v>5266</v>
      </c>
      <c r="C5114" s="17">
        <v>20170101</v>
      </c>
      <c r="D5114" s="17">
        <v>22991231</v>
      </c>
      <c r="E5114" s="24" t="s">
        <v>7128</v>
      </c>
    </row>
    <row r="5115" spans="1:5" ht="39" x14ac:dyDescent="0.3">
      <c r="A5115" s="17" t="str">
        <f>"99156"</f>
        <v>99156</v>
      </c>
      <c r="B5115" s="5" t="s">
        <v>5267</v>
      </c>
      <c r="C5115" s="17">
        <v>20170101</v>
      </c>
      <c r="D5115" s="17">
        <v>22991231</v>
      </c>
      <c r="E5115" s="24" t="s">
        <v>7128</v>
      </c>
    </row>
    <row r="5116" spans="1:5" ht="39" x14ac:dyDescent="0.3">
      <c r="A5116" s="17" t="str">
        <f>"99157"</f>
        <v>99157</v>
      </c>
      <c r="B5116" s="5" t="s">
        <v>5268</v>
      </c>
      <c r="C5116" s="17">
        <v>20170101</v>
      </c>
      <c r="D5116" s="17">
        <v>22991231</v>
      </c>
      <c r="E5116" s="24" t="s">
        <v>7128</v>
      </c>
    </row>
    <row r="5117" spans="1:5" ht="26" x14ac:dyDescent="0.3">
      <c r="A5117" s="17" t="str">
        <f>"99170"</f>
        <v>99170</v>
      </c>
      <c r="B5117" s="5" t="s">
        <v>5269</v>
      </c>
      <c r="C5117" s="17">
        <v>20000101</v>
      </c>
      <c r="D5117" s="17">
        <v>22991231</v>
      </c>
      <c r="E5117" s="24" t="s">
        <v>7128</v>
      </c>
    </row>
    <row r="5118" spans="1:5" ht="26" x14ac:dyDescent="0.3">
      <c r="A5118" s="17" t="str">
        <f>"99174"</f>
        <v>99174</v>
      </c>
      <c r="B5118" s="5" t="s">
        <v>5270</v>
      </c>
      <c r="C5118" s="17">
        <v>20080101</v>
      </c>
      <c r="D5118" s="17">
        <v>22991231</v>
      </c>
      <c r="E5118" s="24" t="s">
        <v>7128</v>
      </c>
    </row>
    <row r="5119" spans="1:5" ht="26" x14ac:dyDescent="0.3">
      <c r="A5119" s="17" t="str">
        <f>"99401"</f>
        <v>99401</v>
      </c>
      <c r="B5119" s="5" t="s">
        <v>5271</v>
      </c>
      <c r="C5119" s="17">
        <v>20220101</v>
      </c>
      <c r="D5119" s="17">
        <v>22991231</v>
      </c>
      <c r="E5119" s="24" t="s">
        <v>7128</v>
      </c>
    </row>
    <row r="5120" spans="1:5" ht="26" x14ac:dyDescent="0.3">
      <c r="A5120" s="17" t="str">
        <f>"99406"</f>
        <v>99406</v>
      </c>
      <c r="B5120" s="5" t="s">
        <v>5272</v>
      </c>
      <c r="C5120" s="17">
        <v>20080101</v>
      </c>
      <c r="D5120" s="17">
        <v>22991231</v>
      </c>
      <c r="E5120" s="24" t="s">
        <v>7128</v>
      </c>
    </row>
    <row r="5121" spans="1:5" ht="26" x14ac:dyDescent="0.3">
      <c r="A5121" s="17" t="str">
        <f>"99407"</f>
        <v>99407</v>
      </c>
      <c r="B5121" s="5" t="s">
        <v>5273</v>
      </c>
      <c r="C5121" s="17">
        <v>20080101</v>
      </c>
      <c r="D5121" s="17">
        <v>22991231</v>
      </c>
      <c r="E5121" s="24" t="s">
        <v>7128</v>
      </c>
    </row>
    <row r="5122" spans="1:5" ht="39" x14ac:dyDescent="0.3">
      <c r="A5122" s="17" t="str">
        <f>"99421"</f>
        <v>99421</v>
      </c>
      <c r="B5122" s="5" t="s">
        <v>5274</v>
      </c>
      <c r="C5122" s="17">
        <v>20200101</v>
      </c>
      <c r="D5122" s="17">
        <v>22991231</v>
      </c>
      <c r="E5122" s="24" t="s">
        <v>7128</v>
      </c>
    </row>
    <row r="5123" spans="1:5" ht="39" x14ac:dyDescent="0.3">
      <c r="A5123" s="17" t="str">
        <f>"99422"</f>
        <v>99422</v>
      </c>
      <c r="B5123" s="5" t="s">
        <v>5275</v>
      </c>
      <c r="C5123" s="17">
        <v>20200101</v>
      </c>
      <c r="D5123" s="17">
        <v>22991231</v>
      </c>
      <c r="E5123" s="24" t="s">
        <v>7128</v>
      </c>
    </row>
    <row r="5124" spans="1:5" ht="39" x14ac:dyDescent="0.3">
      <c r="A5124" s="17" t="str">
        <f>"99423"</f>
        <v>99423</v>
      </c>
      <c r="B5124" s="5" t="s">
        <v>5276</v>
      </c>
      <c r="C5124" s="17">
        <v>20200101</v>
      </c>
      <c r="D5124" s="17">
        <v>22991231</v>
      </c>
      <c r="E5124" s="24" t="s">
        <v>7128</v>
      </c>
    </row>
    <row r="5125" spans="1:5" ht="26" x14ac:dyDescent="0.3">
      <c r="A5125" s="17" t="str">
        <f>"99441"</f>
        <v>99441</v>
      </c>
      <c r="B5125" s="5" t="s">
        <v>5277</v>
      </c>
      <c r="C5125" s="17">
        <v>20190101</v>
      </c>
      <c r="D5125" s="17">
        <v>22991231</v>
      </c>
      <c r="E5125" s="24" t="s">
        <v>7128</v>
      </c>
    </row>
    <row r="5126" spans="1:5" ht="26" x14ac:dyDescent="0.3">
      <c r="A5126" s="17" t="str">
        <f>"99442"</f>
        <v>99442</v>
      </c>
      <c r="B5126" s="5" t="s">
        <v>5278</v>
      </c>
      <c r="C5126" s="17">
        <v>20190101</v>
      </c>
      <c r="D5126" s="17">
        <v>22991231</v>
      </c>
      <c r="E5126" s="24" t="s">
        <v>7128</v>
      </c>
    </row>
    <row r="5127" spans="1:5" ht="26" x14ac:dyDescent="0.3">
      <c r="A5127" s="17" t="str">
        <f>"99443"</f>
        <v>99443</v>
      </c>
      <c r="B5127" s="5" t="s">
        <v>5279</v>
      </c>
      <c r="C5127" s="17">
        <v>20190101</v>
      </c>
      <c r="D5127" s="17">
        <v>22991231</v>
      </c>
      <c r="E5127" s="24" t="s">
        <v>7128</v>
      </c>
    </row>
    <row r="5128" spans="1:5" ht="52" x14ac:dyDescent="0.3">
      <c r="A5128" s="17" t="str">
        <f>"99446"</f>
        <v>99446</v>
      </c>
      <c r="B5128" s="5" t="s">
        <v>5280</v>
      </c>
      <c r="C5128" s="17">
        <v>20190101</v>
      </c>
      <c r="D5128" s="17">
        <v>22991231</v>
      </c>
      <c r="E5128" s="24" t="s">
        <v>7128</v>
      </c>
    </row>
    <row r="5129" spans="1:5" ht="39" x14ac:dyDescent="0.3">
      <c r="A5129" s="17" t="str">
        <f>"99447"</f>
        <v>99447</v>
      </c>
      <c r="B5129" s="5" t="s">
        <v>5281</v>
      </c>
      <c r="C5129" s="17">
        <v>20190101</v>
      </c>
      <c r="D5129" s="17">
        <v>22991231</v>
      </c>
      <c r="E5129" s="24" t="s">
        <v>7128</v>
      </c>
    </row>
    <row r="5130" spans="1:5" ht="39" x14ac:dyDescent="0.3">
      <c r="A5130" s="17" t="str">
        <f>"99448"</f>
        <v>99448</v>
      </c>
      <c r="B5130" s="5" t="s">
        <v>5282</v>
      </c>
      <c r="C5130" s="17">
        <v>20190101</v>
      </c>
      <c r="D5130" s="17">
        <v>22991231</v>
      </c>
      <c r="E5130" s="24" t="s">
        <v>7128</v>
      </c>
    </row>
    <row r="5131" spans="1:5" ht="39" x14ac:dyDescent="0.3">
      <c r="A5131" s="17" t="str">
        <f>"99449"</f>
        <v>99449</v>
      </c>
      <c r="B5131" s="5" t="s">
        <v>5283</v>
      </c>
      <c r="C5131" s="17">
        <v>20190101</v>
      </c>
      <c r="D5131" s="17">
        <v>22991231</v>
      </c>
      <c r="E5131" s="24" t="s">
        <v>7128</v>
      </c>
    </row>
    <row r="5132" spans="1:5" ht="39" x14ac:dyDescent="0.3">
      <c r="A5132" s="17" t="str">
        <f>"99451"</f>
        <v>99451</v>
      </c>
      <c r="B5132" s="5" t="s">
        <v>5284</v>
      </c>
      <c r="C5132" s="17">
        <v>20190101</v>
      </c>
      <c r="D5132" s="17">
        <v>22991231</v>
      </c>
      <c r="E5132" s="24" t="s">
        <v>7128</v>
      </c>
    </row>
    <row r="5133" spans="1:5" ht="26" x14ac:dyDescent="0.3">
      <c r="A5133" s="17" t="str">
        <f>"99452"</f>
        <v>99452</v>
      </c>
      <c r="B5133" s="5" t="s">
        <v>5285</v>
      </c>
      <c r="C5133" s="17">
        <v>20190101</v>
      </c>
      <c r="D5133" s="17">
        <v>22991231</v>
      </c>
      <c r="E5133" s="24" t="s">
        <v>7128</v>
      </c>
    </row>
    <row r="5134" spans="1:5" ht="39" x14ac:dyDescent="0.3">
      <c r="A5134" s="17" t="str">
        <f>"99453"</f>
        <v>99453</v>
      </c>
      <c r="B5134" s="5" t="s">
        <v>5286</v>
      </c>
      <c r="C5134" s="17">
        <v>20190101</v>
      </c>
      <c r="D5134" s="17">
        <v>22991231</v>
      </c>
      <c r="E5134" s="24" t="s">
        <v>7128</v>
      </c>
    </row>
    <row r="5135" spans="1:5" ht="39" x14ac:dyDescent="0.3">
      <c r="A5135" s="17" t="str">
        <f>"99454"</f>
        <v>99454</v>
      </c>
      <c r="B5135" s="5" t="s">
        <v>5287</v>
      </c>
      <c r="C5135" s="17">
        <v>20190101</v>
      </c>
      <c r="D5135" s="17">
        <v>22991231</v>
      </c>
      <c r="E5135" s="24" t="s">
        <v>7128</v>
      </c>
    </row>
    <row r="5136" spans="1:5" ht="39" x14ac:dyDescent="0.3">
      <c r="A5136" s="17" t="str">
        <f>"99457"</f>
        <v>99457</v>
      </c>
      <c r="B5136" s="5" t="s">
        <v>5288</v>
      </c>
      <c r="C5136" s="17">
        <v>20190101</v>
      </c>
      <c r="D5136" s="17">
        <v>22991231</v>
      </c>
      <c r="E5136" s="24" t="s">
        <v>7128</v>
      </c>
    </row>
    <row r="5137" spans="1:5" ht="39" x14ac:dyDescent="0.3">
      <c r="A5137" s="17" t="str">
        <f>"99458"</f>
        <v>99458</v>
      </c>
      <c r="B5137" s="5" t="s">
        <v>5289</v>
      </c>
      <c r="C5137" s="17">
        <v>20200101</v>
      </c>
      <c r="D5137" s="17">
        <v>22991231</v>
      </c>
      <c r="E5137" s="24" t="s">
        <v>7128</v>
      </c>
    </row>
    <row r="5138" spans="1:5" ht="26" x14ac:dyDescent="0.3">
      <c r="A5138" s="17" t="str">
        <f>"99473"</f>
        <v>99473</v>
      </c>
      <c r="B5138" s="5" t="s">
        <v>5290</v>
      </c>
      <c r="C5138" s="17">
        <v>20200101</v>
      </c>
      <c r="D5138" s="17">
        <v>22991231</v>
      </c>
      <c r="E5138" s="24" t="s">
        <v>7128</v>
      </c>
    </row>
    <row r="5139" spans="1:5" x14ac:dyDescent="0.3">
      <c r="A5139" s="17" t="str">
        <f>"99474"</f>
        <v>99474</v>
      </c>
      <c r="B5139" s="5" t="s">
        <v>5291</v>
      </c>
      <c r="C5139" s="17">
        <v>20200101</v>
      </c>
      <c r="D5139" s="17">
        <v>22991231</v>
      </c>
      <c r="E5139" s="24" t="s">
        <v>7128</v>
      </c>
    </row>
    <row r="5140" spans="1:5" ht="26" x14ac:dyDescent="0.3">
      <c r="A5140" s="17" t="str">
        <f>"99483"</f>
        <v>99483</v>
      </c>
      <c r="B5140" s="5" t="s">
        <v>5292</v>
      </c>
      <c r="C5140" s="17">
        <v>20180101</v>
      </c>
      <c r="D5140" s="17">
        <v>22991231</v>
      </c>
      <c r="E5140" s="24" t="s">
        <v>7128</v>
      </c>
    </row>
    <row r="5141" spans="1:5" ht="39" x14ac:dyDescent="0.3">
      <c r="A5141" s="17" t="str">
        <f>"99484"</f>
        <v>99484</v>
      </c>
      <c r="B5141" s="5" t="s">
        <v>5293</v>
      </c>
      <c r="C5141" s="17">
        <v>20180101</v>
      </c>
      <c r="D5141" s="17">
        <v>22991231</v>
      </c>
      <c r="E5141" s="24" t="s">
        <v>7128</v>
      </c>
    </row>
    <row r="5142" spans="1:5" ht="39" x14ac:dyDescent="0.3">
      <c r="A5142" s="17" t="str">
        <f>"99492"</f>
        <v>99492</v>
      </c>
      <c r="B5142" s="5" t="s">
        <v>5294</v>
      </c>
      <c r="C5142" s="17">
        <v>20180101</v>
      </c>
      <c r="D5142" s="17">
        <v>22991231</v>
      </c>
      <c r="E5142" s="24" t="s">
        <v>7128</v>
      </c>
    </row>
    <row r="5143" spans="1:5" ht="39" x14ac:dyDescent="0.3">
      <c r="A5143" s="17" t="str">
        <f>"99493"</f>
        <v>99493</v>
      </c>
      <c r="B5143" s="5" t="s">
        <v>5295</v>
      </c>
      <c r="C5143" s="17">
        <v>20180101</v>
      </c>
      <c r="D5143" s="17">
        <v>22991231</v>
      </c>
      <c r="E5143" s="24" t="s">
        <v>7128</v>
      </c>
    </row>
    <row r="5144" spans="1:5" ht="26" x14ac:dyDescent="0.3">
      <c r="A5144" s="17" t="str">
        <f>"99494"</f>
        <v>99494</v>
      </c>
      <c r="B5144" s="5" t="s">
        <v>5296</v>
      </c>
      <c r="C5144" s="17">
        <v>20180101</v>
      </c>
      <c r="D5144" s="17">
        <v>22991231</v>
      </c>
      <c r="E5144" s="24" t="s">
        <v>7128</v>
      </c>
    </row>
    <row r="5145" spans="1:5" ht="39" x14ac:dyDescent="0.3">
      <c r="A5145" s="17" t="str">
        <f>"0054T"</f>
        <v>0054T</v>
      </c>
      <c r="B5145" s="5" t="s">
        <v>73</v>
      </c>
      <c r="C5145" s="17">
        <v>20090101</v>
      </c>
      <c r="D5145" s="17">
        <v>22991231</v>
      </c>
      <c r="E5145" s="24" t="s">
        <v>7128</v>
      </c>
    </row>
    <row r="5146" spans="1:5" ht="26" x14ac:dyDescent="0.3">
      <c r="A5146" s="17" t="str">
        <f>"0055T"</f>
        <v>0055T</v>
      </c>
      <c r="B5146" s="5" t="s">
        <v>74</v>
      </c>
      <c r="C5146" s="17">
        <v>20090101</v>
      </c>
      <c r="D5146" s="17">
        <v>22991231</v>
      </c>
      <c r="E5146" s="24" t="s">
        <v>7128</v>
      </c>
    </row>
    <row r="5147" spans="1:5" ht="26" x14ac:dyDescent="0.3">
      <c r="A5147" s="17" t="str">
        <f>"0101T"</f>
        <v>0101T</v>
      </c>
      <c r="B5147" s="5" t="s">
        <v>124</v>
      </c>
      <c r="C5147" s="17">
        <v>20230101</v>
      </c>
      <c r="D5147" s="17">
        <v>22991231</v>
      </c>
      <c r="E5147" s="25">
        <v>116.84</v>
      </c>
    </row>
    <row r="5148" spans="1:5" ht="39" x14ac:dyDescent="0.3">
      <c r="A5148" s="17" t="str">
        <f>"0102T"</f>
        <v>0102T</v>
      </c>
      <c r="B5148" s="5" t="s">
        <v>125</v>
      </c>
      <c r="C5148" s="17">
        <v>20230101</v>
      </c>
      <c r="D5148" s="17">
        <v>22991231</v>
      </c>
      <c r="E5148" s="25">
        <v>1450.8</v>
      </c>
    </row>
    <row r="5149" spans="1:5" ht="26" x14ac:dyDescent="0.3">
      <c r="A5149" s="17" t="str">
        <f>"0200T"</f>
        <v>0200T</v>
      </c>
      <c r="B5149" s="5" t="s">
        <v>199</v>
      </c>
      <c r="C5149" s="17">
        <v>20230101</v>
      </c>
      <c r="D5149" s="17">
        <v>22991231</v>
      </c>
      <c r="E5149" s="25">
        <v>4179.82</v>
      </c>
    </row>
    <row r="5150" spans="1:5" ht="39" x14ac:dyDescent="0.3">
      <c r="A5150" s="17" t="str">
        <f>"0201T"</f>
        <v>0201T</v>
      </c>
      <c r="B5150" s="5" t="s">
        <v>200</v>
      </c>
      <c r="C5150" s="17">
        <v>20230101</v>
      </c>
      <c r="D5150" s="17">
        <v>22991231</v>
      </c>
      <c r="E5150" s="25">
        <v>3240.75</v>
      </c>
    </row>
    <row r="5151" spans="1:5" ht="26" x14ac:dyDescent="0.3">
      <c r="A5151" s="17" t="str">
        <f>"0213T"</f>
        <v>0213T</v>
      </c>
      <c r="B5151" s="5" t="s">
        <v>201</v>
      </c>
      <c r="C5151" s="17">
        <v>20230101</v>
      </c>
      <c r="D5151" s="17">
        <v>22991231</v>
      </c>
      <c r="E5151" s="25">
        <v>451.6</v>
      </c>
    </row>
    <row r="5152" spans="1:5" ht="26" x14ac:dyDescent="0.3">
      <c r="A5152" s="17" t="str">
        <f>"0214T"</f>
        <v>0214T</v>
      </c>
      <c r="B5152" s="5" t="s">
        <v>202</v>
      </c>
      <c r="C5152" s="17">
        <v>20230101</v>
      </c>
      <c r="D5152" s="17">
        <v>22991231</v>
      </c>
      <c r="E5152" s="25">
        <v>0</v>
      </c>
    </row>
    <row r="5153" spans="1:5" ht="26" x14ac:dyDescent="0.3">
      <c r="A5153" s="17" t="str">
        <f>"0215T"</f>
        <v>0215T</v>
      </c>
      <c r="B5153" s="5" t="s">
        <v>203</v>
      </c>
      <c r="C5153" s="17">
        <v>20230101</v>
      </c>
      <c r="D5153" s="17">
        <v>22991231</v>
      </c>
      <c r="E5153" s="25">
        <v>0</v>
      </c>
    </row>
    <row r="5154" spans="1:5" ht="26" x14ac:dyDescent="0.3">
      <c r="A5154" s="17" t="str">
        <f>"0216T"</f>
        <v>0216T</v>
      </c>
      <c r="B5154" s="5" t="s">
        <v>204</v>
      </c>
      <c r="C5154" s="17">
        <v>20230101</v>
      </c>
      <c r="D5154" s="17">
        <v>22991231</v>
      </c>
      <c r="E5154" s="25">
        <v>451.6</v>
      </c>
    </row>
    <row r="5155" spans="1:5" ht="26" x14ac:dyDescent="0.3">
      <c r="A5155" s="17" t="str">
        <f>"0217T"</f>
        <v>0217T</v>
      </c>
      <c r="B5155" s="5" t="s">
        <v>205</v>
      </c>
      <c r="C5155" s="17">
        <v>20230101</v>
      </c>
      <c r="D5155" s="17">
        <v>22991231</v>
      </c>
      <c r="E5155" s="25">
        <v>0</v>
      </c>
    </row>
    <row r="5156" spans="1:5" ht="26" x14ac:dyDescent="0.3">
      <c r="A5156" s="17" t="str">
        <f>"0218T"</f>
        <v>0218T</v>
      </c>
      <c r="B5156" s="5" t="s">
        <v>206</v>
      </c>
      <c r="C5156" s="17">
        <v>20230101</v>
      </c>
      <c r="D5156" s="17">
        <v>22991231</v>
      </c>
      <c r="E5156" s="25">
        <v>0</v>
      </c>
    </row>
    <row r="5157" spans="1:5" ht="26" x14ac:dyDescent="0.3">
      <c r="A5157" s="17" t="str">
        <f>"0232T"</f>
        <v>0232T</v>
      </c>
      <c r="B5157" s="5" t="s">
        <v>207</v>
      </c>
      <c r="C5157" s="17">
        <v>20230101</v>
      </c>
      <c r="D5157" s="17">
        <v>22991231</v>
      </c>
      <c r="E5157" s="25">
        <v>0</v>
      </c>
    </row>
    <row r="5158" spans="1:5" ht="52" x14ac:dyDescent="0.3">
      <c r="A5158" s="17" t="str">
        <f>"0238T"</f>
        <v>0238T</v>
      </c>
      <c r="B5158" s="5" t="s">
        <v>208</v>
      </c>
      <c r="C5158" s="17">
        <v>20230101</v>
      </c>
      <c r="D5158" s="17">
        <v>22991231</v>
      </c>
      <c r="E5158" s="25">
        <v>9461.34</v>
      </c>
    </row>
    <row r="5159" spans="1:5" ht="26" x14ac:dyDescent="0.3">
      <c r="A5159" s="17" t="str">
        <f>"0253T"</f>
        <v>0253T</v>
      </c>
      <c r="B5159" s="5" t="s">
        <v>209</v>
      </c>
      <c r="C5159" s="17">
        <v>20230101</v>
      </c>
      <c r="D5159" s="17">
        <v>22991231</v>
      </c>
      <c r="E5159" s="25">
        <v>2729.03</v>
      </c>
    </row>
    <row r="5160" spans="1:5" ht="39" x14ac:dyDescent="0.3">
      <c r="A5160" s="17" t="str">
        <f>"0263T"</f>
        <v>0263T</v>
      </c>
      <c r="B5160" s="5" t="s">
        <v>210</v>
      </c>
      <c r="C5160" s="17">
        <v>20230101</v>
      </c>
      <c r="D5160" s="17">
        <v>22991231</v>
      </c>
      <c r="E5160" s="25">
        <v>2292.94</v>
      </c>
    </row>
    <row r="5161" spans="1:5" ht="26" x14ac:dyDescent="0.3">
      <c r="A5161" s="17" t="str">
        <f>"0264T"</f>
        <v>0264T</v>
      </c>
      <c r="B5161" s="5" t="s">
        <v>211</v>
      </c>
      <c r="C5161" s="17">
        <v>20230101</v>
      </c>
      <c r="D5161" s="17">
        <v>22991231</v>
      </c>
      <c r="E5161" s="25">
        <v>2292.94</v>
      </c>
    </row>
    <row r="5162" spans="1:5" ht="26" x14ac:dyDescent="0.3">
      <c r="A5162" s="17" t="str">
        <f>"0265T"</f>
        <v>0265T</v>
      </c>
      <c r="B5162" s="5" t="s">
        <v>212</v>
      </c>
      <c r="C5162" s="17">
        <v>20230101</v>
      </c>
      <c r="D5162" s="17">
        <v>22991231</v>
      </c>
      <c r="E5162" s="25">
        <v>2292.94</v>
      </c>
    </row>
    <row r="5163" spans="1:5" ht="26" x14ac:dyDescent="0.3">
      <c r="A5163" s="17" t="str">
        <f>"0266T"</f>
        <v>0266T</v>
      </c>
      <c r="B5163" s="5" t="s">
        <v>213</v>
      </c>
      <c r="C5163" s="17">
        <v>20230101</v>
      </c>
      <c r="D5163" s="17">
        <v>22991231</v>
      </c>
      <c r="E5163" s="25">
        <v>40679.49</v>
      </c>
    </row>
    <row r="5164" spans="1:5" ht="26" x14ac:dyDescent="0.3">
      <c r="A5164" s="17" t="str">
        <f>"0268T"</f>
        <v>0268T</v>
      </c>
      <c r="B5164" s="5" t="s">
        <v>214</v>
      </c>
      <c r="C5164" s="17">
        <v>20230101</v>
      </c>
      <c r="D5164" s="17">
        <v>22991231</v>
      </c>
      <c r="E5164" s="25">
        <v>25105.41</v>
      </c>
    </row>
    <row r="5165" spans="1:5" ht="26" x14ac:dyDescent="0.3">
      <c r="A5165" s="17" t="str">
        <f>"0269T"</f>
        <v>0269T</v>
      </c>
      <c r="B5165" s="5" t="s">
        <v>215</v>
      </c>
      <c r="C5165" s="17">
        <v>20230101</v>
      </c>
      <c r="D5165" s="17">
        <v>22991231</v>
      </c>
      <c r="E5165" s="25">
        <v>2877.66</v>
      </c>
    </row>
    <row r="5166" spans="1:5" ht="26" x14ac:dyDescent="0.3">
      <c r="A5166" s="17" t="str">
        <f>"0270T"</f>
        <v>0270T</v>
      </c>
      <c r="B5166" s="5" t="s">
        <v>216</v>
      </c>
      <c r="C5166" s="17">
        <v>20230101</v>
      </c>
      <c r="D5166" s="17">
        <v>22991231</v>
      </c>
      <c r="E5166" s="25">
        <v>1813.03</v>
      </c>
    </row>
    <row r="5167" spans="1:5" ht="26" x14ac:dyDescent="0.3">
      <c r="A5167" s="17" t="str">
        <f>"0271T"</f>
        <v>0271T</v>
      </c>
      <c r="B5167" s="5" t="s">
        <v>217</v>
      </c>
      <c r="C5167" s="17">
        <v>20230101</v>
      </c>
      <c r="D5167" s="17">
        <v>22991231</v>
      </c>
      <c r="E5167" s="25">
        <v>1813.03</v>
      </c>
    </row>
    <row r="5168" spans="1:5" ht="39" x14ac:dyDescent="0.3">
      <c r="A5168" s="17" t="str">
        <f>"0274T"</f>
        <v>0274T</v>
      </c>
      <c r="B5168" s="5" t="s">
        <v>218</v>
      </c>
      <c r="C5168" s="17">
        <v>20230101</v>
      </c>
      <c r="D5168" s="17">
        <v>22991231</v>
      </c>
      <c r="E5168" s="25">
        <v>3240.75</v>
      </c>
    </row>
    <row r="5169" spans="1:5" ht="39" x14ac:dyDescent="0.3">
      <c r="A5169" s="17" t="str">
        <f>"0275T"</f>
        <v>0275T</v>
      </c>
      <c r="B5169" s="5" t="s">
        <v>219</v>
      </c>
      <c r="C5169" s="17">
        <v>20230101</v>
      </c>
      <c r="D5169" s="17">
        <v>22991231</v>
      </c>
      <c r="E5169" s="25">
        <v>4833.3599999999997</v>
      </c>
    </row>
    <row r="5170" spans="1:5" ht="26" x14ac:dyDescent="0.3">
      <c r="A5170" s="17" t="str">
        <f>"0278T"</f>
        <v>0278T</v>
      </c>
      <c r="B5170" s="5" t="s">
        <v>220</v>
      </c>
      <c r="C5170" s="17">
        <v>20230101</v>
      </c>
      <c r="D5170" s="17">
        <v>22991231</v>
      </c>
      <c r="E5170" s="25">
        <v>0</v>
      </c>
    </row>
    <row r="5171" spans="1:5" ht="26" x14ac:dyDescent="0.3">
      <c r="A5171" s="17" t="str">
        <f>"0308T"</f>
        <v>0308T</v>
      </c>
      <c r="B5171" s="5" t="s">
        <v>221</v>
      </c>
      <c r="C5171" s="17">
        <v>20230101</v>
      </c>
      <c r="D5171" s="17">
        <v>22991231</v>
      </c>
      <c r="E5171" s="25">
        <v>13608.68</v>
      </c>
    </row>
    <row r="5172" spans="1:5" x14ac:dyDescent="0.3">
      <c r="A5172" s="17" t="str">
        <f>"0330T"</f>
        <v>0330T</v>
      </c>
      <c r="B5172" s="5" t="s">
        <v>222</v>
      </c>
      <c r="C5172" s="17">
        <v>20230101</v>
      </c>
      <c r="D5172" s="17">
        <v>22991231</v>
      </c>
      <c r="E5172" s="25">
        <v>0</v>
      </c>
    </row>
    <row r="5173" spans="1:5" x14ac:dyDescent="0.3">
      <c r="A5173" s="17" t="str">
        <f>"0331T"</f>
        <v>0331T</v>
      </c>
      <c r="B5173" s="5" t="s">
        <v>223</v>
      </c>
      <c r="C5173" s="17">
        <v>20230101</v>
      </c>
      <c r="D5173" s="17">
        <v>22991231</v>
      </c>
      <c r="E5173" s="25">
        <v>703.54</v>
      </c>
    </row>
    <row r="5174" spans="1:5" x14ac:dyDescent="0.3">
      <c r="A5174" s="17" t="str">
        <f>"0332T"</f>
        <v>0332T</v>
      </c>
      <c r="B5174" s="5" t="s">
        <v>224</v>
      </c>
      <c r="C5174" s="17">
        <v>20230101</v>
      </c>
      <c r="D5174" s="17">
        <v>22991231</v>
      </c>
      <c r="E5174" s="25">
        <v>703.54</v>
      </c>
    </row>
    <row r="5175" spans="1:5" ht="26" x14ac:dyDescent="0.3">
      <c r="A5175" s="17" t="str">
        <f>"0335T"</f>
        <v>0335T</v>
      </c>
      <c r="B5175" s="5" t="s">
        <v>225</v>
      </c>
      <c r="C5175" s="17">
        <v>20230101</v>
      </c>
      <c r="D5175" s="17">
        <v>22991231</v>
      </c>
      <c r="E5175" s="25">
        <v>4327.07</v>
      </c>
    </row>
    <row r="5176" spans="1:5" ht="39" x14ac:dyDescent="0.3">
      <c r="A5176" s="17" t="str">
        <f>"0338T"</f>
        <v>0338T</v>
      </c>
      <c r="B5176" s="5" t="s">
        <v>226</v>
      </c>
      <c r="C5176" s="17">
        <v>20230101</v>
      </c>
      <c r="D5176" s="17">
        <v>22991231</v>
      </c>
      <c r="E5176" s="25">
        <v>2412.7800000000002</v>
      </c>
    </row>
    <row r="5177" spans="1:5" ht="39" x14ac:dyDescent="0.3">
      <c r="A5177" s="17" t="str">
        <f>"0339T"</f>
        <v>0339T</v>
      </c>
      <c r="B5177" s="5" t="s">
        <v>227</v>
      </c>
      <c r="C5177" s="17">
        <v>20230101</v>
      </c>
      <c r="D5177" s="17">
        <v>22991231</v>
      </c>
      <c r="E5177" s="25">
        <v>3659.27</v>
      </c>
    </row>
    <row r="5178" spans="1:5" ht="26" x14ac:dyDescent="0.3">
      <c r="A5178" s="17" t="str">
        <f>"0342T"</f>
        <v>0342T</v>
      </c>
      <c r="B5178" s="5" t="s">
        <v>228</v>
      </c>
      <c r="C5178" s="17">
        <v>20230101</v>
      </c>
      <c r="D5178" s="17">
        <v>22991231</v>
      </c>
      <c r="E5178" s="25">
        <v>2292.94</v>
      </c>
    </row>
    <row r="5179" spans="1:5" ht="39" x14ac:dyDescent="0.3">
      <c r="A5179" s="17" t="str">
        <f>"0347T"</f>
        <v>0347T</v>
      </c>
      <c r="B5179" s="5" t="s">
        <v>229</v>
      </c>
      <c r="C5179" s="17">
        <v>20230101</v>
      </c>
      <c r="D5179" s="17">
        <v>22991231</v>
      </c>
      <c r="E5179" s="25">
        <v>0</v>
      </c>
    </row>
    <row r="5180" spans="1:5" ht="26" x14ac:dyDescent="0.3">
      <c r="A5180" s="17" t="str">
        <f>"0348T"</f>
        <v>0348T</v>
      </c>
      <c r="B5180" s="5" t="s">
        <v>230</v>
      </c>
      <c r="C5180" s="17">
        <v>20230101</v>
      </c>
      <c r="D5180" s="17">
        <v>22991231</v>
      </c>
      <c r="E5180" s="25">
        <v>0</v>
      </c>
    </row>
    <row r="5181" spans="1:5" ht="26" x14ac:dyDescent="0.3">
      <c r="A5181" s="17" t="str">
        <f>"0349T"</f>
        <v>0349T</v>
      </c>
      <c r="B5181" s="5" t="s">
        <v>231</v>
      </c>
      <c r="C5181" s="17">
        <v>20230101</v>
      </c>
      <c r="D5181" s="17">
        <v>22991231</v>
      </c>
      <c r="E5181" s="25">
        <v>0</v>
      </c>
    </row>
    <row r="5182" spans="1:5" ht="26" x14ac:dyDescent="0.3">
      <c r="A5182" s="17" t="str">
        <f>"0350T"</f>
        <v>0350T</v>
      </c>
      <c r="B5182" s="5" t="s">
        <v>232</v>
      </c>
      <c r="C5182" s="17">
        <v>20230101</v>
      </c>
      <c r="D5182" s="17">
        <v>22991231</v>
      </c>
      <c r="E5182" s="25">
        <v>0</v>
      </c>
    </row>
    <row r="5183" spans="1:5" ht="26" x14ac:dyDescent="0.3">
      <c r="A5183" s="17" t="str">
        <f>"0351T"</f>
        <v>0351T</v>
      </c>
      <c r="B5183" s="5" t="s">
        <v>233</v>
      </c>
      <c r="C5183" s="17">
        <v>20230101</v>
      </c>
      <c r="D5183" s="17">
        <v>22991231</v>
      </c>
      <c r="E5183" s="25">
        <v>0</v>
      </c>
    </row>
    <row r="5184" spans="1:5" x14ac:dyDescent="0.3">
      <c r="A5184" s="17" t="str">
        <f>"0353T"</f>
        <v>0353T</v>
      </c>
      <c r="B5184" s="5" t="s">
        <v>234</v>
      </c>
      <c r="C5184" s="17">
        <v>20230101</v>
      </c>
      <c r="D5184" s="17">
        <v>22991231</v>
      </c>
      <c r="E5184" s="25">
        <v>0</v>
      </c>
    </row>
    <row r="5185" spans="1:5" ht="52" x14ac:dyDescent="0.3">
      <c r="A5185" s="17" t="str">
        <f>"0379T"</f>
        <v>0379T</v>
      </c>
      <c r="B5185" s="5" t="s">
        <v>235</v>
      </c>
      <c r="C5185" s="17">
        <v>20230101</v>
      </c>
      <c r="D5185" s="17">
        <v>22991231</v>
      </c>
      <c r="E5185" s="25">
        <v>0</v>
      </c>
    </row>
    <row r="5186" spans="1:5" ht="26" x14ac:dyDescent="0.3">
      <c r="A5186" s="17" t="str">
        <f>"0394T"</f>
        <v>0394T</v>
      </c>
      <c r="B5186" s="5" t="s">
        <v>236</v>
      </c>
      <c r="C5186" s="17">
        <v>20230101</v>
      </c>
      <c r="D5186" s="17">
        <v>22991231</v>
      </c>
      <c r="E5186" s="25">
        <v>133.16</v>
      </c>
    </row>
    <row r="5187" spans="1:5" x14ac:dyDescent="0.3">
      <c r="A5187" s="17" t="str">
        <f>"0395T"</f>
        <v>0395T</v>
      </c>
      <c r="B5187" s="5" t="s">
        <v>237</v>
      </c>
      <c r="C5187" s="17">
        <v>20230101</v>
      </c>
      <c r="D5187" s="17">
        <v>22991231</v>
      </c>
      <c r="E5187" s="25">
        <v>355.24</v>
      </c>
    </row>
    <row r="5188" spans="1:5" ht="39" x14ac:dyDescent="0.3">
      <c r="A5188" s="17" t="str">
        <f>"0397T"</f>
        <v>0397T</v>
      </c>
      <c r="B5188" s="5" t="s">
        <v>238</v>
      </c>
      <c r="C5188" s="17">
        <v>20230101</v>
      </c>
      <c r="D5188" s="17">
        <v>22991231</v>
      </c>
      <c r="E5188" s="25">
        <v>0</v>
      </c>
    </row>
    <row r="5189" spans="1:5" ht="26" x14ac:dyDescent="0.3">
      <c r="A5189" s="17" t="str">
        <f>"0402T"</f>
        <v>0402T</v>
      </c>
      <c r="B5189" s="5" t="s">
        <v>239</v>
      </c>
      <c r="C5189" s="17">
        <v>20230101</v>
      </c>
      <c r="D5189" s="17">
        <v>22991231</v>
      </c>
      <c r="E5189" s="25">
        <v>934.62</v>
      </c>
    </row>
    <row r="5190" spans="1:5" ht="26" x14ac:dyDescent="0.3">
      <c r="A5190" s="17" t="str">
        <f>"0408T"</f>
        <v>0408T</v>
      </c>
      <c r="B5190" s="5" t="s">
        <v>240</v>
      </c>
      <c r="C5190" s="17">
        <v>20170101</v>
      </c>
      <c r="D5190" s="17">
        <v>22991231</v>
      </c>
      <c r="E5190" s="25">
        <v>25586.44</v>
      </c>
    </row>
    <row r="5191" spans="1:5" ht="26" x14ac:dyDescent="0.3">
      <c r="A5191" s="17" t="str">
        <f>"0409T"</f>
        <v>0409T</v>
      </c>
      <c r="B5191" s="5" t="s">
        <v>241</v>
      </c>
      <c r="C5191" s="17">
        <v>20170101</v>
      </c>
      <c r="D5191" s="17">
        <v>22991231</v>
      </c>
      <c r="E5191" s="25">
        <v>20282</v>
      </c>
    </row>
    <row r="5192" spans="1:5" ht="39" x14ac:dyDescent="0.3">
      <c r="A5192" s="17" t="str">
        <f>"0410T"</f>
        <v>0410T</v>
      </c>
      <c r="B5192" s="5" t="s">
        <v>242</v>
      </c>
      <c r="C5192" s="17">
        <v>20170101</v>
      </c>
      <c r="D5192" s="17">
        <v>22991231</v>
      </c>
      <c r="E5192" s="25">
        <v>5183.9799999999996</v>
      </c>
    </row>
    <row r="5193" spans="1:5" ht="39" x14ac:dyDescent="0.3">
      <c r="A5193" s="17" t="str">
        <f>"0411T"</f>
        <v>0411T</v>
      </c>
      <c r="B5193" s="5" t="s">
        <v>243</v>
      </c>
      <c r="C5193" s="17">
        <v>20170101</v>
      </c>
      <c r="D5193" s="17">
        <v>22991231</v>
      </c>
      <c r="E5193" s="25">
        <v>5183.9799999999996</v>
      </c>
    </row>
    <row r="5194" spans="1:5" ht="26" x14ac:dyDescent="0.3">
      <c r="A5194" s="17" t="str">
        <f>"0412T"</f>
        <v>0412T</v>
      </c>
      <c r="B5194" s="5" t="s">
        <v>244</v>
      </c>
      <c r="C5194" s="17">
        <v>20170101</v>
      </c>
      <c r="D5194" s="17">
        <v>22991231</v>
      </c>
      <c r="E5194" s="25">
        <v>1945.71</v>
      </c>
    </row>
    <row r="5195" spans="1:5" ht="26" x14ac:dyDescent="0.3">
      <c r="A5195" s="17" t="str">
        <f>"0413T"</f>
        <v>0413T</v>
      </c>
      <c r="B5195" s="5" t="s">
        <v>245</v>
      </c>
      <c r="C5195" s="17">
        <v>20170101</v>
      </c>
      <c r="D5195" s="17">
        <v>22991231</v>
      </c>
      <c r="E5195" s="25">
        <v>1945.71</v>
      </c>
    </row>
    <row r="5196" spans="1:5" ht="26" x14ac:dyDescent="0.3">
      <c r="A5196" s="17" t="str">
        <f>"0414T"</f>
        <v>0414T</v>
      </c>
      <c r="B5196" s="5" t="s">
        <v>246</v>
      </c>
      <c r="C5196" s="17">
        <v>20170101</v>
      </c>
      <c r="D5196" s="17">
        <v>22991231</v>
      </c>
      <c r="E5196" s="25">
        <v>14546.05</v>
      </c>
    </row>
    <row r="5197" spans="1:5" ht="26" x14ac:dyDescent="0.3">
      <c r="A5197" s="17" t="str">
        <f>"0415T"</f>
        <v>0415T</v>
      </c>
      <c r="B5197" s="5" t="s">
        <v>247</v>
      </c>
      <c r="C5197" s="17">
        <v>20170101</v>
      </c>
      <c r="D5197" s="17">
        <v>22991231</v>
      </c>
      <c r="E5197" s="25">
        <v>311.25</v>
      </c>
    </row>
    <row r="5198" spans="1:5" ht="26" x14ac:dyDescent="0.3">
      <c r="A5198" s="17" t="str">
        <f>"0416T"</f>
        <v>0416T</v>
      </c>
      <c r="B5198" s="5" t="s">
        <v>248</v>
      </c>
      <c r="C5198" s="17">
        <v>20170101</v>
      </c>
      <c r="D5198" s="17">
        <v>22991231</v>
      </c>
      <c r="E5198" s="25">
        <v>903.54</v>
      </c>
    </row>
    <row r="5199" spans="1:5" ht="26" x14ac:dyDescent="0.3">
      <c r="A5199" s="17" t="str">
        <f>"0417T"</f>
        <v>0417T</v>
      </c>
      <c r="B5199" s="5" t="s">
        <v>249</v>
      </c>
      <c r="C5199" s="17">
        <v>20170101</v>
      </c>
      <c r="D5199" s="17">
        <v>22991231</v>
      </c>
      <c r="E5199" s="24" t="s">
        <v>7128</v>
      </c>
    </row>
    <row r="5200" spans="1:5" ht="26" x14ac:dyDescent="0.3">
      <c r="A5200" s="17" t="str">
        <f>"0418T"</f>
        <v>0418T</v>
      </c>
      <c r="B5200" s="5" t="s">
        <v>250</v>
      </c>
      <c r="C5200" s="17">
        <v>20170101</v>
      </c>
      <c r="D5200" s="17">
        <v>22991231</v>
      </c>
      <c r="E5200" s="24" t="s">
        <v>7128</v>
      </c>
    </row>
    <row r="5201" spans="1:5" ht="26" x14ac:dyDescent="0.3">
      <c r="A5201" s="17" t="str">
        <f>"0419T"</f>
        <v>0419T</v>
      </c>
      <c r="B5201" s="5" t="s">
        <v>251</v>
      </c>
      <c r="C5201" s="17">
        <v>20170101</v>
      </c>
      <c r="D5201" s="17">
        <v>22991231</v>
      </c>
      <c r="E5201" s="25">
        <v>311.18</v>
      </c>
    </row>
    <row r="5202" spans="1:5" ht="26" x14ac:dyDescent="0.3">
      <c r="A5202" s="17" t="str">
        <f>"0420T"</f>
        <v>0420T</v>
      </c>
      <c r="B5202" s="5" t="s">
        <v>252</v>
      </c>
      <c r="C5202" s="17">
        <v>20170101</v>
      </c>
      <c r="D5202" s="17">
        <v>22991231</v>
      </c>
      <c r="E5202" s="25">
        <v>311.18</v>
      </c>
    </row>
    <row r="5203" spans="1:5" ht="26" x14ac:dyDescent="0.3">
      <c r="A5203" s="17" t="str">
        <f>"0421T"</f>
        <v>0421T</v>
      </c>
      <c r="B5203" s="5" t="s">
        <v>253</v>
      </c>
      <c r="C5203" s="17">
        <v>20170101</v>
      </c>
      <c r="D5203" s="17">
        <v>22991231</v>
      </c>
      <c r="E5203" s="25">
        <v>5924.86</v>
      </c>
    </row>
    <row r="5204" spans="1:5" x14ac:dyDescent="0.3">
      <c r="A5204" s="17" t="str">
        <f>"0422T"</f>
        <v>0422T</v>
      </c>
      <c r="B5204" s="5" t="s">
        <v>254</v>
      </c>
      <c r="C5204" s="17">
        <v>20170101</v>
      </c>
      <c r="D5204" s="17">
        <v>22991231</v>
      </c>
      <c r="E5204" s="25">
        <v>45.03</v>
      </c>
    </row>
    <row r="5205" spans="1:5" ht="26" x14ac:dyDescent="0.3">
      <c r="A5205" s="17" t="str">
        <f>"0437T"</f>
        <v>0437T</v>
      </c>
      <c r="B5205" s="5" t="s">
        <v>255</v>
      </c>
      <c r="C5205" s="17">
        <v>20170101</v>
      </c>
      <c r="D5205" s="17">
        <v>22991231</v>
      </c>
      <c r="E5205" s="25">
        <v>0</v>
      </c>
    </row>
    <row r="5206" spans="1:5" ht="39" x14ac:dyDescent="0.3">
      <c r="A5206" s="17" t="str">
        <f>"0439T"</f>
        <v>0439T</v>
      </c>
      <c r="B5206" s="5" t="s">
        <v>256</v>
      </c>
      <c r="C5206" s="17">
        <v>20170101</v>
      </c>
      <c r="D5206" s="17">
        <v>22991231</v>
      </c>
      <c r="E5206" s="25">
        <v>0</v>
      </c>
    </row>
    <row r="5207" spans="1:5" ht="26" x14ac:dyDescent="0.3">
      <c r="A5207" s="17" t="str">
        <f>"0440T"</f>
        <v>0440T</v>
      </c>
      <c r="B5207" s="5" t="s">
        <v>257</v>
      </c>
      <c r="C5207" s="17">
        <v>20170101</v>
      </c>
      <c r="D5207" s="17">
        <v>22991231</v>
      </c>
      <c r="E5207" s="25">
        <v>857.51</v>
      </c>
    </row>
    <row r="5208" spans="1:5" ht="26" x14ac:dyDescent="0.3">
      <c r="A5208" s="17" t="str">
        <f>"0441T"</f>
        <v>0441T</v>
      </c>
      <c r="B5208" s="5" t="s">
        <v>258</v>
      </c>
      <c r="C5208" s="17">
        <v>20170101</v>
      </c>
      <c r="D5208" s="17">
        <v>22991231</v>
      </c>
      <c r="E5208" s="25">
        <v>1123.6400000000001</v>
      </c>
    </row>
    <row r="5209" spans="1:5" ht="26" x14ac:dyDescent="0.3">
      <c r="A5209" s="17" t="str">
        <f>"0442T"</f>
        <v>0442T</v>
      </c>
      <c r="B5209" s="5" t="s">
        <v>259</v>
      </c>
      <c r="C5209" s="17">
        <v>20170101</v>
      </c>
      <c r="D5209" s="17">
        <v>22991231</v>
      </c>
      <c r="E5209" s="25">
        <v>4085.7</v>
      </c>
    </row>
    <row r="5210" spans="1:5" ht="26" x14ac:dyDescent="0.3">
      <c r="A5210" s="17" t="str">
        <f>"0443T"</f>
        <v>0443T</v>
      </c>
      <c r="B5210" s="5" t="s">
        <v>260</v>
      </c>
      <c r="C5210" s="17">
        <v>20170101</v>
      </c>
      <c r="D5210" s="17">
        <v>22991231</v>
      </c>
      <c r="E5210" s="25">
        <v>0</v>
      </c>
    </row>
    <row r="5211" spans="1:5" ht="26" x14ac:dyDescent="0.3">
      <c r="A5211" s="17" t="str">
        <f>"0444T"</f>
        <v>0444T</v>
      </c>
      <c r="B5211" s="5" t="s">
        <v>261</v>
      </c>
      <c r="C5211" s="17">
        <v>20170101</v>
      </c>
      <c r="D5211" s="17">
        <v>22991231</v>
      </c>
      <c r="E5211" s="25">
        <v>0</v>
      </c>
    </row>
    <row r="5212" spans="1:5" ht="26" x14ac:dyDescent="0.3">
      <c r="A5212" s="17" t="str">
        <f>"0445T"</f>
        <v>0445T</v>
      </c>
      <c r="B5212" s="5" t="s">
        <v>262</v>
      </c>
      <c r="C5212" s="17">
        <v>20170101</v>
      </c>
      <c r="D5212" s="17">
        <v>22991231</v>
      </c>
      <c r="E5212" s="25">
        <v>0</v>
      </c>
    </row>
    <row r="5213" spans="1:5" ht="26" x14ac:dyDescent="0.3">
      <c r="A5213" s="17" t="str">
        <f>"0446T"</f>
        <v>0446T</v>
      </c>
      <c r="B5213" s="5" t="s">
        <v>263</v>
      </c>
      <c r="C5213" s="17">
        <v>20170101</v>
      </c>
      <c r="D5213" s="17">
        <v>22991231</v>
      </c>
      <c r="E5213" s="25">
        <v>903.54</v>
      </c>
    </row>
    <row r="5214" spans="1:5" x14ac:dyDescent="0.3">
      <c r="A5214" s="17" t="str">
        <f>"0447T"</f>
        <v>0447T</v>
      </c>
      <c r="B5214" s="5" t="s">
        <v>264</v>
      </c>
      <c r="C5214" s="17">
        <v>20170101</v>
      </c>
      <c r="D5214" s="17">
        <v>22991231</v>
      </c>
      <c r="E5214" s="25">
        <v>99.19</v>
      </c>
    </row>
    <row r="5215" spans="1:5" ht="39" x14ac:dyDescent="0.3">
      <c r="A5215" s="17" t="str">
        <f>"0448T"</f>
        <v>0448T</v>
      </c>
      <c r="B5215" s="5" t="s">
        <v>265</v>
      </c>
      <c r="C5215" s="17">
        <v>20170101</v>
      </c>
      <c r="D5215" s="17">
        <v>22991231</v>
      </c>
      <c r="E5215" s="25">
        <v>903.54</v>
      </c>
    </row>
    <row r="5216" spans="1:5" ht="26" x14ac:dyDescent="0.3">
      <c r="A5216" s="17" t="str">
        <f>"0449T"</f>
        <v>0449T</v>
      </c>
      <c r="B5216" s="5" t="s">
        <v>266</v>
      </c>
      <c r="C5216" s="17">
        <v>20170101</v>
      </c>
      <c r="D5216" s="17">
        <v>22991231</v>
      </c>
      <c r="E5216" s="25">
        <v>3604.06</v>
      </c>
    </row>
    <row r="5217" spans="1:5" ht="26" x14ac:dyDescent="0.3">
      <c r="A5217" s="17" t="str">
        <f>"0450T"</f>
        <v>0450T</v>
      </c>
      <c r="B5217" s="5" t="s">
        <v>267</v>
      </c>
      <c r="C5217" s="17">
        <v>20170101</v>
      </c>
      <c r="D5217" s="17">
        <v>22991231</v>
      </c>
      <c r="E5217" s="25">
        <v>0</v>
      </c>
    </row>
    <row r="5218" spans="1:5" ht="39" x14ac:dyDescent="0.3">
      <c r="A5218" s="17" t="str">
        <f>"0479T"</f>
        <v>0479T</v>
      </c>
      <c r="B5218" s="5" t="s">
        <v>268</v>
      </c>
      <c r="C5218" s="17">
        <v>20230101</v>
      </c>
      <c r="D5218" s="17">
        <v>22991231</v>
      </c>
      <c r="E5218" s="25">
        <v>311.18</v>
      </c>
    </row>
    <row r="5219" spans="1:5" ht="39" x14ac:dyDescent="0.3">
      <c r="A5219" s="17" t="str">
        <f>"0480T"</f>
        <v>0480T</v>
      </c>
      <c r="B5219" s="5" t="s">
        <v>269</v>
      </c>
      <c r="C5219" s="17">
        <v>20230101</v>
      </c>
      <c r="D5219" s="17">
        <v>22991231</v>
      </c>
      <c r="E5219" s="25">
        <v>0</v>
      </c>
    </row>
    <row r="5220" spans="1:5" ht="26" x14ac:dyDescent="0.3">
      <c r="A5220" s="17" t="str">
        <f>"0510T"</f>
        <v>0510T</v>
      </c>
      <c r="B5220" s="5" t="s">
        <v>270</v>
      </c>
      <c r="C5220" s="17">
        <v>20230101</v>
      </c>
      <c r="D5220" s="17">
        <v>22991231</v>
      </c>
      <c r="E5220" s="25">
        <v>1450.8</v>
      </c>
    </row>
    <row r="5221" spans="1:5" ht="26" x14ac:dyDescent="0.3">
      <c r="A5221" s="17" t="str">
        <f>"0511T"</f>
        <v>0511T</v>
      </c>
      <c r="B5221" s="5" t="s">
        <v>271</v>
      </c>
      <c r="C5221" s="17">
        <v>20230101</v>
      </c>
      <c r="D5221" s="17">
        <v>22991231</v>
      </c>
      <c r="E5221" s="25">
        <v>4569.7700000000004</v>
      </c>
    </row>
    <row r="5222" spans="1:5" ht="26" x14ac:dyDescent="0.3">
      <c r="A5222" s="17" t="str">
        <f>"0512T"</f>
        <v>0512T</v>
      </c>
      <c r="B5222" s="5" t="s">
        <v>272</v>
      </c>
      <c r="C5222" s="17">
        <v>20230101</v>
      </c>
      <c r="D5222" s="17">
        <v>22991231</v>
      </c>
      <c r="E5222" s="25">
        <v>99.19</v>
      </c>
    </row>
    <row r="5223" spans="1:5" ht="26" x14ac:dyDescent="0.3">
      <c r="A5223" s="17" t="str">
        <f>"0513T"</f>
        <v>0513T</v>
      </c>
      <c r="B5223" s="5" t="s">
        <v>273</v>
      </c>
      <c r="C5223" s="17">
        <v>20230101</v>
      </c>
      <c r="D5223" s="17">
        <v>22991231</v>
      </c>
      <c r="E5223" s="25">
        <v>0</v>
      </c>
    </row>
    <row r="5224" spans="1:5" ht="39" x14ac:dyDescent="0.3">
      <c r="A5224" s="17" t="str">
        <f>"0523T"</f>
        <v>0523T</v>
      </c>
      <c r="B5224" s="5" t="s">
        <v>274</v>
      </c>
      <c r="C5224" s="17">
        <v>20230101</v>
      </c>
      <c r="D5224" s="17">
        <v>22991231</v>
      </c>
      <c r="E5224" s="25">
        <v>0</v>
      </c>
    </row>
    <row r="5225" spans="1:5" ht="26" x14ac:dyDescent="0.3">
      <c r="A5225" s="17" t="str">
        <f>"0524T"</f>
        <v>0524T</v>
      </c>
      <c r="B5225" s="5" t="s">
        <v>275</v>
      </c>
      <c r="C5225" s="17">
        <v>20230101</v>
      </c>
      <c r="D5225" s="17">
        <v>22991231</v>
      </c>
      <c r="E5225" s="25">
        <v>1962.82</v>
      </c>
    </row>
    <row r="5226" spans="1:5" ht="39" x14ac:dyDescent="0.3">
      <c r="A5226" s="17" t="str">
        <f>"0525T"</f>
        <v>0525T</v>
      </c>
      <c r="B5226" s="5" t="s">
        <v>276</v>
      </c>
      <c r="C5226" s="17">
        <v>20230101</v>
      </c>
      <c r="D5226" s="17">
        <v>22991231</v>
      </c>
      <c r="E5226" s="25">
        <v>6076.44</v>
      </c>
    </row>
    <row r="5227" spans="1:5" ht="52" x14ac:dyDescent="0.3">
      <c r="A5227" s="17" t="str">
        <f>"0526T"</f>
        <v>0526T</v>
      </c>
      <c r="B5227" s="5" t="s">
        <v>277</v>
      </c>
      <c r="C5227" s="17">
        <v>20230101</v>
      </c>
      <c r="D5227" s="17">
        <v>22991231</v>
      </c>
      <c r="E5227" s="25">
        <v>5183.9799999999996</v>
      </c>
    </row>
    <row r="5228" spans="1:5" ht="52" x14ac:dyDescent="0.3">
      <c r="A5228" s="17" t="str">
        <f>"0527T"</f>
        <v>0527T</v>
      </c>
      <c r="B5228" s="5" t="s">
        <v>278</v>
      </c>
      <c r="C5228" s="17">
        <v>20230101</v>
      </c>
      <c r="D5228" s="17">
        <v>22991231</v>
      </c>
      <c r="E5228" s="25">
        <v>7102.82</v>
      </c>
    </row>
    <row r="5229" spans="1:5" ht="39" x14ac:dyDescent="0.3">
      <c r="A5229" s="17" t="str">
        <f>"0530T"</f>
        <v>0530T</v>
      </c>
      <c r="B5229" s="5" t="s">
        <v>279</v>
      </c>
      <c r="C5229" s="17">
        <v>20230101</v>
      </c>
      <c r="D5229" s="17">
        <v>22991231</v>
      </c>
      <c r="E5229" s="25">
        <v>1945.71</v>
      </c>
    </row>
    <row r="5230" spans="1:5" ht="39" x14ac:dyDescent="0.3">
      <c r="A5230" s="17" t="str">
        <f>"0531T"</f>
        <v>0531T</v>
      </c>
      <c r="B5230" s="5" t="s">
        <v>280</v>
      </c>
      <c r="C5230" s="17">
        <v>20230101</v>
      </c>
      <c r="D5230" s="17">
        <v>22991231</v>
      </c>
      <c r="E5230" s="25">
        <v>1945.71</v>
      </c>
    </row>
    <row r="5231" spans="1:5" ht="39" x14ac:dyDescent="0.3">
      <c r="A5231" s="17" t="str">
        <f>"0532T"</f>
        <v>0532T</v>
      </c>
      <c r="B5231" s="5" t="s">
        <v>281</v>
      </c>
      <c r="C5231" s="17">
        <v>20230101</v>
      </c>
      <c r="D5231" s="17">
        <v>22991231</v>
      </c>
      <c r="E5231" s="25">
        <v>1945.71</v>
      </c>
    </row>
    <row r="5232" spans="1:5" ht="26" x14ac:dyDescent="0.3">
      <c r="A5232" s="17" t="str">
        <f>"0581T"</f>
        <v>0581T</v>
      </c>
      <c r="B5232" s="5" t="s">
        <v>282</v>
      </c>
      <c r="C5232" s="17">
        <v>20230101</v>
      </c>
      <c r="D5232" s="17">
        <v>22991231</v>
      </c>
      <c r="E5232" s="25">
        <v>1403.55</v>
      </c>
    </row>
    <row r="5233" spans="1:5" ht="39" x14ac:dyDescent="0.3">
      <c r="A5233" s="17" t="str">
        <f>"0583T"</f>
        <v>0583T</v>
      </c>
      <c r="B5233" s="5" t="s">
        <v>283</v>
      </c>
      <c r="C5233" s="17">
        <v>20230101</v>
      </c>
      <c r="D5233" s="17">
        <v>22991231</v>
      </c>
      <c r="E5233" s="25">
        <v>802.14</v>
      </c>
    </row>
    <row r="5234" spans="1:5" ht="39" x14ac:dyDescent="0.3">
      <c r="A5234" s="17" t="str">
        <f>"0587T"</f>
        <v>0587T</v>
      </c>
      <c r="B5234" s="5" t="s">
        <v>284</v>
      </c>
      <c r="C5234" s="17">
        <v>20230101</v>
      </c>
      <c r="D5234" s="17">
        <v>22991231</v>
      </c>
      <c r="E5234" s="25">
        <v>5795.78</v>
      </c>
    </row>
    <row r="5235" spans="1:5" ht="39" x14ac:dyDescent="0.3">
      <c r="A5235" s="17" t="str">
        <f>"0588T"</f>
        <v>0588T</v>
      </c>
      <c r="B5235" s="5" t="s">
        <v>285</v>
      </c>
      <c r="C5235" s="17">
        <v>20230101</v>
      </c>
      <c r="D5235" s="17">
        <v>22991231</v>
      </c>
      <c r="E5235" s="25">
        <v>1813.03</v>
      </c>
    </row>
    <row r="5236" spans="1:5" ht="26" x14ac:dyDescent="0.3">
      <c r="A5236" s="17" t="str">
        <f>"0594T"</f>
        <v>0594T</v>
      </c>
      <c r="B5236" s="5" t="s">
        <v>286</v>
      </c>
      <c r="C5236" s="17">
        <v>20230101</v>
      </c>
      <c r="D5236" s="17">
        <v>22991231</v>
      </c>
      <c r="E5236" s="25">
        <v>4081.38</v>
      </c>
    </row>
    <row r="5237" spans="1:5" ht="26" x14ac:dyDescent="0.3">
      <c r="A5237" s="17" t="str">
        <f>"0596T"</f>
        <v>0596T</v>
      </c>
      <c r="B5237" s="5" t="s">
        <v>287</v>
      </c>
      <c r="C5237" s="17">
        <v>20230101</v>
      </c>
      <c r="D5237" s="17">
        <v>22991231</v>
      </c>
      <c r="E5237" s="25">
        <v>299.17</v>
      </c>
    </row>
    <row r="5238" spans="1:5" ht="26" x14ac:dyDescent="0.3">
      <c r="A5238" s="17" t="str">
        <f>"0597T"</f>
        <v>0597T</v>
      </c>
      <c r="B5238" s="5" t="s">
        <v>288</v>
      </c>
      <c r="C5238" s="17">
        <v>20230101</v>
      </c>
      <c r="D5238" s="17">
        <v>22991231</v>
      </c>
      <c r="E5238" s="25">
        <v>299.17</v>
      </c>
    </row>
    <row r="5239" spans="1:5" ht="26" x14ac:dyDescent="0.3">
      <c r="A5239" s="17" t="str">
        <f>"0598T"</f>
        <v>0598T</v>
      </c>
      <c r="B5239" s="5" t="s">
        <v>289</v>
      </c>
      <c r="C5239" s="17">
        <v>20230101</v>
      </c>
      <c r="D5239" s="17">
        <v>22991231</v>
      </c>
      <c r="E5239" s="25">
        <v>155.52000000000001</v>
      </c>
    </row>
    <row r="5240" spans="1:5" ht="26" x14ac:dyDescent="0.3">
      <c r="A5240" s="17" t="str">
        <f>"0599T"</f>
        <v>0599T</v>
      </c>
      <c r="B5240" s="5" t="s">
        <v>290</v>
      </c>
      <c r="C5240" s="17">
        <v>20230101</v>
      </c>
      <c r="D5240" s="17">
        <v>22991231</v>
      </c>
      <c r="E5240" s="25">
        <v>0</v>
      </c>
    </row>
    <row r="5241" spans="1:5" ht="26" x14ac:dyDescent="0.3">
      <c r="A5241" s="17" t="str">
        <f>"0600T"</f>
        <v>0600T</v>
      </c>
      <c r="B5241" s="5" t="s">
        <v>291</v>
      </c>
      <c r="C5241" s="17">
        <v>20230101</v>
      </c>
      <c r="D5241" s="17">
        <v>22991231</v>
      </c>
      <c r="E5241" s="25">
        <v>6307.55</v>
      </c>
    </row>
    <row r="5242" spans="1:5" ht="26" x14ac:dyDescent="0.3">
      <c r="A5242" s="17" t="str">
        <f>"0601T"</f>
        <v>0601T</v>
      </c>
      <c r="B5242" s="5" t="s">
        <v>292</v>
      </c>
      <c r="C5242" s="17">
        <v>20230101</v>
      </c>
      <c r="D5242" s="17">
        <v>22991231</v>
      </c>
      <c r="E5242" s="25">
        <v>6189.97</v>
      </c>
    </row>
    <row r="5243" spans="1:5" ht="26" x14ac:dyDescent="0.3">
      <c r="A5243" s="17" t="str">
        <f>"0609T"</f>
        <v>0609T</v>
      </c>
      <c r="B5243" s="5" t="s">
        <v>293</v>
      </c>
      <c r="C5243" s="17">
        <v>20230101</v>
      </c>
      <c r="D5243" s="17">
        <v>22991231</v>
      </c>
      <c r="E5243" s="25">
        <v>121.41</v>
      </c>
    </row>
    <row r="5244" spans="1:5" ht="26" x14ac:dyDescent="0.3">
      <c r="A5244" s="17" t="str">
        <f>"0611T"</f>
        <v>0611T</v>
      </c>
      <c r="B5244" s="5" t="s">
        <v>294</v>
      </c>
      <c r="C5244" s="17">
        <v>20230101</v>
      </c>
      <c r="D5244" s="17">
        <v>22991231</v>
      </c>
      <c r="E5244" s="25">
        <v>121.41</v>
      </c>
    </row>
    <row r="5245" spans="1:5" ht="26" x14ac:dyDescent="0.3">
      <c r="A5245" s="17" t="str">
        <f>"0614T"</f>
        <v>0614T</v>
      </c>
      <c r="B5245" s="5" t="s">
        <v>295</v>
      </c>
      <c r="C5245" s="17">
        <v>20230101</v>
      </c>
      <c r="D5245" s="17">
        <v>22991231</v>
      </c>
      <c r="E5245" s="25">
        <v>18196.38</v>
      </c>
    </row>
    <row r="5246" spans="1:5" x14ac:dyDescent="0.3">
      <c r="A5246" s="17" t="str">
        <f>"0616T"</f>
        <v>0616T</v>
      </c>
      <c r="B5246" s="5" t="s">
        <v>296</v>
      </c>
      <c r="C5246" s="17">
        <v>20230101</v>
      </c>
      <c r="D5246" s="17">
        <v>22991231</v>
      </c>
      <c r="E5246" s="25">
        <v>13657.96</v>
      </c>
    </row>
    <row r="5247" spans="1:5" ht="26" x14ac:dyDescent="0.3">
      <c r="A5247" s="17" t="str">
        <f>"0617T"</f>
        <v>0617T</v>
      </c>
      <c r="B5247" s="5" t="s">
        <v>297</v>
      </c>
      <c r="C5247" s="17">
        <v>20230101</v>
      </c>
      <c r="D5247" s="17">
        <v>22991231</v>
      </c>
      <c r="E5247" s="25">
        <v>14390.2</v>
      </c>
    </row>
    <row r="5248" spans="1:5" ht="26" x14ac:dyDescent="0.3">
      <c r="A5248" s="17" t="str">
        <f>"0618T"</f>
        <v>0618T</v>
      </c>
      <c r="B5248" s="5" t="s">
        <v>298</v>
      </c>
      <c r="C5248" s="17">
        <v>20230101</v>
      </c>
      <c r="D5248" s="17">
        <v>22991231</v>
      </c>
      <c r="E5248" s="25">
        <v>10682.64</v>
      </c>
    </row>
    <row r="5249" spans="1:5" ht="39" x14ac:dyDescent="0.3">
      <c r="A5249" s="17" t="str">
        <f>"0619T"</f>
        <v>0619T</v>
      </c>
      <c r="B5249" s="5" t="s">
        <v>299</v>
      </c>
      <c r="C5249" s="17">
        <v>20230101</v>
      </c>
      <c r="D5249" s="17">
        <v>22991231</v>
      </c>
      <c r="E5249" s="25">
        <v>7515.36</v>
      </c>
    </row>
    <row r="5250" spans="1:5" ht="39" x14ac:dyDescent="0.3">
      <c r="A5250" s="17" t="str">
        <f>"0620T"</f>
        <v>0620T</v>
      </c>
      <c r="B5250" s="5" t="s">
        <v>300</v>
      </c>
      <c r="C5250" s="17">
        <v>20230101</v>
      </c>
      <c r="D5250" s="17">
        <v>22991231</v>
      </c>
      <c r="E5250" s="25">
        <v>23513.64</v>
      </c>
    </row>
    <row r="5251" spans="1:5" ht="39" x14ac:dyDescent="0.3">
      <c r="A5251" s="17" t="str">
        <f>"0627T"</f>
        <v>0627T</v>
      </c>
      <c r="B5251" s="5" t="s">
        <v>301</v>
      </c>
      <c r="C5251" s="17">
        <v>20230101</v>
      </c>
      <c r="D5251" s="17">
        <v>22991231</v>
      </c>
      <c r="E5251" s="25">
        <v>10014.24</v>
      </c>
    </row>
    <row r="5252" spans="1:5" ht="39" x14ac:dyDescent="0.3">
      <c r="A5252" s="17" t="str">
        <f>"0628T"</f>
        <v>0628T</v>
      </c>
      <c r="B5252" s="5" t="s">
        <v>302</v>
      </c>
      <c r="C5252" s="17">
        <v>20230101</v>
      </c>
      <c r="D5252" s="17">
        <v>22991231</v>
      </c>
      <c r="E5252" s="25">
        <v>0</v>
      </c>
    </row>
    <row r="5253" spans="1:5" ht="39" x14ac:dyDescent="0.3">
      <c r="A5253" s="17" t="str">
        <f>"0629T"</f>
        <v>0629T</v>
      </c>
      <c r="B5253" s="5" t="s">
        <v>303</v>
      </c>
      <c r="C5253" s="17">
        <v>20230101</v>
      </c>
      <c r="D5253" s="17">
        <v>22991231</v>
      </c>
      <c r="E5253" s="25">
        <v>8731.76</v>
      </c>
    </row>
    <row r="5254" spans="1:5" ht="39" x14ac:dyDescent="0.3">
      <c r="A5254" s="17" t="str">
        <f>"0630T"</f>
        <v>0630T</v>
      </c>
      <c r="B5254" s="5" t="s">
        <v>304</v>
      </c>
      <c r="C5254" s="17">
        <v>20230101</v>
      </c>
      <c r="D5254" s="17">
        <v>22991231</v>
      </c>
      <c r="E5254" s="25">
        <v>0</v>
      </c>
    </row>
    <row r="5255" spans="1:5" ht="39" x14ac:dyDescent="0.3">
      <c r="A5255" s="17" t="str">
        <f>"0632T"</f>
        <v>0632T</v>
      </c>
      <c r="B5255" s="5" t="s">
        <v>305</v>
      </c>
      <c r="C5255" s="17">
        <v>20230101</v>
      </c>
      <c r="D5255" s="17">
        <v>22991231</v>
      </c>
      <c r="E5255" s="25">
        <v>9461.34</v>
      </c>
    </row>
    <row r="5256" spans="1:5" x14ac:dyDescent="0.3">
      <c r="A5256" s="17" t="str">
        <f>"0633T"</f>
        <v>0633T</v>
      </c>
      <c r="B5256" s="5" t="s">
        <v>306</v>
      </c>
      <c r="C5256" s="17">
        <v>20230101</v>
      </c>
      <c r="D5256" s="17">
        <v>22991231</v>
      </c>
      <c r="E5256" s="25">
        <v>54.47</v>
      </c>
    </row>
    <row r="5257" spans="1:5" x14ac:dyDescent="0.3">
      <c r="A5257" s="17" t="str">
        <f>"0634T"</f>
        <v>0634T</v>
      </c>
      <c r="B5257" s="5" t="s">
        <v>307</v>
      </c>
      <c r="C5257" s="17">
        <v>20230101</v>
      </c>
      <c r="D5257" s="17">
        <v>22991231</v>
      </c>
      <c r="E5257" s="25">
        <v>91.04</v>
      </c>
    </row>
    <row r="5258" spans="1:5" ht="26" x14ac:dyDescent="0.3">
      <c r="A5258" s="17" t="str">
        <f>"0635T"</f>
        <v>0635T</v>
      </c>
      <c r="B5258" s="5" t="s">
        <v>308</v>
      </c>
      <c r="C5258" s="17">
        <v>20230101</v>
      </c>
      <c r="D5258" s="17">
        <v>22991231</v>
      </c>
      <c r="E5258" s="25">
        <v>91.04</v>
      </c>
    </row>
    <row r="5259" spans="1:5" x14ac:dyDescent="0.3">
      <c r="A5259" s="17" t="str">
        <f>"0636T"</f>
        <v>0636T</v>
      </c>
      <c r="B5259" s="5" t="s">
        <v>309</v>
      </c>
      <c r="C5259" s="17">
        <v>20230101</v>
      </c>
      <c r="D5259" s="17">
        <v>22991231</v>
      </c>
      <c r="E5259" s="25">
        <v>121.41</v>
      </c>
    </row>
    <row r="5260" spans="1:5" ht="26" x14ac:dyDescent="0.3">
      <c r="A5260" s="17" t="str">
        <f>"0637T"</f>
        <v>0637T</v>
      </c>
      <c r="B5260" s="5" t="s">
        <v>310</v>
      </c>
      <c r="C5260" s="17">
        <v>20230101</v>
      </c>
      <c r="D5260" s="17">
        <v>22991231</v>
      </c>
      <c r="E5260" s="25">
        <v>190.54</v>
      </c>
    </row>
    <row r="5261" spans="1:5" ht="26" x14ac:dyDescent="0.3">
      <c r="A5261" s="17" t="str">
        <f>"0638T"</f>
        <v>0638T</v>
      </c>
      <c r="B5261" s="5" t="s">
        <v>311</v>
      </c>
      <c r="C5261" s="17">
        <v>20230101</v>
      </c>
      <c r="D5261" s="17">
        <v>22991231</v>
      </c>
      <c r="E5261" s="25">
        <v>190.54</v>
      </c>
    </row>
    <row r="5262" spans="1:5" ht="26" x14ac:dyDescent="0.3">
      <c r="A5262" s="17" t="str">
        <f>"0644T"</f>
        <v>0644T</v>
      </c>
      <c r="B5262" s="5" t="s">
        <v>312</v>
      </c>
      <c r="C5262" s="17">
        <v>20230101</v>
      </c>
      <c r="D5262" s="17">
        <v>22991231</v>
      </c>
      <c r="E5262" s="25">
        <v>2412.7800000000002</v>
      </c>
    </row>
    <row r="5263" spans="1:5" ht="26" x14ac:dyDescent="0.3">
      <c r="A5263" s="17" t="str">
        <f>"0647T"</f>
        <v>0647T</v>
      </c>
      <c r="B5263" s="5" t="s">
        <v>313</v>
      </c>
      <c r="C5263" s="17">
        <v>20230101</v>
      </c>
      <c r="D5263" s="17">
        <v>22991231</v>
      </c>
      <c r="E5263" s="25">
        <v>794.51</v>
      </c>
    </row>
    <row r="5264" spans="1:5" ht="39" x14ac:dyDescent="0.3">
      <c r="A5264" s="17" t="str">
        <f>"0648T"</f>
        <v>0648T</v>
      </c>
      <c r="B5264" s="5" t="s">
        <v>314</v>
      </c>
      <c r="C5264" s="17">
        <v>20230101</v>
      </c>
      <c r="D5264" s="17">
        <v>22991231</v>
      </c>
      <c r="E5264" s="25">
        <v>494.28</v>
      </c>
    </row>
    <row r="5265" spans="1:5" ht="26" x14ac:dyDescent="0.3">
      <c r="A5265" s="17" t="str">
        <f>"0651T"</f>
        <v>0651T</v>
      </c>
      <c r="B5265" s="5" t="s">
        <v>315</v>
      </c>
      <c r="C5265" s="17">
        <v>20230101</v>
      </c>
      <c r="D5265" s="17">
        <v>22991231</v>
      </c>
      <c r="E5265" s="25">
        <v>617.91999999999996</v>
      </c>
    </row>
    <row r="5266" spans="1:5" ht="39" x14ac:dyDescent="0.3">
      <c r="A5266" s="17" t="str">
        <f>"0652T"</f>
        <v>0652T</v>
      </c>
      <c r="B5266" s="5" t="s">
        <v>316</v>
      </c>
      <c r="C5266" s="17">
        <v>20230101</v>
      </c>
      <c r="D5266" s="17">
        <v>22991231</v>
      </c>
      <c r="E5266" s="25">
        <v>1000.61</v>
      </c>
    </row>
    <row r="5267" spans="1:5" ht="39" x14ac:dyDescent="0.3">
      <c r="A5267" s="17" t="str">
        <f>"0653T"</f>
        <v>0653T</v>
      </c>
      <c r="B5267" s="5" t="s">
        <v>317</v>
      </c>
      <c r="C5267" s="17">
        <v>20230101</v>
      </c>
      <c r="D5267" s="17">
        <v>22991231</v>
      </c>
      <c r="E5267" s="25">
        <v>1000.61</v>
      </c>
    </row>
    <row r="5268" spans="1:5" ht="39" x14ac:dyDescent="0.3">
      <c r="A5268" s="17" t="str">
        <f>"0654T"</f>
        <v>0654T</v>
      </c>
      <c r="B5268" s="5" t="s">
        <v>318</v>
      </c>
      <c r="C5268" s="17">
        <v>20230101</v>
      </c>
      <c r="D5268" s="17">
        <v>22991231</v>
      </c>
      <c r="E5268" s="25">
        <v>1718.4</v>
      </c>
    </row>
    <row r="5269" spans="1:5" ht="26" x14ac:dyDescent="0.3">
      <c r="A5269" s="17" t="str">
        <f>"0655T"</f>
        <v>0655T</v>
      </c>
      <c r="B5269" s="5" t="s">
        <v>319</v>
      </c>
      <c r="C5269" s="17">
        <v>20230101</v>
      </c>
      <c r="D5269" s="17">
        <v>22991231</v>
      </c>
      <c r="E5269" s="25">
        <v>1553.18</v>
      </c>
    </row>
    <row r="5270" spans="1:5" ht="26" x14ac:dyDescent="0.3">
      <c r="A5270" s="17" t="str">
        <f>"0671T"</f>
        <v>0671T</v>
      </c>
      <c r="B5270" s="5" t="s">
        <v>320</v>
      </c>
      <c r="C5270" s="17">
        <v>20230101</v>
      </c>
      <c r="D5270" s="17">
        <v>22991231</v>
      </c>
      <c r="E5270" s="25">
        <v>3644.94</v>
      </c>
    </row>
    <row r="5271" spans="1:5" ht="26" x14ac:dyDescent="0.3">
      <c r="A5271" s="17" t="str">
        <f>"0673T"</f>
        <v>0673T</v>
      </c>
      <c r="B5271" s="5" t="s">
        <v>321</v>
      </c>
      <c r="C5271" s="17">
        <v>20230101</v>
      </c>
      <c r="D5271" s="17">
        <v>22991231</v>
      </c>
      <c r="E5271" s="25">
        <v>652.27</v>
      </c>
    </row>
    <row r="5272" spans="1:5" ht="26" x14ac:dyDescent="0.3">
      <c r="A5272" s="17" t="str">
        <f>"0686T"</f>
        <v>0686T</v>
      </c>
      <c r="B5272" s="5" t="s">
        <v>322</v>
      </c>
      <c r="C5272" s="17">
        <v>20230101</v>
      </c>
      <c r="D5272" s="17">
        <v>22991231</v>
      </c>
      <c r="E5272" s="25">
        <v>9100.58</v>
      </c>
    </row>
    <row r="5273" spans="1:5" ht="26" x14ac:dyDescent="0.3">
      <c r="A5273" s="17" t="str">
        <f>"0689T"</f>
        <v>0689T</v>
      </c>
      <c r="B5273" s="5" t="s">
        <v>323</v>
      </c>
      <c r="C5273" s="17">
        <v>20230101</v>
      </c>
      <c r="D5273" s="17">
        <v>22991231</v>
      </c>
      <c r="E5273" s="25">
        <v>45.03</v>
      </c>
    </row>
    <row r="5274" spans="1:5" ht="39" x14ac:dyDescent="0.3">
      <c r="A5274" s="17" t="str">
        <f>"0697T"</f>
        <v>0697T</v>
      </c>
      <c r="B5274" s="5" t="s">
        <v>324</v>
      </c>
      <c r="C5274" s="17">
        <v>20230101</v>
      </c>
      <c r="D5274" s="17">
        <v>22991231</v>
      </c>
      <c r="E5274" s="25">
        <v>494.28</v>
      </c>
    </row>
    <row r="5275" spans="1:5" ht="52" x14ac:dyDescent="0.3">
      <c r="A5275" s="17" t="str">
        <f>"0698T"</f>
        <v>0698T</v>
      </c>
      <c r="B5275" s="5" t="s">
        <v>325</v>
      </c>
      <c r="C5275" s="17">
        <v>20240101</v>
      </c>
      <c r="D5275" s="17">
        <v>22991231</v>
      </c>
      <c r="E5275" s="25">
        <v>494.28</v>
      </c>
    </row>
    <row r="5276" spans="1:5" ht="26" x14ac:dyDescent="0.3">
      <c r="A5276" s="17" t="str">
        <f>"0699T"</f>
        <v>0699T</v>
      </c>
      <c r="B5276" s="5" t="s">
        <v>326</v>
      </c>
      <c r="C5276" s="17">
        <v>20230101</v>
      </c>
      <c r="D5276" s="17">
        <v>22991231</v>
      </c>
      <c r="E5276" s="25">
        <v>1130.6099999999999</v>
      </c>
    </row>
    <row r="5277" spans="1:5" ht="26" x14ac:dyDescent="0.3">
      <c r="A5277" s="17" t="str">
        <f>"0707T"</f>
        <v>0707T</v>
      </c>
      <c r="B5277" s="5" t="s">
        <v>327</v>
      </c>
      <c r="C5277" s="17">
        <v>20230101</v>
      </c>
      <c r="D5277" s="17">
        <v>22991231</v>
      </c>
      <c r="E5277" s="25">
        <v>2122.9699999999998</v>
      </c>
    </row>
    <row r="5278" spans="1:5" ht="26" x14ac:dyDescent="0.3">
      <c r="A5278" s="17" t="str">
        <f>"0714T"</f>
        <v>0714T</v>
      </c>
      <c r="B5278" s="5" t="s">
        <v>328</v>
      </c>
      <c r="C5278" s="17">
        <v>20230101</v>
      </c>
      <c r="D5278" s="17">
        <v>22991231</v>
      </c>
      <c r="E5278" s="25">
        <v>2360.33</v>
      </c>
    </row>
    <row r="5279" spans="1:5" ht="39" x14ac:dyDescent="0.3">
      <c r="A5279" s="17" t="str">
        <f>"0784T"</f>
        <v>0784T</v>
      </c>
      <c r="B5279" s="5" t="s">
        <v>329</v>
      </c>
      <c r="C5279" s="17">
        <v>20240101</v>
      </c>
      <c r="D5279" s="17">
        <v>22991231</v>
      </c>
      <c r="E5279" s="25">
        <v>8810.73</v>
      </c>
    </row>
    <row r="5280" spans="1:5" ht="26" x14ac:dyDescent="0.3">
      <c r="A5280" s="17" t="str">
        <f>"0785T"</f>
        <v>0785T</v>
      </c>
      <c r="B5280" s="5" t="s">
        <v>330</v>
      </c>
      <c r="C5280" s="17">
        <v>20240101</v>
      </c>
      <c r="D5280" s="17">
        <v>22991231</v>
      </c>
      <c r="E5280" s="25">
        <v>1813.03</v>
      </c>
    </row>
    <row r="5281" spans="1:5" ht="39" x14ac:dyDescent="0.3">
      <c r="A5281" s="17" t="str">
        <f>"0786T"</f>
        <v>0786T</v>
      </c>
      <c r="B5281" s="5" t="s">
        <v>331</v>
      </c>
      <c r="C5281" s="17">
        <v>20240101</v>
      </c>
      <c r="D5281" s="17">
        <v>22991231</v>
      </c>
      <c r="E5281" s="25">
        <v>8810.73</v>
      </c>
    </row>
    <row r="5282" spans="1:5" ht="26" x14ac:dyDescent="0.3">
      <c r="A5282" s="17" t="str">
        <f>"0787T"</f>
        <v>0787T</v>
      </c>
      <c r="B5282" s="5" t="s">
        <v>332</v>
      </c>
      <c r="C5282" s="17">
        <v>20240101</v>
      </c>
      <c r="D5282" s="17">
        <v>22991231</v>
      </c>
      <c r="E5282" s="25">
        <v>1813.03</v>
      </c>
    </row>
    <row r="5283" spans="1:5" ht="52" x14ac:dyDescent="0.3">
      <c r="A5283" s="17" t="str">
        <f>"0793T"</f>
        <v>0793T</v>
      </c>
      <c r="B5283" s="5" t="s">
        <v>333</v>
      </c>
      <c r="C5283" s="17">
        <v>20240101</v>
      </c>
      <c r="D5283" s="17">
        <v>22991231</v>
      </c>
      <c r="E5283" s="25">
        <v>9461.34</v>
      </c>
    </row>
    <row r="5284" spans="1:5" ht="52" x14ac:dyDescent="0.3">
      <c r="A5284" s="17" t="str">
        <f>"0797T"</f>
        <v>0797T</v>
      </c>
      <c r="B5284" s="5" t="s">
        <v>334</v>
      </c>
      <c r="C5284" s="17">
        <v>20240101</v>
      </c>
      <c r="D5284" s="17">
        <v>22991231</v>
      </c>
      <c r="E5284" s="25">
        <v>10101.299999999999</v>
      </c>
    </row>
    <row r="5285" spans="1:5" ht="39" x14ac:dyDescent="0.3">
      <c r="A5285" s="17" t="str">
        <f>"0800T"</f>
        <v>0800T</v>
      </c>
      <c r="B5285" s="5" t="s">
        <v>335</v>
      </c>
      <c r="C5285" s="17">
        <v>20240101</v>
      </c>
      <c r="D5285" s="17">
        <v>22991231</v>
      </c>
      <c r="E5285" s="25">
        <v>1862.11</v>
      </c>
    </row>
    <row r="5286" spans="1:5" ht="52" x14ac:dyDescent="0.3">
      <c r="A5286" s="17" t="str">
        <f>"0803T"</f>
        <v>0803T</v>
      </c>
      <c r="B5286" s="5" t="s">
        <v>336</v>
      </c>
      <c r="C5286" s="17">
        <v>20240101</v>
      </c>
      <c r="D5286" s="17">
        <v>22991231</v>
      </c>
      <c r="E5286" s="25">
        <v>10101.299999999999</v>
      </c>
    </row>
    <row r="5287" spans="1:5" ht="26" x14ac:dyDescent="0.3">
      <c r="A5287" s="17" t="str">
        <f>"0810T"</f>
        <v>0810T</v>
      </c>
      <c r="B5287" s="5" t="s">
        <v>337</v>
      </c>
      <c r="C5287" s="17">
        <v>20240101</v>
      </c>
      <c r="D5287" s="17">
        <v>22991231</v>
      </c>
      <c r="E5287" s="25">
        <v>2210.34</v>
      </c>
    </row>
    <row r="5288" spans="1:5" ht="39" x14ac:dyDescent="0.3">
      <c r="A5288" s="17" t="str">
        <f>"0813T"</f>
        <v>0813T</v>
      </c>
      <c r="B5288" s="5" t="s">
        <v>338</v>
      </c>
      <c r="C5288" s="17">
        <v>20240101</v>
      </c>
      <c r="D5288" s="17">
        <v>22991231</v>
      </c>
      <c r="E5288" s="25">
        <v>449.14</v>
      </c>
    </row>
    <row r="5289" spans="1:5" ht="39" x14ac:dyDescent="0.3">
      <c r="A5289" s="17" t="str">
        <f>"0816T"</f>
        <v>0816T</v>
      </c>
      <c r="B5289" s="5" t="s">
        <v>339</v>
      </c>
      <c r="C5289" s="17">
        <v>20240101</v>
      </c>
      <c r="D5289" s="17">
        <v>22991231</v>
      </c>
      <c r="E5289" s="25">
        <v>13489.7</v>
      </c>
    </row>
    <row r="5290" spans="1:5" ht="39" x14ac:dyDescent="0.3">
      <c r="A5290" s="17" t="str">
        <f>"0817T"</f>
        <v>0817T</v>
      </c>
      <c r="B5290" s="5" t="s">
        <v>340</v>
      </c>
      <c r="C5290" s="17">
        <v>20240101</v>
      </c>
      <c r="D5290" s="17">
        <v>22991231</v>
      </c>
      <c r="E5290" s="25">
        <v>13489.7</v>
      </c>
    </row>
    <row r="5291" spans="1:5" ht="39" x14ac:dyDescent="0.3">
      <c r="A5291" s="17" t="str">
        <f>"0818T"</f>
        <v>0818T</v>
      </c>
      <c r="B5291" s="5" t="s">
        <v>341</v>
      </c>
      <c r="C5291" s="17">
        <v>20240101</v>
      </c>
      <c r="D5291" s="17">
        <v>22991231</v>
      </c>
      <c r="E5291" s="25">
        <v>1813.03</v>
      </c>
    </row>
    <row r="5292" spans="1:5" ht="39" x14ac:dyDescent="0.3">
      <c r="A5292" s="17" t="str">
        <f>"0819T"</f>
        <v>0819T</v>
      </c>
      <c r="B5292" s="5" t="s">
        <v>342</v>
      </c>
      <c r="C5292" s="17">
        <v>20240101</v>
      </c>
      <c r="D5292" s="17">
        <v>22991231</v>
      </c>
      <c r="E5292" s="25">
        <v>1813.03</v>
      </c>
    </row>
    <row r="5293" spans="1:5" x14ac:dyDescent="0.3">
      <c r="A5293" s="17" t="str">
        <f>"0864T"</f>
        <v>0864T</v>
      </c>
      <c r="B5293" s="5" t="s">
        <v>343</v>
      </c>
      <c r="C5293" s="17">
        <v>20240101</v>
      </c>
      <c r="D5293" s="17">
        <v>22991231</v>
      </c>
      <c r="E5293" s="25">
        <v>122.45</v>
      </c>
    </row>
    <row r="5294" spans="1:5" x14ac:dyDescent="0.3">
      <c r="A5294" s="17" t="str">
        <f>"A2001"</f>
        <v>A2001</v>
      </c>
      <c r="B5294" s="5" t="s">
        <v>5297</v>
      </c>
      <c r="C5294" s="17">
        <v>20230101</v>
      </c>
      <c r="D5294" s="17">
        <v>22991231</v>
      </c>
      <c r="E5294" s="25">
        <v>0</v>
      </c>
    </row>
    <row r="5295" spans="1:5" ht="26" x14ac:dyDescent="0.3">
      <c r="A5295" s="17" t="str">
        <f>"A2002"</f>
        <v>A2002</v>
      </c>
      <c r="B5295" s="5" t="s">
        <v>5298</v>
      </c>
      <c r="C5295" s="17">
        <v>20230101</v>
      </c>
      <c r="D5295" s="17">
        <v>22991231</v>
      </c>
      <c r="E5295" s="25">
        <v>0</v>
      </c>
    </row>
    <row r="5296" spans="1:5" x14ac:dyDescent="0.3">
      <c r="A5296" s="17" t="str">
        <f>"A2004"</f>
        <v>A2004</v>
      </c>
      <c r="B5296" s="5" t="s">
        <v>5299</v>
      </c>
      <c r="C5296" s="17">
        <v>20230101</v>
      </c>
      <c r="D5296" s="17">
        <v>22991231</v>
      </c>
      <c r="E5296" s="25">
        <v>0</v>
      </c>
    </row>
    <row r="5297" spans="1:5" x14ac:dyDescent="0.3">
      <c r="A5297" s="17" t="str">
        <f>"A2005"</f>
        <v>A2005</v>
      </c>
      <c r="B5297" s="5" t="s">
        <v>5300</v>
      </c>
      <c r="C5297" s="17">
        <v>20230101</v>
      </c>
      <c r="D5297" s="17">
        <v>22991231</v>
      </c>
      <c r="E5297" s="25">
        <v>0</v>
      </c>
    </row>
    <row r="5298" spans="1:5" ht="26" x14ac:dyDescent="0.3">
      <c r="A5298" s="17" t="str">
        <f>"A2006"</f>
        <v>A2006</v>
      </c>
      <c r="B5298" s="5" t="s">
        <v>5301</v>
      </c>
      <c r="C5298" s="17">
        <v>20230101</v>
      </c>
      <c r="D5298" s="17">
        <v>22991231</v>
      </c>
      <c r="E5298" s="25">
        <v>0</v>
      </c>
    </row>
    <row r="5299" spans="1:5" x14ac:dyDescent="0.3">
      <c r="A5299" s="17" t="str">
        <f>"A2007"</f>
        <v>A2007</v>
      </c>
      <c r="B5299" s="5" t="s">
        <v>5302</v>
      </c>
      <c r="C5299" s="17">
        <v>20230101</v>
      </c>
      <c r="D5299" s="17">
        <v>22991231</v>
      </c>
      <c r="E5299" s="25">
        <v>0</v>
      </c>
    </row>
    <row r="5300" spans="1:5" x14ac:dyDescent="0.3">
      <c r="A5300" s="17" t="str">
        <f>"A2008"</f>
        <v>A2008</v>
      </c>
      <c r="B5300" s="5" t="s">
        <v>5303</v>
      </c>
      <c r="C5300" s="17">
        <v>20230101</v>
      </c>
      <c r="D5300" s="17">
        <v>22991231</v>
      </c>
      <c r="E5300" s="25">
        <v>0</v>
      </c>
    </row>
    <row r="5301" spans="1:5" x14ac:dyDescent="0.3">
      <c r="A5301" s="17" t="str">
        <f>"A2009"</f>
        <v>A2009</v>
      </c>
      <c r="B5301" s="5" t="s">
        <v>5304</v>
      </c>
      <c r="C5301" s="17">
        <v>20230101</v>
      </c>
      <c r="D5301" s="17">
        <v>22991231</v>
      </c>
      <c r="E5301" s="25">
        <v>0</v>
      </c>
    </row>
    <row r="5302" spans="1:5" x14ac:dyDescent="0.3">
      <c r="A5302" s="17" t="str">
        <f>"A2010"</f>
        <v>A2010</v>
      </c>
      <c r="B5302" s="5" t="s">
        <v>5305</v>
      </c>
      <c r="C5302" s="17">
        <v>20230101</v>
      </c>
      <c r="D5302" s="17">
        <v>22991231</v>
      </c>
      <c r="E5302" s="25">
        <v>0</v>
      </c>
    </row>
    <row r="5303" spans="1:5" x14ac:dyDescent="0.3">
      <c r="A5303" s="17" t="str">
        <f>"A2011"</f>
        <v>A2011</v>
      </c>
      <c r="B5303" s="5" t="s">
        <v>5306</v>
      </c>
      <c r="C5303" s="17">
        <v>20230101</v>
      </c>
      <c r="D5303" s="17">
        <v>22991231</v>
      </c>
      <c r="E5303" s="25">
        <v>0</v>
      </c>
    </row>
    <row r="5304" spans="1:5" x14ac:dyDescent="0.3">
      <c r="A5304" s="17" t="str">
        <f>"A2012"</f>
        <v>A2012</v>
      </c>
      <c r="B5304" s="5" t="s">
        <v>5307</v>
      </c>
      <c r="C5304" s="17">
        <v>20230101</v>
      </c>
      <c r="D5304" s="17">
        <v>22991231</v>
      </c>
      <c r="E5304" s="25">
        <v>0</v>
      </c>
    </row>
    <row r="5305" spans="1:5" x14ac:dyDescent="0.3">
      <c r="A5305" s="17" t="str">
        <f>"A2013"</f>
        <v>A2013</v>
      </c>
      <c r="B5305" s="5" t="s">
        <v>5308</v>
      </c>
      <c r="C5305" s="17">
        <v>20230101</v>
      </c>
      <c r="D5305" s="17">
        <v>22991231</v>
      </c>
      <c r="E5305" s="25">
        <v>0</v>
      </c>
    </row>
    <row r="5306" spans="1:5" x14ac:dyDescent="0.3">
      <c r="A5306" s="17" t="str">
        <f>"A2014"</f>
        <v>A2014</v>
      </c>
      <c r="B5306" s="5" t="s">
        <v>5309</v>
      </c>
      <c r="C5306" s="17">
        <v>20230101</v>
      </c>
      <c r="D5306" s="17">
        <v>22991231</v>
      </c>
      <c r="E5306" s="25">
        <v>0</v>
      </c>
    </row>
    <row r="5307" spans="1:5" x14ac:dyDescent="0.3">
      <c r="A5307" s="17" t="str">
        <f>"A2015"</f>
        <v>A2015</v>
      </c>
      <c r="B5307" s="5" t="s">
        <v>5310</v>
      </c>
      <c r="C5307" s="17">
        <v>20230101</v>
      </c>
      <c r="D5307" s="17">
        <v>22991231</v>
      </c>
      <c r="E5307" s="25">
        <v>0</v>
      </c>
    </row>
    <row r="5308" spans="1:5" x14ac:dyDescent="0.3">
      <c r="A5308" s="17" t="str">
        <f>"A2016"</f>
        <v>A2016</v>
      </c>
      <c r="B5308" s="5" t="s">
        <v>5311</v>
      </c>
      <c r="C5308" s="17">
        <v>20230101</v>
      </c>
      <c r="D5308" s="17">
        <v>22991231</v>
      </c>
      <c r="E5308" s="25">
        <v>0</v>
      </c>
    </row>
    <row r="5309" spans="1:5" x14ac:dyDescent="0.3">
      <c r="A5309" s="17" t="str">
        <f>"A2017"</f>
        <v>A2017</v>
      </c>
      <c r="B5309" s="5" t="s">
        <v>5312</v>
      </c>
      <c r="C5309" s="17">
        <v>20230101</v>
      </c>
      <c r="D5309" s="17">
        <v>22991231</v>
      </c>
      <c r="E5309" s="25">
        <v>0</v>
      </c>
    </row>
    <row r="5310" spans="1:5" x14ac:dyDescent="0.3">
      <c r="A5310" s="17" t="str">
        <f>"A2018"</f>
        <v>A2018</v>
      </c>
      <c r="B5310" s="5" t="s">
        <v>5313</v>
      </c>
      <c r="C5310" s="17">
        <v>20230101</v>
      </c>
      <c r="D5310" s="17">
        <v>22991231</v>
      </c>
      <c r="E5310" s="25">
        <v>0</v>
      </c>
    </row>
    <row r="5311" spans="1:5" ht="26" x14ac:dyDescent="0.3">
      <c r="A5311" s="17" t="str">
        <f>"A2019"</f>
        <v>A2019</v>
      </c>
      <c r="B5311" s="5" t="s">
        <v>5314</v>
      </c>
      <c r="C5311" s="17">
        <v>20240101</v>
      </c>
      <c r="D5311" s="17">
        <v>22991231</v>
      </c>
      <c r="E5311" s="25">
        <v>0</v>
      </c>
    </row>
    <row r="5312" spans="1:5" x14ac:dyDescent="0.3">
      <c r="A5312" s="17" t="str">
        <f>"A2020"</f>
        <v>A2020</v>
      </c>
      <c r="B5312" s="5" t="s">
        <v>5315</v>
      </c>
      <c r="C5312" s="17">
        <v>20240101</v>
      </c>
      <c r="D5312" s="17">
        <v>22991231</v>
      </c>
      <c r="E5312" s="25">
        <v>0</v>
      </c>
    </row>
    <row r="5313" spans="1:5" x14ac:dyDescent="0.3">
      <c r="A5313" s="17" t="str">
        <f>"A2021"</f>
        <v>A2021</v>
      </c>
      <c r="B5313" s="5" t="s">
        <v>5316</v>
      </c>
      <c r="C5313" s="17">
        <v>20240101</v>
      </c>
      <c r="D5313" s="17">
        <v>22991231</v>
      </c>
      <c r="E5313" s="25">
        <v>0</v>
      </c>
    </row>
    <row r="5314" spans="1:5" ht="26" x14ac:dyDescent="0.3">
      <c r="A5314" s="17" t="str">
        <f>"A2022"</f>
        <v>A2022</v>
      </c>
      <c r="B5314" s="5" t="s">
        <v>5317</v>
      </c>
      <c r="C5314" s="17">
        <v>20240101</v>
      </c>
      <c r="D5314" s="17">
        <v>22991231</v>
      </c>
      <c r="E5314" s="25">
        <v>0</v>
      </c>
    </row>
    <row r="5315" spans="1:5" x14ac:dyDescent="0.3">
      <c r="A5315" s="17" t="str">
        <f>"A2023"</f>
        <v>A2023</v>
      </c>
      <c r="B5315" s="5" t="s">
        <v>5318</v>
      </c>
      <c r="C5315" s="17">
        <v>20240101</v>
      </c>
      <c r="D5315" s="17">
        <v>22991231</v>
      </c>
      <c r="E5315" s="25">
        <v>0</v>
      </c>
    </row>
    <row r="5316" spans="1:5" x14ac:dyDescent="0.3">
      <c r="A5316" s="17" t="str">
        <f>"A2024"</f>
        <v>A2024</v>
      </c>
      <c r="B5316" s="5" t="s">
        <v>5319</v>
      </c>
      <c r="C5316" s="17">
        <v>20240101</v>
      </c>
      <c r="D5316" s="17">
        <v>22991231</v>
      </c>
      <c r="E5316" s="25">
        <v>0</v>
      </c>
    </row>
    <row r="5317" spans="1:5" x14ac:dyDescent="0.3">
      <c r="A5317" s="17" t="str">
        <f>"A2025"</f>
        <v>A2025</v>
      </c>
      <c r="B5317" s="5" t="s">
        <v>5320</v>
      </c>
      <c r="C5317" s="17">
        <v>20240101</v>
      </c>
      <c r="D5317" s="17">
        <v>22991231</v>
      </c>
      <c r="E5317" s="25">
        <v>0</v>
      </c>
    </row>
    <row r="5318" spans="1:5" ht="26" x14ac:dyDescent="0.3">
      <c r="A5318" s="17" t="str">
        <f>"A4100"</f>
        <v>A4100</v>
      </c>
      <c r="B5318" s="5" t="s">
        <v>5321</v>
      </c>
      <c r="C5318" s="17">
        <v>20230101</v>
      </c>
      <c r="D5318" s="17">
        <v>22991231</v>
      </c>
      <c r="E5318" s="25">
        <v>0</v>
      </c>
    </row>
    <row r="5319" spans="1:5" x14ac:dyDescent="0.3">
      <c r="A5319" s="17" t="str">
        <f>"A4248"</f>
        <v>A4248</v>
      </c>
      <c r="B5319" s="5" t="s">
        <v>5322</v>
      </c>
      <c r="C5319" s="17">
        <v>20040101</v>
      </c>
      <c r="D5319" s="17">
        <v>22991231</v>
      </c>
      <c r="E5319" s="24" t="s">
        <v>7128</v>
      </c>
    </row>
    <row r="5320" spans="1:5" ht="26" x14ac:dyDescent="0.3">
      <c r="A5320" s="17" t="str">
        <f>"A4344"</f>
        <v>A4344</v>
      </c>
      <c r="B5320" s="5" t="s">
        <v>5323</v>
      </c>
      <c r="C5320" s="17">
        <v>20240101</v>
      </c>
      <c r="D5320" s="17">
        <v>22991231</v>
      </c>
      <c r="E5320" s="25">
        <v>0</v>
      </c>
    </row>
    <row r="5321" spans="1:5" ht="39" x14ac:dyDescent="0.3">
      <c r="A5321" s="17" t="str">
        <f>"A4357"</f>
        <v>A4357</v>
      </c>
      <c r="B5321" s="5" t="s">
        <v>5324</v>
      </c>
      <c r="C5321" s="17">
        <v>19910701</v>
      </c>
      <c r="D5321" s="17">
        <v>22991231</v>
      </c>
      <c r="E5321" s="24" t="s">
        <v>7128</v>
      </c>
    </row>
    <row r="5322" spans="1:5" x14ac:dyDescent="0.3">
      <c r="A5322" s="17" t="str">
        <f>"A4554"</f>
        <v>A4554</v>
      </c>
      <c r="B5322" s="5" t="s">
        <v>5325</v>
      </c>
      <c r="C5322" s="17">
        <v>19900101</v>
      </c>
      <c r="D5322" s="17">
        <v>22991231</v>
      </c>
      <c r="E5322" s="24" t="s">
        <v>7128</v>
      </c>
    </row>
    <row r="5323" spans="1:5" ht="39" x14ac:dyDescent="0.3">
      <c r="A5323" s="17" t="str">
        <f>"A4555"</f>
        <v>A4555</v>
      </c>
      <c r="B5323" s="5" t="s">
        <v>5326</v>
      </c>
      <c r="C5323" s="17">
        <v>19900101</v>
      </c>
      <c r="D5323" s="17">
        <v>22991231</v>
      </c>
      <c r="E5323" s="24" t="s">
        <v>7128</v>
      </c>
    </row>
    <row r="5324" spans="1:5" x14ac:dyDescent="0.3">
      <c r="A5324" s="17" t="str">
        <f>"A4580"</f>
        <v>A4580</v>
      </c>
      <c r="B5324" s="5" t="s">
        <v>5327</v>
      </c>
      <c r="C5324" s="17">
        <v>19900101</v>
      </c>
      <c r="D5324" s="17">
        <v>22991231</v>
      </c>
      <c r="E5324" s="24" t="s">
        <v>7128</v>
      </c>
    </row>
    <row r="5325" spans="1:5" ht="26" x14ac:dyDescent="0.3">
      <c r="A5325" s="17" t="str">
        <f>"A4600"</f>
        <v>A4600</v>
      </c>
      <c r="B5325" s="5" t="s">
        <v>5328</v>
      </c>
      <c r="C5325" s="17">
        <v>20070101</v>
      </c>
      <c r="D5325" s="17">
        <v>22991231</v>
      </c>
      <c r="E5325" s="24" t="s">
        <v>7128</v>
      </c>
    </row>
    <row r="5326" spans="1:5" ht="26" x14ac:dyDescent="0.3">
      <c r="A5326" s="17" t="str">
        <f>"A4601"</f>
        <v>A4601</v>
      </c>
      <c r="B5326" s="5" t="s">
        <v>5329</v>
      </c>
      <c r="C5326" s="17">
        <v>20070101</v>
      </c>
      <c r="D5326" s="17">
        <v>22991231</v>
      </c>
      <c r="E5326" s="24" t="s">
        <v>7128</v>
      </c>
    </row>
    <row r="5327" spans="1:5" ht="26" x14ac:dyDescent="0.3">
      <c r="A5327" s="17" t="str">
        <f>"A4638"</f>
        <v>A4638</v>
      </c>
      <c r="B5327" s="5" t="s">
        <v>5330</v>
      </c>
      <c r="C5327" s="17">
        <v>20040101</v>
      </c>
      <c r="D5327" s="17">
        <v>22991231</v>
      </c>
      <c r="E5327" s="24" t="s">
        <v>7128</v>
      </c>
    </row>
    <row r="5328" spans="1:5" ht="26" x14ac:dyDescent="0.3">
      <c r="A5328" s="17" t="str">
        <f>"A9156"</f>
        <v>A9156</v>
      </c>
      <c r="B5328" s="5" t="s">
        <v>5331</v>
      </c>
      <c r="C5328" s="17">
        <v>20240101</v>
      </c>
      <c r="D5328" s="17">
        <v>22991231</v>
      </c>
      <c r="E5328" s="25">
        <v>0</v>
      </c>
    </row>
    <row r="5329" spans="1:5" ht="26" x14ac:dyDescent="0.3">
      <c r="A5329" s="17" t="str">
        <f>"A9500"</f>
        <v>A9500</v>
      </c>
      <c r="B5329" s="5" t="s">
        <v>5332</v>
      </c>
      <c r="C5329" s="17">
        <v>20230101</v>
      </c>
      <c r="D5329" s="17">
        <v>22991231</v>
      </c>
      <c r="E5329" s="25">
        <v>0</v>
      </c>
    </row>
    <row r="5330" spans="1:5" ht="26" x14ac:dyDescent="0.3">
      <c r="A5330" s="17" t="str">
        <f>"A9501"</f>
        <v>A9501</v>
      </c>
      <c r="B5330" s="5" t="s">
        <v>5333</v>
      </c>
      <c r="C5330" s="17">
        <v>20230101</v>
      </c>
      <c r="D5330" s="17">
        <v>22991231</v>
      </c>
      <c r="E5330" s="25">
        <v>0</v>
      </c>
    </row>
    <row r="5331" spans="1:5" ht="26" x14ac:dyDescent="0.3">
      <c r="A5331" s="17" t="str">
        <f>"A9502"</f>
        <v>A9502</v>
      </c>
      <c r="B5331" s="5" t="s">
        <v>5334</v>
      </c>
      <c r="C5331" s="17">
        <v>20230101</v>
      </c>
      <c r="D5331" s="17">
        <v>22991231</v>
      </c>
      <c r="E5331" s="25">
        <v>0</v>
      </c>
    </row>
    <row r="5332" spans="1:5" ht="26" x14ac:dyDescent="0.3">
      <c r="A5332" s="17" t="str">
        <f>"A9503"</f>
        <v>A9503</v>
      </c>
      <c r="B5332" s="5" t="s">
        <v>5335</v>
      </c>
      <c r="C5332" s="17">
        <v>20230101</v>
      </c>
      <c r="D5332" s="17">
        <v>22991231</v>
      </c>
      <c r="E5332" s="25">
        <v>0</v>
      </c>
    </row>
    <row r="5333" spans="1:5" ht="26" x14ac:dyDescent="0.3">
      <c r="A5333" s="17" t="str">
        <f>"A9504"</f>
        <v>A9504</v>
      </c>
      <c r="B5333" s="5" t="s">
        <v>5336</v>
      </c>
      <c r="C5333" s="17">
        <v>20230101</v>
      </c>
      <c r="D5333" s="17">
        <v>22991231</v>
      </c>
      <c r="E5333" s="25">
        <v>0</v>
      </c>
    </row>
    <row r="5334" spans="1:5" ht="26" x14ac:dyDescent="0.3">
      <c r="A5334" s="17" t="str">
        <f>"A9505"</f>
        <v>A9505</v>
      </c>
      <c r="B5334" s="5" t="s">
        <v>5337</v>
      </c>
      <c r="C5334" s="17">
        <v>20230101</v>
      </c>
      <c r="D5334" s="17">
        <v>22991231</v>
      </c>
      <c r="E5334" s="25">
        <v>0</v>
      </c>
    </row>
    <row r="5335" spans="1:5" ht="26" x14ac:dyDescent="0.3">
      <c r="A5335" s="17" t="str">
        <f>"A9507"</f>
        <v>A9507</v>
      </c>
      <c r="B5335" s="5" t="s">
        <v>5338</v>
      </c>
      <c r="C5335" s="17">
        <v>20230101</v>
      </c>
      <c r="D5335" s="17">
        <v>22991231</v>
      </c>
      <c r="E5335" s="25">
        <v>0</v>
      </c>
    </row>
    <row r="5336" spans="1:5" ht="26" x14ac:dyDescent="0.3">
      <c r="A5336" s="17" t="str">
        <f>"A9508"</f>
        <v>A9508</v>
      </c>
      <c r="B5336" s="5" t="s">
        <v>5339</v>
      </c>
      <c r="C5336" s="17">
        <v>20230101</v>
      </c>
      <c r="D5336" s="17">
        <v>22991231</v>
      </c>
      <c r="E5336" s="25">
        <v>0</v>
      </c>
    </row>
    <row r="5337" spans="1:5" ht="26" x14ac:dyDescent="0.3">
      <c r="A5337" s="17" t="str">
        <f>"A9509"</f>
        <v>A9509</v>
      </c>
      <c r="B5337" s="5" t="s">
        <v>5340</v>
      </c>
      <c r="C5337" s="17">
        <v>20230101</v>
      </c>
      <c r="D5337" s="17">
        <v>22991231</v>
      </c>
      <c r="E5337" s="25">
        <v>0</v>
      </c>
    </row>
    <row r="5338" spans="1:5" ht="26" x14ac:dyDescent="0.3">
      <c r="A5338" s="17" t="str">
        <f>"A9510"</f>
        <v>A9510</v>
      </c>
      <c r="B5338" s="5" t="s">
        <v>5341</v>
      </c>
      <c r="C5338" s="17">
        <v>20230101</v>
      </c>
      <c r="D5338" s="17">
        <v>22991231</v>
      </c>
      <c r="E5338" s="25">
        <v>0</v>
      </c>
    </row>
    <row r="5339" spans="1:5" ht="26" x14ac:dyDescent="0.3">
      <c r="A5339" s="17" t="str">
        <f>"A9512"</f>
        <v>A9512</v>
      </c>
      <c r="B5339" s="5" t="s">
        <v>5342</v>
      </c>
      <c r="C5339" s="17">
        <v>20230101</v>
      </c>
      <c r="D5339" s="17">
        <v>22991231</v>
      </c>
      <c r="E5339" s="25">
        <v>0</v>
      </c>
    </row>
    <row r="5340" spans="1:5" ht="26" x14ac:dyDescent="0.3">
      <c r="A5340" s="17" t="str">
        <f>"A9515"</f>
        <v>A9515</v>
      </c>
      <c r="B5340" s="5" t="s">
        <v>5343</v>
      </c>
      <c r="C5340" s="17">
        <v>20230101</v>
      </c>
      <c r="D5340" s="17">
        <v>22991231</v>
      </c>
      <c r="E5340" s="25">
        <v>0</v>
      </c>
    </row>
    <row r="5341" spans="1:5" ht="26" x14ac:dyDescent="0.3">
      <c r="A5341" s="17" t="str">
        <f>"A9516"</f>
        <v>A9516</v>
      </c>
      <c r="B5341" s="5" t="s">
        <v>5344</v>
      </c>
      <c r="C5341" s="17">
        <v>20230101</v>
      </c>
      <c r="D5341" s="17">
        <v>22991231</v>
      </c>
      <c r="E5341" s="25">
        <v>0</v>
      </c>
    </row>
    <row r="5342" spans="1:5" ht="26" x14ac:dyDescent="0.3">
      <c r="A5342" s="17" t="str">
        <f>"A9520"</f>
        <v>A9520</v>
      </c>
      <c r="B5342" s="5" t="s">
        <v>5345</v>
      </c>
      <c r="C5342" s="17">
        <v>20230101</v>
      </c>
      <c r="D5342" s="17">
        <v>22991231</v>
      </c>
      <c r="E5342" s="25">
        <v>0</v>
      </c>
    </row>
    <row r="5343" spans="1:5" ht="26" x14ac:dyDescent="0.3">
      <c r="A5343" s="17" t="str">
        <f>"A9521"</f>
        <v>A9521</v>
      </c>
      <c r="B5343" s="5" t="s">
        <v>5346</v>
      </c>
      <c r="C5343" s="17">
        <v>20230101</v>
      </c>
      <c r="D5343" s="17">
        <v>22991231</v>
      </c>
      <c r="E5343" s="25">
        <v>0</v>
      </c>
    </row>
    <row r="5344" spans="1:5" ht="26" x14ac:dyDescent="0.3">
      <c r="A5344" s="17" t="str">
        <f>"A9524"</f>
        <v>A9524</v>
      </c>
      <c r="B5344" s="5" t="s">
        <v>5347</v>
      </c>
      <c r="C5344" s="17">
        <v>20230101</v>
      </c>
      <c r="D5344" s="17">
        <v>22991231</v>
      </c>
      <c r="E5344" s="25">
        <v>0</v>
      </c>
    </row>
    <row r="5345" spans="1:5" ht="26" x14ac:dyDescent="0.3">
      <c r="A5345" s="17" t="str">
        <f>"A9526"</f>
        <v>A9526</v>
      </c>
      <c r="B5345" s="5" t="s">
        <v>5348</v>
      </c>
      <c r="C5345" s="17">
        <v>20230101</v>
      </c>
      <c r="D5345" s="17">
        <v>22991231</v>
      </c>
      <c r="E5345" s="25">
        <v>0</v>
      </c>
    </row>
    <row r="5346" spans="1:5" ht="26" x14ac:dyDescent="0.3">
      <c r="A5346" s="17" t="str">
        <f>"A9527"</f>
        <v>A9527</v>
      </c>
      <c r="B5346" s="5" t="s">
        <v>5349</v>
      </c>
      <c r="C5346" s="17">
        <v>20230101</v>
      </c>
      <c r="D5346" s="17">
        <v>22991231</v>
      </c>
      <c r="E5346" s="25">
        <v>57.45</v>
      </c>
    </row>
    <row r="5347" spans="1:5" ht="26" x14ac:dyDescent="0.3">
      <c r="A5347" s="17" t="str">
        <f>"A9528"</f>
        <v>A9528</v>
      </c>
      <c r="B5347" s="5" t="s">
        <v>5350</v>
      </c>
      <c r="C5347" s="17">
        <v>20230101</v>
      </c>
      <c r="D5347" s="17">
        <v>22991231</v>
      </c>
      <c r="E5347" s="25">
        <v>0</v>
      </c>
    </row>
    <row r="5348" spans="1:5" ht="26" x14ac:dyDescent="0.3">
      <c r="A5348" s="17" t="str">
        <f>"A9529"</f>
        <v>A9529</v>
      </c>
      <c r="B5348" s="5" t="s">
        <v>5351</v>
      </c>
      <c r="C5348" s="17">
        <v>20230101</v>
      </c>
      <c r="D5348" s="17">
        <v>22991231</v>
      </c>
      <c r="E5348" s="25">
        <v>0</v>
      </c>
    </row>
    <row r="5349" spans="1:5" ht="26" x14ac:dyDescent="0.3">
      <c r="A5349" s="17" t="str">
        <f>"A9531"</f>
        <v>A9531</v>
      </c>
      <c r="B5349" s="5" t="s">
        <v>5352</v>
      </c>
      <c r="C5349" s="17">
        <v>20230101</v>
      </c>
      <c r="D5349" s="17">
        <v>22991231</v>
      </c>
      <c r="E5349" s="25">
        <v>0</v>
      </c>
    </row>
    <row r="5350" spans="1:5" ht="26" x14ac:dyDescent="0.3">
      <c r="A5350" s="17" t="str">
        <f>"A9532"</f>
        <v>A9532</v>
      </c>
      <c r="B5350" s="5" t="s">
        <v>5353</v>
      </c>
      <c r="C5350" s="17">
        <v>20230101</v>
      </c>
      <c r="D5350" s="17">
        <v>22991231</v>
      </c>
      <c r="E5350" s="25">
        <v>0</v>
      </c>
    </row>
    <row r="5351" spans="1:5" ht="26" x14ac:dyDescent="0.3">
      <c r="A5351" s="17" t="str">
        <f>"A9536"</f>
        <v>A9536</v>
      </c>
      <c r="B5351" s="5" t="s">
        <v>5354</v>
      </c>
      <c r="C5351" s="17">
        <v>20230101</v>
      </c>
      <c r="D5351" s="17">
        <v>22991231</v>
      </c>
      <c r="E5351" s="25">
        <v>0</v>
      </c>
    </row>
    <row r="5352" spans="1:5" ht="26" x14ac:dyDescent="0.3">
      <c r="A5352" s="17" t="str">
        <f>"A9537"</f>
        <v>A9537</v>
      </c>
      <c r="B5352" s="5" t="s">
        <v>5355</v>
      </c>
      <c r="C5352" s="17">
        <v>20230101</v>
      </c>
      <c r="D5352" s="17">
        <v>22991231</v>
      </c>
      <c r="E5352" s="25">
        <v>0</v>
      </c>
    </row>
    <row r="5353" spans="1:5" ht="26" x14ac:dyDescent="0.3">
      <c r="A5353" s="17" t="str">
        <f>"A9538"</f>
        <v>A9538</v>
      </c>
      <c r="B5353" s="5" t="s">
        <v>5356</v>
      </c>
      <c r="C5353" s="17">
        <v>20230101</v>
      </c>
      <c r="D5353" s="17">
        <v>22991231</v>
      </c>
      <c r="E5353" s="25">
        <v>0</v>
      </c>
    </row>
    <row r="5354" spans="1:5" ht="26" x14ac:dyDescent="0.3">
      <c r="A5354" s="17" t="str">
        <f>"A9539"</f>
        <v>A9539</v>
      </c>
      <c r="B5354" s="5" t="s">
        <v>5357</v>
      </c>
      <c r="C5354" s="17">
        <v>20230101</v>
      </c>
      <c r="D5354" s="17">
        <v>22991231</v>
      </c>
      <c r="E5354" s="25">
        <v>0</v>
      </c>
    </row>
    <row r="5355" spans="1:5" ht="26" x14ac:dyDescent="0.3">
      <c r="A5355" s="17" t="str">
        <f>"A9540"</f>
        <v>A9540</v>
      </c>
      <c r="B5355" s="5" t="s">
        <v>5358</v>
      </c>
      <c r="C5355" s="17">
        <v>20230101</v>
      </c>
      <c r="D5355" s="17">
        <v>22991231</v>
      </c>
      <c r="E5355" s="25">
        <v>0</v>
      </c>
    </row>
    <row r="5356" spans="1:5" ht="26" x14ac:dyDescent="0.3">
      <c r="A5356" s="17" t="str">
        <f>"A9541"</f>
        <v>A9541</v>
      </c>
      <c r="B5356" s="5" t="s">
        <v>5359</v>
      </c>
      <c r="C5356" s="17">
        <v>20230101</v>
      </c>
      <c r="D5356" s="17">
        <v>22991231</v>
      </c>
      <c r="E5356" s="25">
        <v>0</v>
      </c>
    </row>
    <row r="5357" spans="1:5" ht="26" x14ac:dyDescent="0.3">
      <c r="A5357" s="17" t="str">
        <f>"A9542"</f>
        <v>A9542</v>
      </c>
      <c r="B5357" s="5" t="s">
        <v>5360</v>
      </c>
      <c r="C5357" s="17">
        <v>20230101</v>
      </c>
      <c r="D5357" s="17">
        <v>22991231</v>
      </c>
      <c r="E5357" s="25">
        <v>0</v>
      </c>
    </row>
    <row r="5358" spans="1:5" ht="26" x14ac:dyDescent="0.3">
      <c r="A5358" s="17" t="str">
        <f>"A9546"</f>
        <v>A9546</v>
      </c>
      <c r="B5358" s="5" t="s">
        <v>5361</v>
      </c>
      <c r="C5358" s="17">
        <v>20230101</v>
      </c>
      <c r="D5358" s="17">
        <v>22991231</v>
      </c>
      <c r="E5358" s="25">
        <v>0</v>
      </c>
    </row>
    <row r="5359" spans="1:5" ht="26" x14ac:dyDescent="0.3">
      <c r="A5359" s="17" t="str">
        <f>"A9547"</f>
        <v>A9547</v>
      </c>
      <c r="B5359" s="5" t="s">
        <v>5362</v>
      </c>
      <c r="C5359" s="17">
        <v>20230101</v>
      </c>
      <c r="D5359" s="17">
        <v>22991231</v>
      </c>
      <c r="E5359" s="25">
        <v>0</v>
      </c>
    </row>
    <row r="5360" spans="1:5" ht="26" x14ac:dyDescent="0.3">
      <c r="A5360" s="17" t="str">
        <f>"A9548"</f>
        <v>A9548</v>
      </c>
      <c r="B5360" s="5" t="s">
        <v>5363</v>
      </c>
      <c r="C5360" s="17">
        <v>20230101</v>
      </c>
      <c r="D5360" s="17">
        <v>22991231</v>
      </c>
      <c r="E5360" s="25">
        <v>0</v>
      </c>
    </row>
    <row r="5361" spans="1:5" ht="26" x14ac:dyDescent="0.3">
      <c r="A5361" s="17" t="str">
        <f>"A9550"</f>
        <v>A9550</v>
      </c>
      <c r="B5361" s="5" t="s">
        <v>5364</v>
      </c>
      <c r="C5361" s="17">
        <v>20230101</v>
      </c>
      <c r="D5361" s="17">
        <v>22991231</v>
      </c>
      <c r="E5361" s="25">
        <v>0</v>
      </c>
    </row>
    <row r="5362" spans="1:5" ht="26" x14ac:dyDescent="0.3">
      <c r="A5362" s="17" t="str">
        <f>"A9551"</f>
        <v>A9551</v>
      </c>
      <c r="B5362" s="5" t="s">
        <v>5365</v>
      </c>
      <c r="C5362" s="17">
        <v>20230101</v>
      </c>
      <c r="D5362" s="17">
        <v>22991231</v>
      </c>
      <c r="E5362" s="25">
        <v>0</v>
      </c>
    </row>
    <row r="5363" spans="1:5" ht="26" x14ac:dyDescent="0.3">
      <c r="A5363" s="17" t="str">
        <f>"A9552"</f>
        <v>A9552</v>
      </c>
      <c r="B5363" s="5" t="s">
        <v>5366</v>
      </c>
      <c r="C5363" s="17">
        <v>20230101</v>
      </c>
      <c r="D5363" s="17">
        <v>22991231</v>
      </c>
      <c r="E5363" s="25">
        <v>0</v>
      </c>
    </row>
    <row r="5364" spans="1:5" ht="26" x14ac:dyDescent="0.3">
      <c r="A5364" s="17" t="str">
        <f>"A9553"</f>
        <v>A9553</v>
      </c>
      <c r="B5364" s="5" t="s">
        <v>5367</v>
      </c>
      <c r="C5364" s="17">
        <v>20230101</v>
      </c>
      <c r="D5364" s="17">
        <v>22991231</v>
      </c>
      <c r="E5364" s="25">
        <v>0</v>
      </c>
    </row>
    <row r="5365" spans="1:5" ht="26" x14ac:dyDescent="0.3">
      <c r="A5365" s="17" t="str">
        <f>"A9554"</f>
        <v>A9554</v>
      </c>
      <c r="B5365" s="5" t="s">
        <v>5368</v>
      </c>
      <c r="C5365" s="17">
        <v>20230101</v>
      </c>
      <c r="D5365" s="17">
        <v>22991231</v>
      </c>
      <c r="E5365" s="25">
        <v>0</v>
      </c>
    </row>
    <row r="5366" spans="1:5" ht="26" x14ac:dyDescent="0.3">
      <c r="A5366" s="17" t="str">
        <f>"A9555"</f>
        <v>A9555</v>
      </c>
      <c r="B5366" s="5" t="s">
        <v>5369</v>
      </c>
      <c r="C5366" s="17">
        <v>20230101</v>
      </c>
      <c r="D5366" s="17">
        <v>22991231</v>
      </c>
      <c r="E5366" s="25">
        <v>0</v>
      </c>
    </row>
    <row r="5367" spans="1:5" x14ac:dyDescent="0.3">
      <c r="A5367" s="17" t="str">
        <f>"A9556"</f>
        <v>A9556</v>
      </c>
      <c r="B5367" s="5" t="s">
        <v>5370</v>
      </c>
      <c r="C5367" s="17">
        <v>20230101</v>
      </c>
      <c r="D5367" s="17">
        <v>22991231</v>
      </c>
      <c r="E5367" s="25">
        <v>0</v>
      </c>
    </row>
    <row r="5368" spans="1:5" ht="26" x14ac:dyDescent="0.3">
      <c r="A5368" s="17" t="str">
        <f>"A9557"</f>
        <v>A9557</v>
      </c>
      <c r="B5368" s="5" t="s">
        <v>5371</v>
      </c>
      <c r="C5368" s="17">
        <v>20230101</v>
      </c>
      <c r="D5368" s="17">
        <v>22991231</v>
      </c>
      <c r="E5368" s="25">
        <v>0</v>
      </c>
    </row>
    <row r="5369" spans="1:5" x14ac:dyDescent="0.3">
      <c r="A5369" s="17" t="str">
        <f>"A9558"</f>
        <v>A9558</v>
      </c>
      <c r="B5369" s="5" t="s">
        <v>5372</v>
      </c>
      <c r="C5369" s="17">
        <v>20230101</v>
      </c>
      <c r="D5369" s="17">
        <v>22991231</v>
      </c>
      <c r="E5369" s="25">
        <v>0</v>
      </c>
    </row>
    <row r="5370" spans="1:5" ht="26" x14ac:dyDescent="0.3">
      <c r="A5370" s="17" t="str">
        <f>"A9559"</f>
        <v>A9559</v>
      </c>
      <c r="B5370" s="5" t="s">
        <v>5373</v>
      </c>
      <c r="C5370" s="17">
        <v>20230101</v>
      </c>
      <c r="D5370" s="17">
        <v>22991231</v>
      </c>
      <c r="E5370" s="25">
        <v>0</v>
      </c>
    </row>
    <row r="5371" spans="1:5" ht="26" x14ac:dyDescent="0.3">
      <c r="A5371" s="17" t="str">
        <f>"A9560"</f>
        <v>A9560</v>
      </c>
      <c r="B5371" s="5" t="s">
        <v>5374</v>
      </c>
      <c r="C5371" s="17">
        <v>20230101</v>
      </c>
      <c r="D5371" s="17">
        <v>22991231</v>
      </c>
      <c r="E5371" s="25">
        <v>0</v>
      </c>
    </row>
    <row r="5372" spans="1:5" ht="26" x14ac:dyDescent="0.3">
      <c r="A5372" s="17" t="str">
        <f>"A9561"</f>
        <v>A9561</v>
      </c>
      <c r="B5372" s="5" t="s">
        <v>5375</v>
      </c>
      <c r="C5372" s="17">
        <v>20100101</v>
      </c>
      <c r="D5372" s="17">
        <v>22991231</v>
      </c>
      <c r="E5372" s="25">
        <v>0</v>
      </c>
    </row>
    <row r="5373" spans="1:5" ht="26" x14ac:dyDescent="0.3">
      <c r="A5373" s="17" t="str">
        <f>"A9562"</f>
        <v>A9562</v>
      </c>
      <c r="B5373" s="5" t="s">
        <v>5376</v>
      </c>
      <c r="C5373" s="17">
        <v>20170101</v>
      </c>
      <c r="D5373" s="17">
        <v>22991231</v>
      </c>
      <c r="E5373" s="25">
        <v>0</v>
      </c>
    </row>
    <row r="5374" spans="1:5" ht="26" x14ac:dyDescent="0.3">
      <c r="A5374" s="17" t="str">
        <f>"A9566"</f>
        <v>A9566</v>
      </c>
      <c r="B5374" s="5" t="s">
        <v>5377</v>
      </c>
      <c r="C5374" s="17">
        <v>20230101</v>
      </c>
      <c r="D5374" s="17">
        <v>22991231</v>
      </c>
      <c r="E5374" s="25">
        <v>0</v>
      </c>
    </row>
    <row r="5375" spans="1:5" ht="26" x14ac:dyDescent="0.3">
      <c r="A5375" s="17" t="str">
        <f>"A9567"</f>
        <v>A9567</v>
      </c>
      <c r="B5375" s="5" t="s">
        <v>5378</v>
      </c>
      <c r="C5375" s="17">
        <v>20230101</v>
      </c>
      <c r="D5375" s="17">
        <v>22991231</v>
      </c>
      <c r="E5375" s="25">
        <v>0</v>
      </c>
    </row>
    <row r="5376" spans="1:5" ht="26" x14ac:dyDescent="0.3">
      <c r="A5376" s="17" t="str">
        <f>"A9568"</f>
        <v>A9568</v>
      </c>
      <c r="B5376" s="5" t="s">
        <v>5379</v>
      </c>
      <c r="C5376" s="17">
        <v>20230101</v>
      </c>
      <c r="D5376" s="17">
        <v>22991231</v>
      </c>
      <c r="E5376" s="25">
        <v>0</v>
      </c>
    </row>
    <row r="5377" spans="1:5" ht="39" x14ac:dyDescent="0.3">
      <c r="A5377" s="17" t="str">
        <f>"A9569"</f>
        <v>A9569</v>
      </c>
      <c r="B5377" s="5" t="s">
        <v>5380</v>
      </c>
      <c r="C5377" s="17">
        <v>20230101</v>
      </c>
      <c r="D5377" s="17">
        <v>22991231</v>
      </c>
      <c r="E5377" s="25">
        <v>0</v>
      </c>
    </row>
    <row r="5378" spans="1:5" ht="26" x14ac:dyDescent="0.3">
      <c r="A5378" s="17" t="str">
        <f>"A9570"</f>
        <v>A9570</v>
      </c>
      <c r="B5378" s="5" t="s">
        <v>5381</v>
      </c>
      <c r="C5378" s="17">
        <v>20230101</v>
      </c>
      <c r="D5378" s="17">
        <v>22991231</v>
      </c>
      <c r="E5378" s="25">
        <v>0</v>
      </c>
    </row>
    <row r="5379" spans="1:5" ht="26" x14ac:dyDescent="0.3">
      <c r="A5379" s="17" t="str">
        <f>"A9571"</f>
        <v>A9571</v>
      </c>
      <c r="B5379" s="5" t="s">
        <v>5382</v>
      </c>
      <c r="C5379" s="17">
        <v>20230101</v>
      </c>
      <c r="D5379" s="17">
        <v>22991231</v>
      </c>
      <c r="E5379" s="25">
        <v>0</v>
      </c>
    </row>
    <row r="5380" spans="1:5" ht="26" x14ac:dyDescent="0.3">
      <c r="A5380" s="17" t="str">
        <f>"A9572"</f>
        <v>A9572</v>
      </c>
      <c r="B5380" s="5" t="s">
        <v>5383</v>
      </c>
      <c r="C5380" s="17">
        <v>20230101</v>
      </c>
      <c r="D5380" s="17">
        <v>22991231</v>
      </c>
      <c r="E5380" s="25">
        <v>0</v>
      </c>
    </row>
    <row r="5381" spans="1:5" x14ac:dyDescent="0.3">
      <c r="A5381" s="17" t="str">
        <f>"A9573"</f>
        <v>A9573</v>
      </c>
      <c r="B5381" s="5" t="s">
        <v>5384</v>
      </c>
      <c r="C5381" s="17">
        <v>20240101</v>
      </c>
      <c r="D5381" s="17">
        <v>22991231</v>
      </c>
      <c r="E5381" s="25">
        <v>0</v>
      </c>
    </row>
    <row r="5382" spans="1:5" x14ac:dyDescent="0.3">
      <c r="A5382" s="17" t="str">
        <f>"A9575"</f>
        <v>A9575</v>
      </c>
      <c r="B5382" s="5" t="s">
        <v>5385</v>
      </c>
      <c r="C5382" s="17">
        <v>20230101</v>
      </c>
      <c r="D5382" s="17">
        <v>22991231</v>
      </c>
      <c r="E5382" s="25">
        <v>0</v>
      </c>
    </row>
    <row r="5383" spans="1:5" ht="26" x14ac:dyDescent="0.3">
      <c r="A5383" s="17" t="str">
        <f>"A9576"</f>
        <v>A9576</v>
      </c>
      <c r="B5383" s="5" t="s">
        <v>5386</v>
      </c>
      <c r="C5383" s="17">
        <v>20230101</v>
      </c>
      <c r="D5383" s="17">
        <v>22991231</v>
      </c>
      <c r="E5383" s="25">
        <v>0</v>
      </c>
    </row>
    <row r="5384" spans="1:5" ht="26" x14ac:dyDescent="0.3">
      <c r="A5384" s="17" t="str">
        <f>"A9577"</f>
        <v>A9577</v>
      </c>
      <c r="B5384" s="5" t="s">
        <v>5387</v>
      </c>
      <c r="C5384" s="17">
        <v>20230101</v>
      </c>
      <c r="D5384" s="17">
        <v>22991231</v>
      </c>
      <c r="E5384" s="25">
        <v>0</v>
      </c>
    </row>
    <row r="5385" spans="1:5" ht="26" x14ac:dyDescent="0.3">
      <c r="A5385" s="17" t="str">
        <f>"A9578"</f>
        <v>A9578</v>
      </c>
      <c r="B5385" s="5" t="s">
        <v>5388</v>
      </c>
      <c r="C5385" s="17">
        <v>20230101</v>
      </c>
      <c r="D5385" s="17">
        <v>22991231</v>
      </c>
      <c r="E5385" s="25">
        <v>0</v>
      </c>
    </row>
    <row r="5386" spans="1:5" ht="39" x14ac:dyDescent="0.3">
      <c r="A5386" s="17" t="str">
        <f>"A9579"</f>
        <v>A9579</v>
      </c>
      <c r="B5386" s="5" t="s">
        <v>5389</v>
      </c>
      <c r="C5386" s="17">
        <v>20230101</v>
      </c>
      <c r="D5386" s="17">
        <v>22991231</v>
      </c>
      <c r="E5386" s="25">
        <v>0</v>
      </c>
    </row>
    <row r="5387" spans="1:5" ht="26" x14ac:dyDescent="0.3">
      <c r="A5387" s="17" t="str">
        <f>"A9580"</f>
        <v>A9580</v>
      </c>
      <c r="B5387" s="5" t="s">
        <v>5390</v>
      </c>
      <c r="C5387" s="17">
        <v>20230101</v>
      </c>
      <c r="D5387" s="17">
        <v>22991231</v>
      </c>
      <c r="E5387" s="25">
        <v>0</v>
      </c>
    </row>
    <row r="5388" spans="1:5" x14ac:dyDescent="0.3">
      <c r="A5388" s="17" t="str">
        <f>"A9581"</f>
        <v>A9581</v>
      </c>
      <c r="B5388" s="5" t="s">
        <v>5391</v>
      </c>
      <c r="C5388" s="17">
        <v>20230101</v>
      </c>
      <c r="D5388" s="17">
        <v>22991231</v>
      </c>
      <c r="E5388" s="25">
        <v>0</v>
      </c>
    </row>
    <row r="5389" spans="1:5" ht="26" x14ac:dyDescent="0.3">
      <c r="A5389" s="17" t="str">
        <f>"A9582"</f>
        <v>A9582</v>
      </c>
      <c r="B5389" s="5" t="s">
        <v>5392</v>
      </c>
      <c r="C5389" s="17">
        <v>20230101</v>
      </c>
      <c r="D5389" s="17">
        <v>22991231</v>
      </c>
      <c r="E5389" s="25">
        <v>0</v>
      </c>
    </row>
    <row r="5390" spans="1:5" x14ac:dyDescent="0.3">
      <c r="A5390" s="17" t="str">
        <f>"A9583"</f>
        <v>A9583</v>
      </c>
      <c r="B5390" s="5" t="s">
        <v>5393</v>
      </c>
      <c r="C5390" s="17">
        <v>20230101</v>
      </c>
      <c r="D5390" s="17">
        <v>22991231</v>
      </c>
      <c r="E5390" s="25">
        <v>0</v>
      </c>
    </row>
    <row r="5391" spans="1:5" ht="26" x14ac:dyDescent="0.3">
      <c r="A5391" s="17" t="str">
        <f>"A9584"</f>
        <v>A9584</v>
      </c>
      <c r="B5391" s="5" t="s">
        <v>5394</v>
      </c>
      <c r="C5391" s="17">
        <v>20230101</v>
      </c>
      <c r="D5391" s="17">
        <v>22991231</v>
      </c>
      <c r="E5391" s="25">
        <v>0</v>
      </c>
    </row>
    <row r="5392" spans="1:5" x14ac:dyDescent="0.3">
      <c r="A5392" s="17" t="str">
        <f>"A9585"</f>
        <v>A9585</v>
      </c>
      <c r="B5392" s="5" t="s">
        <v>5395</v>
      </c>
      <c r="C5392" s="17">
        <v>20201001</v>
      </c>
      <c r="D5392" s="17">
        <v>22991231</v>
      </c>
      <c r="E5392" s="25">
        <v>0</v>
      </c>
    </row>
    <row r="5393" spans="1:5" ht="26" x14ac:dyDescent="0.3">
      <c r="A5393" s="17" t="str">
        <f>"A9586"</f>
        <v>A9586</v>
      </c>
      <c r="B5393" s="5" t="s">
        <v>5396</v>
      </c>
      <c r="C5393" s="17">
        <v>20230101</v>
      </c>
      <c r="D5393" s="17">
        <v>22991231</v>
      </c>
      <c r="E5393" s="25">
        <v>0</v>
      </c>
    </row>
    <row r="5394" spans="1:5" ht="26" x14ac:dyDescent="0.3">
      <c r="A5394" s="17" t="str">
        <f>"A9587"</f>
        <v>A9587</v>
      </c>
      <c r="B5394" s="5" t="s">
        <v>5397</v>
      </c>
      <c r="C5394" s="17">
        <v>20230101</v>
      </c>
      <c r="D5394" s="17">
        <v>22991231</v>
      </c>
      <c r="E5394" s="25">
        <v>0</v>
      </c>
    </row>
    <row r="5395" spans="1:5" x14ac:dyDescent="0.3">
      <c r="A5395" s="17" t="str">
        <f>"A9588"</f>
        <v>A9588</v>
      </c>
      <c r="B5395" s="5" t="s">
        <v>5398</v>
      </c>
      <c r="C5395" s="17">
        <v>20230101</v>
      </c>
      <c r="D5395" s="17">
        <v>22991231</v>
      </c>
      <c r="E5395" s="25">
        <v>0</v>
      </c>
    </row>
    <row r="5396" spans="1:5" x14ac:dyDescent="0.3">
      <c r="A5396" s="17" t="str">
        <f>"A9590"</f>
        <v>A9590</v>
      </c>
      <c r="B5396" s="5" t="s">
        <v>5399</v>
      </c>
      <c r="C5396" s="17">
        <v>20230101</v>
      </c>
      <c r="D5396" s="17">
        <v>22991231</v>
      </c>
      <c r="E5396" s="25">
        <v>324.38</v>
      </c>
    </row>
    <row r="5397" spans="1:5" x14ac:dyDescent="0.3">
      <c r="A5397" s="17" t="str">
        <f>"A9591"</f>
        <v>A9591</v>
      </c>
      <c r="B5397" s="5" t="s">
        <v>5400</v>
      </c>
      <c r="C5397" s="17">
        <v>20230101</v>
      </c>
      <c r="D5397" s="17">
        <v>22991231</v>
      </c>
      <c r="E5397" s="25">
        <v>0</v>
      </c>
    </row>
    <row r="5398" spans="1:5" x14ac:dyDescent="0.3">
      <c r="A5398" s="17" t="str">
        <f>"A9592"</f>
        <v>A9592</v>
      </c>
      <c r="B5398" s="5" t="s">
        <v>5401</v>
      </c>
      <c r="C5398" s="17">
        <v>20230101</v>
      </c>
      <c r="D5398" s="17">
        <v>22991231</v>
      </c>
      <c r="E5398" s="25">
        <v>0</v>
      </c>
    </row>
    <row r="5399" spans="1:5" ht="26" x14ac:dyDescent="0.3">
      <c r="A5399" s="17" t="str">
        <f>"A9593"</f>
        <v>A9593</v>
      </c>
      <c r="B5399" s="5" t="s">
        <v>5402</v>
      </c>
      <c r="C5399" s="17">
        <v>20230101</v>
      </c>
      <c r="D5399" s="17">
        <v>22991231</v>
      </c>
      <c r="E5399" s="25">
        <v>769.98</v>
      </c>
    </row>
    <row r="5400" spans="1:5" ht="26" x14ac:dyDescent="0.3">
      <c r="A5400" s="17" t="str">
        <f>"A9594"</f>
        <v>A9594</v>
      </c>
      <c r="B5400" s="5" t="s">
        <v>5403</v>
      </c>
      <c r="C5400" s="17">
        <v>20230101</v>
      </c>
      <c r="D5400" s="17">
        <v>22991231</v>
      </c>
      <c r="E5400" s="25">
        <v>753.9</v>
      </c>
    </row>
    <row r="5401" spans="1:5" x14ac:dyDescent="0.3">
      <c r="A5401" s="17" t="str">
        <f>"A9595"</f>
        <v>A9595</v>
      </c>
      <c r="B5401" s="5" t="s">
        <v>5404</v>
      </c>
      <c r="C5401" s="17">
        <v>20230101</v>
      </c>
      <c r="D5401" s="17">
        <v>22991231</v>
      </c>
      <c r="E5401" s="25">
        <v>554.32000000000005</v>
      </c>
    </row>
    <row r="5402" spans="1:5" ht="26" x14ac:dyDescent="0.3">
      <c r="A5402" s="17" t="str">
        <f>"A9596"</f>
        <v>A9596</v>
      </c>
      <c r="B5402" s="5" t="s">
        <v>5405</v>
      </c>
      <c r="C5402" s="17">
        <v>20230101</v>
      </c>
      <c r="D5402" s="17">
        <v>22991231</v>
      </c>
      <c r="E5402" s="25">
        <v>947.2</v>
      </c>
    </row>
    <row r="5403" spans="1:5" ht="39" x14ac:dyDescent="0.3">
      <c r="A5403" s="17" t="str">
        <f>"A9597"</f>
        <v>A9597</v>
      </c>
      <c r="B5403" s="5" t="s">
        <v>5406</v>
      </c>
      <c r="C5403" s="17">
        <v>20230101</v>
      </c>
      <c r="D5403" s="17">
        <v>22991231</v>
      </c>
      <c r="E5403" s="25">
        <v>0</v>
      </c>
    </row>
    <row r="5404" spans="1:5" ht="39" x14ac:dyDescent="0.3">
      <c r="A5404" s="17" t="str">
        <f>"A9598"</f>
        <v>A9598</v>
      </c>
      <c r="B5404" s="5" t="s">
        <v>5407</v>
      </c>
      <c r="C5404" s="17">
        <v>20230101</v>
      </c>
      <c r="D5404" s="17">
        <v>22991231</v>
      </c>
      <c r="E5404" s="25">
        <v>0</v>
      </c>
    </row>
    <row r="5405" spans="1:5" ht="26" x14ac:dyDescent="0.3">
      <c r="A5405" s="17" t="str">
        <f>"A9601"</f>
        <v>A9601</v>
      </c>
      <c r="B5405" s="5" t="s">
        <v>5408</v>
      </c>
      <c r="C5405" s="17">
        <v>20230101</v>
      </c>
      <c r="D5405" s="17">
        <v>22991231</v>
      </c>
      <c r="E5405" s="25">
        <v>3543.61</v>
      </c>
    </row>
    <row r="5406" spans="1:5" x14ac:dyDescent="0.3">
      <c r="A5406" s="17" t="str">
        <f>"A9602"</f>
        <v>A9602</v>
      </c>
      <c r="B5406" s="5" t="s">
        <v>5409</v>
      </c>
      <c r="C5406" s="17">
        <v>20230101</v>
      </c>
      <c r="D5406" s="17">
        <v>22991231</v>
      </c>
      <c r="E5406" s="25">
        <v>426.84</v>
      </c>
    </row>
    <row r="5407" spans="1:5" x14ac:dyDescent="0.3">
      <c r="A5407" s="17" t="str">
        <f>"A9603"</f>
        <v>A9603</v>
      </c>
      <c r="B5407" s="5" t="s">
        <v>5410</v>
      </c>
      <c r="C5407" s="17">
        <v>20240101</v>
      </c>
      <c r="D5407" s="17">
        <v>22991231</v>
      </c>
      <c r="E5407" s="25">
        <v>0</v>
      </c>
    </row>
    <row r="5408" spans="1:5" x14ac:dyDescent="0.3">
      <c r="A5408" s="17" t="str">
        <f>"A9608"</f>
        <v>A9608</v>
      </c>
      <c r="B5408" s="5" t="s">
        <v>5411</v>
      </c>
      <c r="C5408" s="17">
        <v>20240101</v>
      </c>
      <c r="D5408" s="17">
        <v>22991231</v>
      </c>
      <c r="E5408" s="25">
        <v>604.30999999999995</v>
      </c>
    </row>
    <row r="5409" spans="1:5" x14ac:dyDescent="0.3">
      <c r="A5409" s="17" t="str">
        <f>"A9609"</f>
        <v>A9609</v>
      </c>
      <c r="B5409" s="5" t="s">
        <v>5412</v>
      </c>
      <c r="C5409" s="17">
        <v>20240101</v>
      </c>
      <c r="D5409" s="17">
        <v>22991231</v>
      </c>
      <c r="E5409" s="25">
        <v>0</v>
      </c>
    </row>
    <row r="5410" spans="1:5" ht="26" x14ac:dyDescent="0.3">
      <c r="A5410" s="17" t="str">
        <f>"A9697"</f>
        <v>A9697</v>
      </c>
      <c r="B5410" s="5" t="s">
        <v>5413</v>
      </c>
      <c r="C5410" s="17">
        <v>20240101</v>
      </c>
      <c r="D5410" s="17">
        <v>22991231</v>
      </c>
      <c r="E5410" s="25">
        <v>0</v>
      </c>
    </row>
    <row r="5411" spans="1:5" ht="26" x14ac:dyDescent="0.3">
      <c r="A5411" s="17" t="str">
        <f>"A9698"</f>
        <v>A9698</v>
      </c>
      <c r="B5411" s="5" t="s">
        <v>5414</v>
      </c>
      <c r="C5411" s="17">
        <v>20230101</v>
      </c>
      <c r="D5411" s="17">
        <v>22991231</v>
      </c>
      <c r="E5411" s="25">
        <v>0</v>
      </c>
    </row>
    <row r="5412" spans="1:5" ht="26" x14ac:dyDescent="0.3">
      <c r="A5412" s="17" t="str">
        <f>"A9700"</f>
        <v>A9700</v>
      </c>
      <c r="B5412" s="5" t="s">
        <v>5415</v>
      </c>
      <c r="C5412" s="17">
        <v>20230101</v>
      </c>
      <c r="D5412" s="17">
        <v>22991231</v>
      </c>
      <c r="E5412" s="25">
        <v>0</v>
      </c>
    </row>
    <row r="5413" spans="1:5" ht="26" x14ac:dyDescent="0.3">
      <c r="A5413" s="17" t="str">
        <f>"A9800"</f>
        <v>A9800</v>
      </c>
      <c r="B5413" s="5" t="s">
        <v>5416</v>
      </c>
      <c r="C5413" s="17">
        <v>20230101</v>
      </c>
      <c r="D5413" s="17">
        <v>22991231</v>
      </c>
      <c r="E5413" s="25">
        <v>834.27</v>
      </c>
    </row>
    <row r="5414" spans="1:5" x14ac:dyDescent="0.3">
      <c r="A5414" s="17" t="str">
        <f>"C1052"</f>
        <v>C1052</v>
      </c>
      <c r="B5414" s="5" t="s">
        <v>5417</v>
      </c>
      <c r="C5414" s="17">
        <v>20230101</v>
      </c>
      <c r="D5414" s="17">
        <v>22991231</v>
      </c>
      <c r="E5414" s="25">
        <v>0</v>
      </c>
    </row>
    <row r="5415" spans="1:5" ht="26" x14ac:dyDescent="0.3">
      <c r="A5415" s="17" t="str">
        <f>"C1062"</f>
        <v>C1062</v>
      </c>
      <c r="B5415" s="5" t="s">
        <v>5418</v>
      </c>
      <c r="C5415" s="17">
        <v>20230101</v>
      </c>
      <c r="D5415" s="17">
        <v>22991231</v>
      </c>
      <c r="E5415" s="25">
        <v>0</v>
      </c>
    </row>
    <row r="5416" spans="1:5" ht="26" x14ac:dyDescent="0.3">
      <c r="A5416" s="17" t="str">
        <f>"C1600"</f>
        <v>C1600</v>
      </c>
      <c r="B5416" s="5" t="s">
        <v>5419</v>
      </c>
      <c r="C5416" s="17">
        <v>20240101</v>
      </c>
      <c r="D5416" s="17">
        <v>22991231</v>
      </c>
      <c r="E5416" s="25">
        <v>0</v>
      </c>
    </row>
    <row r="5417" spans="1:5" ht="39" x14ac:dyDescent="0.3">
      <c r="A5417" s="17" t="str">
        <f>"C1601"</f>
        <v>C1601</v>
      </c>
      <c r="B5417" s="5" t="s">
        <v>5420</v>
      </c>
      <c r="C5417" s="17">
        <v>20240101</v>
      </c>
      <c r="D5417" s="17">
        <v>22991231</v>
      </c>
      <c r="E5417" s="25">
        <v>0</v>
      </c>
    </row>
    <row r="5418" spans="1:5" ht="26" x14ac:dyDescent="0.3">
      <c r="A5418" s="17" t="str">
        <f>"C1602"</f>
        <v>C1602</v>
      </c>
      <c r="B5418" s="5" t="s">
        <v>5421</v>
      </c>
      <c r="C5418" s="17">
        <v>20240101</v>
      </c>
      <c r="D5418" s="17">
        <v>22991231</v>
      </c>
      <c r="E5418" s="25">
        <v>0</v>
      </c>
    </row>
    <row r="5419" spans="1:5" ht="26" x14ac:dyDescent="0.3">
      <c r="A5419" s="17" t="str">
        <f>"C1603"</f>
        <v>C1603</v>
      </c>
      <c r="B5419" s="5" t="s">
        <v>5422</v>
      </c>
      <c r="C5419" s="17">
        <v>20240101</v>
      </c>
      <c r="D5419" s="17">
        <v>22991231</v>
      </c>
      <c r="E5419" s="25">
        <v>0</v>
      </c>
    </row>
    <row r="5420" spans="1:5" ht="39" x14ac:dyDescent="0.3">
      <c r="A5420" s="17" t="str">
        <f>"C1604"</f>
        <v>C1604</v>
      </c>
      <c r="B5420" s="5" t="s">
        <v>5423</v>
      </c>
      <c r="C5420" s="17">
        <v>20240101</v>
      </c>
      <c r="D5420" s="17">
        <v>22991231</v>
      </c>
      <c r="E5420" s="25">
        <v>0</v>
      </c>
    </row>
    <row r="5421" spans="1:5" ht="26" x14ac:dyDescent="0.3">
      <c r="A5421" s="17" t="str">
        <f>"C1713"</f>
        <v>C1713</v>
      </c>
      <c r="B5421" s="5" t="s">
        <v>5424</v>
      </c>
      <c r="C5421" s="17">
        <v>20230101</v>
      </c>
      <c r="D5421" s="17">
        <v>22991231</v>
      </c>
      <c r="E5421" s="25">
        <v>0</v>
      </c>
    </row>
    <row r="5422" spans="1:5" x14ac:dyDescent="0.3">
      <c r="A5422" s="17" t="str">
        <f>"C1714"</f>
        <v>C1714</v>
      </c>
      <c r="B5422" s="5" t="s">
        <v>5425</v>
      </c>
      <c r="C5422" s="17">
        <v>20230101</v>
      </c>
      <c r="D5422" s="17">
        <v>22991231</v>
      </c>
      <c r="E5422" s="25">
        <v>0</v>
      </c>
    </row>
    <row r="5423" spans="1:5" x14ac:dyDescent="0.3">
      <c r="A5423" s="17" t="str">
        <f>"C1715"</f>
        <v>C1715</v>
      </c>
      <c r="B5423" s="5" t="s">
        <v>5426</v>
      </c>
      <c r="C5423" s="17">
        <v>20230101</v>
      </c>
      <c r="D5423" s="17">
        <v>22991231</v>
      </c>
      <c r="E5423" s="25">
        <v>0</v>
      </c>
    </row>
    <row r="5424" spans="1:5" ht="26" x14ac:dyDescent="0.3">
      <c r="A5424" s="17" t="str">
        <f>"C1716"</f>
        <v>C1716</v>
      </c>
      <c r="B5424" s="5" t="s">
        <v>5427</v>
      </c>
      <c r="C5424" s="17">
        <v>20230101</v>
      </c>
      <c r="D5424" s="17">
        <v>22991231</v>
      </c>
      <c r="E5424" s="25">
        <v>258.76</v>
      </c>
    </row>
    <row r="5425" spans="1:5" ht="26" x14ac:dyDescent="0.3">
      <c r="A5425" s="17" t="str">
        <f>"C1717"</f>
        <v>C1717</v>
      </c>
      <c r="B5425" s="5" t="s">
        <v>5428</v>
      </c>
      <c r="C5425" s="17">
        <v>20230101</v>
      </c>
      <c r="D5425" s="17">
        <v>22991231</v>
      </c>
      <c r="E5425" s="25">
        <v>331.42</v>
      </c>
    </row>
    <row r="5426" spans="1:5" ht="26" x14ac:dyDescent="0.3">
      <c r="A5426" s="17" t="str">
        <f>"C1719"</f>
        <v>C1719</v>
      </c>
      <c r="B5426" s="5" t="s">
        <v>5429</v>
      </c>
      <c r="C5426" s="17">
        <v>20230101</v>
      </c>
      <c r="D5426" s="17">
        <v>22991231</v>
      </c>
      <c r="E5426" s="25">
        <v>332.79</v>
      </c>
    </row>
    <row r="5427" spans="1:5" ht="26" x14ac:dyDescent="0.3">
      <c r="A5427" s="17" t="str">
        <f>"C1721"</f>
        <v>C1721</v>
      </c>
      <c r="B5427" s="5" t="s">
        <v>5430</v>
      </c>
      <c r="C5427" s="17">
        <v>20050101</v>
      </c>
      <c r="D5427" s="17">
        <v>22991231</v>
      </c>
      <c r="E5427" s="25">
        <v>0</v>
      </c>
    </row>
    <row r="5428" spans="1:5" ht="26" x14ac:dyDescent="0.3">
      <c r="A5428" s="17" t="str">
        <f>"C1722"</f>
        <v>C1722</v>
      </c>
      <c r="B5428" s="5" t="s">
        <v>5431</v>
      </c>
      <c r="C5428" s="17">
        <v>20230101</v>
      </c>
      <c r="D5428" s="17">
        <v>22991231</v>
      </c>
      <c r="E5428" s="25">
        <v>0</v>
      </c>
    </row>
    <row r="5429" spans="1:5" x14ac:dyDescent="0.3">
      <c r="A5429" s="17" t="str">
        <f>"C1724"</f>
        <v>C1724</v>
      </c>
      <c r="B5429" s="5" t="s">
        <v>5432</v>
      </c>
      <c r="C5429" s="17">
        <v>20230101</v>
      </c>
      <c r="D5429" s="17">
        <v>22991231</v>
      </c>
      <c r="E5429" s="25">
        <v>0</v>
      </c>
    </row>
    <row r="5430" spans="1:5" ht="39" x14ac:dyDescent="0.3">
      <c r="A5430" s="17" t="str">
        <f>"C1725"</f>
        <v>C1725</v>
      </c>
      <c r="B5430" s="5" t="s">
        <v>5433</v>
      </c>
      <c r="C5430" s="17">
        <v>20230101</v>
      </c>
      <c r="D5430" s="17">
        <v>22991231</v>
      </c>
      <c r="E5430" s="25">
        <v>0</v>
      </c>
    </row>
    <row r="5431" spans="1:5" x14ac:dyDescent="0.3">
      <c r="A5431" s="17" t="str">
        <f>"C1726"</f>
        <v>C1726</v>
      </c>
      <c r="B5431" s="5" t="s">
        <v>5434</v>
      </c>
      <c r="C5431" s="17">
        <v>20230101</v>
      </c>
      <c r="D5431" s="17">
        <v>22991231</v>
      </c>
      <c r="E5431" s="25">
        <v>0</v>
      </c>
    </row>
    <row r="5432" spans="1:5" ht="26" x14ac:dyDescent="0.3">
      <c r="A5432" s="17" t="str">
        <f>"C1727"</f>
        <v>C1727</v>
      </c>
      <c r="B5432" s="5" t="s">
        <v>5435</v>
      </c>
      <c r="C5432" s="17">
        <v>20230101</v>
      </c>
      <c r="D5432" s="17">
        <v>22991231</v>
      </c>
      <c r="E5432" s="25">
        <v>0</v>
      </c>
    </row>
    <row r="5433" spans="1:5" x14ac:dyDescent="0.3">
      <c r="A5433" s="17" t="str">
        <f>"C1728"</f>
        <v>C1728</v>
      </c>
      <c r="B5433" s="5" t="s">
        <v>5436</v>
      </c>
      <c r="C5433" s="17">
        <v>20230101</v>
      </c>
      <c r="D5433" s="17">
        <v>22991231</v>
      </c>
      <c r="E5433" s="25">
        <v>0</v>
      </c>
    </row>
    <row r="5434" spans="1:5" x14ac:dyDescent="0.3">
      <c r="A5434" s="17" t="str">
        <f>"C1729"</f>
        <v>C1729</v>
      </c>
      <c r="B5434" s="5" t="s">
        <v>5437</v>
      </c>
      <c r="C5434" s="17">
        <v>20230101</v>
      </c>
      <c r="D5434" s="17">
        <v>22991231</v>
      </c>
      <c r="E5434" s="25">
        <v>0</v>
      </c>
    </row>
    <row r="5435" spans="1:5" ht="26" x14ac:dyDescent="0.3">
      <c r="A5435" s="17" t="str">
        <f>"C1730"</f>
        <v>C1730</v>
      </c>
      <c r="B5435" s="5" t="s">
        <v>5438</v>
      </c>
      <c r="C5435" s="17">
        <v>20230101</v>
      </c>
      <c r="D5435" s="17">
        <v>22991231</v>
      </c>
      <c r="E5435" s="25">
        <v>0</v>
      </c>
    </row>
    <row r="5436" spans="1:5" ht="26" x14ac:dyDescent="0.3">
      <c r="A5436" s="17" t="str">
        <f>"C1731"</f>
        <v>C1731</v>
      </c>
      <c r="B5436" s="5" t="s">
        <v>5439</v>
      </c>
      <c r="C5436" s="17">
        <v>20230101</v>
      </c>
      <c r="D5436" s="17">
        <v>22991231</v>
      </c>
      <c r="E5436" s="25">
        <v>0</v>
      </c>
    </row>
    <row r="5437" spans="1:5" ht="26" x14ac:dyDescent="0.3">
      <c r="A5437" s="17" t="str">
        <f>"C1732"</f>
        <v>C1732</v>
      </c>
      <c r="B5437" s="5" t="s">
        <v>5440</v>
      </c>
      <c r="C5437" s="17">
        <v>20230101</v>
      </c>
      <c r="D5437" s="17">
        <v>22991231</v>
      </c>
      <c r="E5437" s="25">
        <v>0</v>
      </c>
    </row>
    <row r="5438" spans="1:5" ht="39" x14ac:dyDescent="0.3">
      <c r="A5438" s="17" t="str">
        <f>"C1733"</f>
        <v>C1733</v>
      </c>
      <c r="B5438" s="5" t="s">
        <v>5441</v>
      </c>
      <c r="C5438" s="17">
        <v>20230101</v>
      </c>
      <c r="D5438" s="17">
        <v>22991231</v>
      </c>
      <c r="E5438" s="25">
        <v>0</v>
      </c>
    </row>
    <row r="5439" spans="1:5" ht="26" x14ac:dyDescent="0.3">
      <c r="A5439" s="17" t="str">
        <f>"C1734"</f>
        <v>C1734</v>
      </c>
      <c r="B5439" s="5" t="s">
        <v>5442</v>
      </c>
      <c r="C5439" s="17">
        <v>20230101</v>
      </c>
      <c r="D5439" s="17">
        <v>22991231</v>
      </c>
      <c r="E5439" s="25">
        <v>0</v>
      </c>
    </row>
    <row r="5440" spans="1:5" ht="26" x14ac:dyDescent="0.3">
      <c r="A5440" s="17" t="str">
        <f>"C1747"</f>
        <v>C1747</v>
      </c>
      <c r="B5440" s="5" t="s">
        <v>5443</v>
      </c>
      <c r="C5440" s="17">
        <v>20230101</v>
      </c>
      <c r="D5440" s="17">
        <v>22991231</v>
      </c>
      <c r="E5440" s="25">
        <v>0</v>
      </c>
    </row>
    <row r="5441" spans="1:5" ht="26" x14ac:dyDescent="0.3">
      <c r="A5441" s="17" t="str">
        <f>"C1748"</f>
        <v>C1748</v>
      </c>
      <c r="B5441" s="5" t="s">
        <v>5444</v>
      </c>
      <c r="C5441" s="17">
        <v>20230101</v>
      </c>
      <c r="D5441" s="17">
        <v>22991231</v>
      </c>
      <c r="E5441" s="25">
        <v>0</v>
      </c>
    </row>
    <row r="5442" spans="1:5" ht="26" x14ac:dyDescent="0.3">
      <c r="A5442" s="17" t="str">
        <f>"C1749"</f>
        <v>C1749</v>
      </c>
      <c r="B5442" s="5" t="s">
        <v>5445</v>
      </c>
      <c r="C5442" s="17">
        <v>20230101</v>
      </c>
      <c r="D5442" s="17">
        <v>22991231</v>
      </c>
      <c r="E5442" s="25">
        <v>0</v>
      </c>
    </row>
    <row r="5443" spans="1:5" x14ac:dyDescent="0.3">
      <c r="A5443" s="17" t="str">
        <f>"C1750"</f>
        <v>C1750</v>
      </c>
      <c r="B5443" s="5" t="s">
        <v>5446</v>
      </c>
      <c r="C5443" s="17">
        <v>20230101</v>
      </c>
      <c r="D5443" s="17">
        <v>22991231</v>
      </c>
      <c r="E5443" s="25">
        <v>0</v>
      </c>
    </row>
    <row r="5444" spans="1:5" ht="26" x14ac:dyDescent="0.3">
      <c r="A5444" s="17" t="str">
        <f>"C1751"</f>
        <v>C1751</v>
      </c>
      <c r="B5444" s="5" t="s">
        <v>5447</v>
      </c>
      <c r="C5444" s="17">
        <v>20230101</v>
      </c>
      <c r="D5444" s="17">
        <v>22991231</v>
      </c>
      <c r="E5444" s="25">
        <v>0</v>
      </c>
    </row>
    <row r="5445" spans="1:5" x14ac:dyDescent="0.3">
      <c r="A5445" s="17" t="str">
        <f>"C1752"</f>
        <v>C1752</v>
      </c>
      <c r="B5445" s="5" t="s">
        <v>5448</v>
      </c>
      <c r="C5445" s="17">
        <v>20230101</v>
      </c>
      <c r="D5445" s="17">
        <v>22991231</v>
      </c>
      <c r="E5445" s="25">
        <v>0</v>
      </c>
    </row>
    <row r="5446" spans="1:5" x14ac:dyDescent="0.3">
      <c r="A5446" s="17" t="str">
        <f>"C1753"</f>
        <v>C1753</v>
      </c>
      <c r="B5446" s="5" t="s">
        <v>5449</v>
      </c>
      <c r="C5446" s="17">
        <v>20230101</v>
      </c>
      <c r="D5446" s="17">
        <v>22991231</v>
      </c>
      <c r="E5446" s="25">
        <v>0</v>
      </c>
    </row>
    <row r="5447" spans="1:5" x14ac:dyDescent="0.3">
      <c r="A5447" s="17" t="str">
        <f>"C1754"</f>
        <v>C1754</v>
      </c>
      <c r="B5447" s="5" t="s">
        <v>5450</v>
      </c>
      <c r="C5447" s="17">
        <v>20230101</v>
      </c>
      <c r="D5447" s="17">
        <v>22991231</v>
      </c>
      <c r="E5447" s="25">
        <v>0</v>
      </c>
    </row>
    <row r="5448" spans="1:5" x14ac:dyDescent="0.3">
      <c r="A5448" s="17" t="str">
        <f>"C1755"</f>
        <v>C1755</v>
      </c>
      <c r="B5448" s="5" t="s">
        <v>5451</v>
      </c>
      <c r="C5448" s="17">
        <v>20230101</v>
      </c>
      <c r="D5448" s="17">
        <v>22991231</v>
      </c>
      <c r="E5448" s="25">
        <v>0</v>
      </c>
    </row>
    <row r="5449" spans="1:5" x14ac:dyDescent="0.3">
      <c r="A5449" s="17" t="str">
        <f>"C1756"</f>
        <v>C1756</v>
      </c>
      <c r="B5449" s="5" t="s">
        <v>5452</v>
      </c>
      <c r="C5449" s="17">
        <v>20230101</v>
      </c>
      <c r="D5449" s="17">
        <v>22991231</v>
      </c>
      <c r="E5449" s="25">
        <v>0</v>
      </c>
    </row>
    <row r="5450" spans="1:5" x14ac:dyDescent="0.3">
      <c r="A5450" s="17" t="str">
        <f>"C1757"</f>
        <v>C1757</v>
      </c>
      <c r="B5450" s="5" t="s">
        <v>5453</v>
      </c>
      <c r="C5450" s="17">
        <v>20230101</v>
      </c>
      <c r="D5450" s="17">
        <v>22991231</v>
      </c>
      <c r="E5450" s="25">
        <v>0</v>
      </c>
    </row>
    <row r="5451" spans="1:5" x14ac:dyDescent="0.3">
      <c r="A5451" s="17" t="str">
        <f>"C1758"</f>
        <v>C1758</v>
      </c>
      <c r="B5451" s="5" t="s">
        <v>5454</v>
      </c>
      <c r="C5451" s="17">
        <v>20230101</v>
      </c>
      <c r="D5451" s="17">
        <v>22991231</v>
      </c>
      <c r="E5451" s="25">
        <v>0</v>
      </c>
    </row>
    <row r="5452" spans="1:5" x14ac:dyDescent="0.3">
      <c r="A5452" s="17" t="str">
        <f>"C1759"</f>
        <v>C1759</v>
      </c>
      <c r="B5452" s="5" t="s">
        <v>5455</v>
      </c>
      <c r="C5452" s="17">
        <v>20230101</v>
      </c>
      <c r="D5452" s="17">
        <v>22991231</v>
      </c>
      <c r="E5452" s="25">
        <v>0</v>
      </c>
    </row>
    <row r="5453" spans="1:5" ht="26" x14ac:dyDescent="0.3">
      <c r="A5453" s="17" t="str">
        <f>"C1760"</f>
        <v>C1760</v>
      </c>
      <c r="B5453" s="5" t="s">
        <v>5456</v>
      </c>
      <c r="C5453" s="17">
        <v>20230101</v>
      </c>
      <c r="D5453" s="17">
        <v>22991231</v>
      </c>
      <c r="E5453" s="25">
        <v>0</v>
      </c>
    </row>
    <row r="5454" spans="1:5" ht="26" x14ac:dyDescent="0.3">
      <c r="A5454" s="17" t="str">
        <f>"C1761"</f>
        <v>C1761</v>
      </c>
      <c r="B5454" s="5" t="s">
        <v>5457</v>
      </c>
      <c r="C5454" s="17">
        <v>20230101</v>
      </c>
      <c r="D5454" s="17">
        <v>22991231</v>
      </c>
      <c r="E5454" s="25">
        <v>0</v>
      </c>
    </row>
    <row r="5455" spans="1:5" x14ac:dyDescent="0.3">
      <c r="A5455" s="17" t="str">
        <f>"C1762"</f>
        <v>C1762</v>
      </c>
      <c r="B5455" s="5" t="s">
        <v>5458</v>
      </c>
      <c r="C5455" s="17">
        <v>20230101</v>
      </c>
      <c r="D5455" s="17">
        <v>22991231</v>
      </c>
      <c r="E5455" s="25">
        <v>0</v>
      </c>
    </row>
    <row r="5456" spans="1:5" ht="26" x14ac:dyDescent="0.3">
      <c r="A5456" s="17" t="str">
        <f>"C1763"</f>
        <v>C1763</v>
      </c>
      <c r="B5456" s="5" t="s">
        <v>5459</v>
      </c>
      <c r="C5456" s="17">
        <v>20230101</v>
      </c>
      <c r="D5456" s="17">
        <v>22991231</v>
      </c>
      <c r="E5456" s="25">
        <v>0</v>
      </c>
    </row>
    <row r="5457" spans="1:5" x14ac:dyDescent="0.3">
      <c r="A5457" s="17" t="str">
        <f>"C1764"</f>
        <v>C1764</v>
      </c>
      <c r="B5457" s="5" t="s">
        <v>5460</v>
      </c>
      <c r="C5457" s="17">
        <v>20230101</v>
      </c>
      <c r="D5457" s="17">
        <v>22991231</v>
      </c>
      <c r="E5457" s="25">
        <v>0</v>
      </c>
    </row>
    <row r="5458" spans="1:5" x14ac:dyDescent="0.3">
      <c r="A5458" s="17" t="str">
        <f>"C1765"</f>
        <v>C1765</v>
      </c>
      <c r="B5458" s="5" t="s">
        <v>5461</v>
      </c>
      <c r="C5458" s="17">
        <v>20230101</v>
      </c>
      <c r="D5458" s="17">
        <v>22991231</v>
      </c>
      <c r="E5458" s="25">
        <v>0</v>
      </c>
    </row>
    <row r="5459" spans="1:5" ht="39" x14ac:dyDescent="0.3">
      <c r="A5459" s="17" t="str">
        <f>"C1766"</f>
        <v>C1766</v>
      </c>
      <c r="B5459" s="5" t="s">
        <v>5462</v>
      </c>
      <c r="C5459" s="17">
        <v>20230101</v>
      </c>
      <c r="D5459" s="17">
        <v>22991231</v>
      </c>
      <c r="E5459" s="25">
        <v>0</v>
      </c>
    </row>
    <row r="5460" spans="1:5" ht="26" x14ac:dyDescent="0.3">
      <c r="A5460" s="17" t="str">
        <f>"C1767"</f>
        <v>C1767</v>
      </c>
      <c r="B5460" s="5" t="s">
        <v>5463</v>
      </c>
      <c r="C5460" s="17">
        <v>20230101</v>
      </c>
      <c r="D5460" s="17">
        <v>22991231</v>
      </c>
      <c r="E5460" s="25">
        <v>0</v>
      </c>
    </row>
    <row r="5461" spans="1:5" x14ac:dyDescent="0.3">
      <c r="A5461" s="17" t="str">
        <f>"C1768"</f>
        <v>C1768</v>
      </c>
      <c r="B5461" s="5" t="s">
        <v>5464</v>
      </c>
      <c r="C5461" s="17">
        <v>20230101</v>
      </c>
      <c r="D5461" s="17">
        <v>22991231</v>
      </c>
      <c r="E5461" s="25">
        <v>0</v>
      </c>
    </row>
    <row r="5462" spans="1:5" x14ac:dyDescent="0.3">
      <c r="A5462" s="17" t="str">
        <f>"C1769"</f>
        <v>C1769</v>
      </c>
      <c r="B5462" s="5" t="s">
        <v>5465</v>
      </c>
      <c r="C5462" s="17">
        <v>20230101</v>
      </c>
      <c r="D5462" s="17">
        <v>22991231</v>
      </c>
      <c r="E5462" s="25">
        <v>0</v>
      </c>
    </row>
    <row r="5463" spans="1:5" x14ac:dyDescent="0.3">
      <c r="A5463" s="17" t="str">
        <f>"C1770"</f>
        <v>C1770</v>
      </c>
      <c r="B5463" s="5" t="s">
        <v>5466</v>
      </c>
      <c r="C5463" s="17">
        <v>20230101</v>
      </c>
      <c r="D5463" s="17">
        <v>22991231</v>
      </c>
      <c r="E5463" s="25">
        <v>0</v>
      </c>
    </row>
    <row r="5464" spans="1:5" ht="26" x14ac:dyDescent="0.3">
      <c r="A5464" s="17" t="str">
        <f>"C1771"</f>
        <v>C1771</v>
      </c>
      <c r="B5464" s="5" t="s">
        <v>5467</v>
      </c>
      <c r="C5464" s="17">
        <v>20230101</v>
      </c>
      <c r="D5464" s="17">
        <v>22991231</v>
      </c>
      <c r="E5464" s="25">
        <v>0</v>
      </c>
    </row>
    <row r="5465" spans="1:5" x14ac:dyDescent="0.3">
      <c r="A5465" s="17" t="str">
        <f>"C1772"</f>
        <v>C1772</v>
      </c>
      <c r="B5465" s="5" t="s">
        <v>5468</v>
      </c>
      <c r="C5465" s="17">
        <v>20230101</v>
      </c>
      <c r="D5465" s="17">
        <v>22991231</v>
      </c>
      <c r="E5465" s="25">
        <v>0</v>
      </c>
    </row>
    <row r="5466" spans="1:5" ht="26" x14ac:dyDescent="0.3">
      <c r="A5466" s="17" t="str">
        <f>"C1773"</f>
        <v>C1773</v>
      </c>
      <c r="B5466" s="5" t="s">
        <v>5469</v>
      </c>
      <c r="C5466" s="17">
        <v>20230101</v>
      </c>
      <c r="D5466" s="17">
        <v>22991231</v>
      </c>
      <c r="E5466" s="25">
        <v>0</v>
      </c>
    </row>
    <row r="5467" spans="1:5" x14ac:dyDescent="0.3">
      <c r="A5467" s="17" t="str">
        <f>"C1776"</f>
        <v>C1776</v>
      </c>
      <c r="B5467" s="5" t="s">
        <v>5470</v>
      </c>
      <c r="C5467" s="17">
        <v>20230101</v>
      </c>
      <c r="D5467" s="17">
        <v>22991231</v>
      </c>
      <c r="E5467" s="25">
        <v>0</v>
      </c>
    </row>
    <row r="5468" spans="1:5" ht="26" x14ac:dyDescent="0.3">
      <c r="A5468" s="17" t="str">
        <f>"C1777"</f>
        <v>C1777</v>
      </c>
      <c r="B5468" s="5" t="s">
        <v>5471</v>
      </c>
      <c r="C5468" s="17">
        <v>20230101</v>
      </c>
      <c r="D5468" s="17">
        <v>22991231</v>
      </c>
      <c r="E5468" s="25">
        <v>0</v>
      </c>
    </row>
    <row r="5469" spans="1:5" x14ac:dyDescent="0.3">
      <c r="A5469" s="17" t="str">
        <f>"C1778"</f>
        <v>C1778</v>
      </c>
      <c r="B5469" s="5" t="s">
        <v>5472</v>
      </c>
      <c r="C5469" s="17">
        <v>20230101</v>
      </c>
      <c r="D5469" s="17">
        <v>22991231</v>
      </c>
      <c r="E5469" s="25">
        <v>0</v>
      </c>
    </row>
    <row r="5470" spans="1:5" x14ac:dyDescent="0.3">
      <c r="A5470" s="17" t="str">
        <f>"C1779"</f>
        <v>C1779</v>
      </c>
      <c r="B5470" s="5" t="s">
        <v>5473</v>
      </c>
      <c r="C5470" s="17">
        <v>20230101</v>
      </c>
      <c r="D5470" s="17">
        <v>22991231</v>
      </c>
      <c r="E5470" s="25">
        <v>0</v>
      </c>
    </row>
    <row r="5471" spans="1:5" x14ac:dyDescent="0.3">
      <c r="A5471" s="17" t="str">
        <f>"C1780"</f>
        <v>C1780</v>
      </c>
      <c r="B5471" s="5" t="s">
        <v>5474</v>
      </c>
      <c r="C5471" s="17">
        <v>20230101</v>
      </c>
      <c r="D5471" s="17">
        <v>22991231</v>
      </c>
      <c r="E5471" s="25">
        <v>0</v>
      </c>
    </row>
    <row r="5472" spans="1:5" x14ac:dyDescent="0.3">
      <c r="A5472" s="17" t="str">
        <f>"C1781"</f>
        <v>C1781</v>
      </c>
      <c r="B5472" s="5" t="s">
        <v>5475</v>
      </c>
      <c r="C5472" s="17">
        <v>20230101</v>
      </c>
      <c r="D5472" s="17">
        <v>22991231</v>
      </c>
      <c r="E5472" s="25">
        <v>0</v>
      </c>
    </row>
    <row r="5473" spans="1:5" x14ac:dyDescent="0.3">
      <c r="A5473" s="17" t="str">
        <f>"C1782"</f>
        <v>C1782</v>
      </c>
      <c r="B5473" s="5" t="s">
        <v>5476</v>
      </c>
      <c r="C5473" s="17">
        <v>20230101</v>
      </c>
      <c r="D5473" s="17">
        <v>22991231</v>
      </c>
      <c r="E5473" s="25">
        <v>0</v>
      </c>
    </row>
    <row r="5474" spans="1:5" x14ac:dyDescent="0.3">
      <c r="A5474" s="17" t="str">
        <f>"C1783"</f>
        <v>C1783</v>
      </c>
      <c r="B5474" s="5" t="s">
        <v>5477</v>
      </c>
      <c r="C5474" s="17">
        <v>20230101</v>
      </c>
      <c r="D5474" s="17">
        <v>22991231</v>
      </c>
      <c r="E5474" s="25">
        <v>0</v>
      </c>
    </row>
    <row r="5475" spans="1:5" x14ac:dyDescent="0.3">
      <c r="A5475" s="17" t="str">
        <f>"C1784"</f>
        <v>C1784</v>
      </c>
      <c r="B5475" s="5" t="s">
        <v>5478</v>
      </c>
      <c r="C5475" s="17">
        <v>20230101</v>
      </c>
      <c r="D5475" s="17">
        <v>22991231</v>
      </c>
      <c r="E5475" s="25">
        <v>0</v>
      </c>
    </row>
    <row r="5476" spans="1:5" ht="26" x14ac:dyDescent="0.3">
      <c r="A5476" s="17" t="str">
        <f>"C1785"</f>
        <v>C1785</v>
      </c>
      <c r="B5476" s="5" t="s">
        <v>5479</v>
      </c>
      <c r="C5476" s="17">
        <v>20230101</v>
      </c>
      <c r="D5476" s="17">
        <v>22991231</v>
      </c>
      <c r="E5476" s="25">
        <v>0</v>
      </c>
    </row>
    <row r="5477" spans="1:5" ht="26" x14ac:dyDescent="0.3">
      <c r="A5477" s="17" t="str">
        <f>"C1786"</f>
        <v>C1786</v>
      </c>
      <c r="B5477" s="5" t="s">
        <v>5480</v>
      </c>
      <c r="C5477" s="17">
        <v>20230101</v>
      </c>
      <c r="D5477" s="17">
        <v>22991231</v>
      </c>
      <c r="E5477" s="25">
        <v>0</v>
      </c>
    </row>
    <row r="5478" spans="1:5" x14ac:dyDescent="0.3">
      <c r="A5478" s="17" t="str">
        <f>"C1787"</f>
        <v>C1787</v>
      </c>
      <c r="B5478" s="5" t="s">
        <v>5481</v>
      </c>
      <c r="C5478" s="17">
        <v>20230101</v>
      </c>
      <c r="D5478" s="17">
        <v>22991231</v>
      </c>
      <c r="E5478" s="25">
        <v>0</v>
      </c>
    </row>
    <row r="5479" spans="1:5" x14ac:dyDescent="0.3">
      <c r="A5479" s="17" t="str">
        <f>"C1788"</f>
        <v>C1788</v>
      </c>
      <c r="B5479" s="5" t="s">
        <v>5482</v>
      </c>
      <c r="C5479" s="17">
        <v>20230101</v>
      </c>
      <c r="D5479" s="17">
        <v>22991231</v>
      </c>
      <c r="E5479" s="25">
        <v>0</v>
      </c>
    </row>
    <row r="5480" spans="1:5" x14ac:dyDescent="0.3">
      <c r="A5480" s="17" t="str">
        <f>"C1789"</f>
        <v>C1789</v>
      </c>
      <c r="B5480" s="5" t="s">
        <v>5483</v>
      </c>
      <c r="C5480" s="17">
        <v>20230101</v>
      </c>
      <c r="D5480" s="17">
        <v>22991231</v>
      </c>
      <c r="E5480" s="25">
        <v>0</v>
      </c>
    </row>
    <row r="5481" spans="1:5" x14ac:dyDescent="0.3">
      <c r="A5481" s="17" t="str">
        <f>"C1813"</f>
        <v>C1813</v>
      </c>
      <c r="B5481" s="5" t="s">
        <v>5484</v>
      </c>
      <c r="C5481" s="17">
        <v>20230101</v>
      </c>
      <c r="D5481" s="17">
        <v>22991231</v>
      </c>
      <c r="E5481" s="25">
        <v>0</v>
      </c>
    </row>
    <row r="5482" spans="1:5" x14ac:dyDescent="0.3">
      <c r="A5482" s="17" t="str">
        <f>"C1814"</f>
        <v>C1814</v>
      </c>
      <c r="B5482" s="5" t="s">
        <v>5485</v>
      </c>
      <c r="C5482" s="17">
        <v>20230101</v>
      </c>
      <c r="D5482" s="17">
        <v>22991231</v>
      </c>
      <c r="E5482" s="25">
        <v>0</v>
      </c>
    </row>
    <row r="5483" spans="1:5" x14ac:dyDescent="0.3">
      <c r="A5483" s="17" t="str">
        <f>"C1815"</f>
        <v>C1815</v>
      </c>
      <c r="B5483" s="5" t="s">
        <v>5486</v>
      </c>
      <c r="C5483" s="17">
        <v>20230101</v>
      </c>
      <c r="D5483" s="17">
        <v>22991231</v>
      </c>
      <c r="E5483" s="25">
        <v>0</v>
      </c>
    </row>
    <row r="5484" spans="1:5" ht="26" x14ac:dyDescent="0.3">
      <c r="A5484" s="17" t="str">
        <f>"C1816"</f>
        <v>C1816</v>
      </c>
      <c r="B5484" s="5" t="s">
        <v>5487</v>
      </c>
      <c r="C5484" s="17">
        <v>20230101</v>
      </c>
      <c r="D5484" s="17">
        <v>22991231</v>
      </c>
      <c r="E5484" s="25">
        <v>0</v>
      </c>
    </row>
    <row r="5485" spans="1:5" x14ac:dyDescent="0.3">
      <c r="A5485" s="17" t="str">
        <f>"C1817"</f>
        <v>C1817</v>
      </c>
      <c r="B5485" s="5" t="s">
        <v>5488</v>
      </c>
      <c r="C5485" s="17">
        <v>20230101</v>
      </c>
      <c r="D5485" s="17">
        <v>22991231</v>
      </c>
      <c r="E5485" s="25">
        <v>0</v>
      </c>
    </row>
    <row r="5486" spans="1:5" x14ac:dyDescent="0.3">
      <c r="A5486" s="17" t="str">
        <f>"C1818"</f>
        <v>C1818</v>
      </c>
      <c r="B5486" s="5" t="s">
        <v>5489</v>
      </c>
      <c r="C5486" s="17">
        <v>20230101</v>
      </c>
      <c r="D5486" s="17">
        <v>22991231</v>
      </c>
      <c r="E5486" s="25">
        <v>0</v>
      </c>
    </row>
    <row r="5487" spans="1:5" ht="26" x14ac:dyDescent="0.3">
      <c r="A5487" s="17" t="str">
        <f>"C1819"</f>
        <v>C1819</v>
      </c>
      <c r="B5487" s="5" t="s">
        <v>5490</v>
      </c>
      <c r="C5487" s="17">
        <v>20230101</v>
      </c>
      <c r="D5487" s="17">
        <v>22991231</v>
      </c>
      <c r="E5487" s="25">
        <v>0</v>
      </c>
    </row>
    <row r="5488" spans="1:5" ht="26" x14ac:dyDescent="0.3">
      <c r="A5488" s="17" t="str">
        <f>"C1820"</f>
        <v>C1820</v>
      </c>
      <c r="B5488" s="5" t="s">
        <v>5491</v>
      </c>
      <c r="C5488" s="17">
        <v>20230101</v>
      </c>
      <c r="D5488" s="17">
        <v>22991231</v>
      </c>
      <c r="E5488" s="25">
        <v>0</v>
      </c>
    </row>
    <row r="5489" spans="1:5" ht="26" x14ac:dyDescent="0.3">
      <c r="A5489" s="17" t="str">
        <f>"C1821"</f>
        <v>C1821</v>
      </c>
      <c r="B5489" s="5" t="s">
        <v>5492</v>
      </c>
      <c r="C5489" s="17">
        <v>20230101</v>
      </c>
      <c r="D5489" s="17">
        <v>22991231</v>
      </c>
      <c r="E5489" s="25">
        <v>0</v>
      </c>
    </row>
    <row r="5490" spans="1:5" ht="39" x14ac:dyDescent="0.3">
      <c r="A5490" s="17" t="str">
        <f>"C1822"</f>
        <v>C1822</v>
      </c>
      <c r="B5490" s="5" t="s">
        <v>5493</v>
      </c>
      <c r="C5490" s="17">
        <v>20230101</v>
      </c>
      <c r="D5490" s="17">
        <v>22991231</v>
      </c>
      <c r="E5490" s="25">
        <v>0</v>
      </c>
    </row>
    <row r="5491" spans="1:5" ht="39" x14ac:dyDescent="0.3">
      <c r="A5491" s="17" t="str">
        <f>"C1823"</f>
        <v>C1823</v>
      </c>
      <c r="B5491" s="5" t="s">
        <v>5494</v>
      </c>
      <c r="C5491" s="17">
        <v>20230101</v>
      </c>
      <c r="D5491" s="17">
        <v>22991231</v>
      </c>
      <c r="E5491" s="25">
        <v>0</v>
      </c>
    </row>
    <row r="5492" spans="1:5" ht="26" x14ac:dyDescent="0.3">
      <c r="A5492" s="17" t="str">
        <f>"C1824"</f>
        <v>C1824</v>
      </c>
      <c r="B5492" s="5" t="s">
        <v>5495</v>
      </c>
      <c r="C5492" s="17">
        <v>20230101</v>
      </c>
      <c r="D5492" s="17">
        <v>22991231</v>
      </c>
      <c r="E5492" s="25">
        <v>0</v>
      </c>
    </row>
    <row r="5493" spans="1:5" ht="39" x14ac:dyDescent="0.3">
      <c r="A5493" s="17" t="str">
        <f>"C1825"</f>
        <v>C1825</v>
      </c>
      <c r="B5493" s="5" t="s">
        <v>5496</v>
      </c>
      <c r="C5493" s="17">
        <v>20230101</v>
      </c>
      <c r="D5493" s="17">
        <v>22991231</v>
      </c>
      <c r="E5493" s="25">
        <v>0</v>
      </c>
    </row>
    <row r="5494" spans="1:5" ht="52" x14ac:dyDescent="0.3">
      <c r="A5494" s="17" t="str">
        <f>"C1826"</f>
        <v>C1826</v>
      </c>
      <c r="B5494" s="5" t="s">
        <v>5497</v>
      </c>
      <c r="C5494" s="17">
        <v>20230101</v>
      </c>
      <c r="D5494" s="17">
        <v>22991231</v>
      </c>
      <c r="E5494" s="25">
        <v>0</v>
      </c>
    </row>
    <row r="5495" spans="1:5" ht="39" x14ac:dyDescent="0.3">
      <c r="A5495" s="17" t="str">
        <f>"C1827"</f>
        <v>C1827</v>
      </c>
      <c r="B5495" s="5" t="s">
        <v>5498</v>
      </c>
      <c r="C5495" s="17">
        <v>20230101</v>
      </c>
      <c r="D5495" s="17">
        <v>22991231</v>
      </c>
      <c r="E5495" s="25">
        <v>0</v>
      </c>
    </row>
    <row r="5496" spans="1:5" x14ac:dyDescent="0.3">
      <c r="A5496" s="17" t="str">
        <f>"C1830"</f>
        <v>C1830</v>
      </c>
      <c r="B5496" s="5" t="s">
        <v>5499</v>
      </c>
      <c r="C5496" s="17">
        <v>20230101</v>
      </c>
      <c r="D5496" s="17">
        <v>22991231</v>
      </c>
      <c r="E5496" s="25">
        <v>0</v>
      </c>
    </row>
    <row r="5497" spans="1:5" ht="26" x14ac:dyDescent="0.3">
      <c r="A5497" s="17" t="str">
        <f>"C1831"</f>
        <v>C1831</v>
      </c>
      <c r="B5497" s="5" t="s">
        <v>5500</v>
      </c>
      <c r="C5497" s="17">
        <v>20230101</v>
      </c>
      <c r="D5497" s="17">
        <v>22991231</v>
      </c>
      <c r="E5497" s="25">
        <v>0</v>
      </c>
    </row>
    <row r="5498" spans="1:5" ht="26" x14ac:dyDescent="0.3">
      <c r="A5498" s="17" t="str">
        <f>"C1832"</f>
        <v>C1832</v>
      </c>
      <c r="B5498" s="5" t="s">
        <v>5501</v>
      </c>
      <c r="C5498" s="17">
        <v>20230101</v>
      </c>
      <c r="D5498" s="17">
        <v>22991231</v>
      </c>
      <c r="E5498" s="25">
        <v>0</v>
      </c>
    </row>
    <row r="5499" spans="1:5" ht="26" x14ac:dyDescent="0.3">
      <c r="A5499" s="17" t="str">
        <f>"C1833"</f>
        <v>C1833</v>
      </c>
      <c r="B5499" s="5" t="s">
        <v>5502</v>
      </c>
      <c r="C5499" s="17">
        <v>20230101</v>
      </c>
      <c r="D5499" s="17">
        <v>22991231</v>
      </c>
      <c r="E5499" s="25">
        <v>0</v>
      </c>
    </row>
    <row r="5500" spans="1:5" x14ac:dyDescent="0.3">
      <c r="A5500" s="17" t="str">
        <f>"C1839"</f>
        <v>C1839</v>
      </c>
      <c r="B5500" s="5" t="s">
        <v>5503</v>
      </c>
      <c r="C5500" s="17">
        <v>20230101</v>
      </c>
      <c r="D5500" s="17">
        <v>22991231</v>
      </c>
      <c r="E5500" s="25">
        <v>0</v>
      </c>
    </row>
    <row r="5501" spans="1:5" x14ac:dyDescent="0.3">
      <c r="A5501" s="17" t="str">
        <f>"C1840"</f>
        <v>C1840</v>
      </c>
      <c r="B5501" s="5" t="s">
        <v>5504</v>
      </c>
      <c r="C5501" s="17">
        <v>20230101</v>
      </c>
      <c r="D5501" s="17">
        <v>22991231</v>
      </c>
      <c r="E5501" s="25">
        <v>0</v>
      </c>
    </row>
    <row r="5502" spans="1:5" x14ac:dyDescent="0.3">
      <c r="A5502" s="17" t="str">
        <f>"C1874"</f>
        <v>C1874</v>
      </c>
      <c r="B5502" s="5" t="s">
        <v>5505</v>
      </c>
      <c r="C5502" s="17">
        <v>20230101</v>
      </c>
      <c r="D5502" s="17">
        <v>22991231</v>
      </c>
      <c r="E5502" s="25">
        <v>0</v>
      </c>
    </row>
    <row r="5503" spans="1:5" x14ac:dyDescent="0.3">
      <c r="A5503" s="17" t="str">
        <f>"C1875"</f>
        <v>C1875</v>
      </c>
      <c r="B5503" s="5" t="s">
        <v>5506</v>
      </c>
      <c r="C5503" s="17">
        <v>20230101</v>
      </c>
      <c r="D5503" s="17">
        <v>22991231</v>
      </c>
      <c r="E5503" s="25">
        <v>0</v>
      </c>
    </row>
    <row r="5504" spans="1:5" ht="26" x14ac:dyDescent="0.3">
      <c r="A5504" s="17" t="str">
        <f>"C1876"</f>
        <v>C1876</v>
      </c>
      <c r="B5504" s="5" t="s">
        <v>5507</v>
      </c>
      <c r="C5504" s="17">
        <v>20230101</v>
      </c>
      <c r="D5504" s="17">
        <v>22991231</v>
      </c>
      <c r="E5504" s="25">
        <v>0</v>
      </c>
    </row>
    <row r="5505" spans="1:5" ht="26" x14ac:dyDescent="0.3">
      <c r="A5505" s="17" t="str">
        <f>"C1877"</f>
        <v>C1877</v>
      </c>
      <c r="B5505" s="5" t="s">
        <v>5508</v>
      </c>
      <c r="C5505" s="17">
        <v>20230101</v>
      </c>
      <c r="D5505" s="17">
        <v>22991231</v>
      </c>
      <c r="E5505" s="25">
        <v>0</v>
      </c>
    </row>
    <row r="5506" spans="1:5" ht="26" x14ac:dyDescent="0.3">
      <c r="A5506" s="17" t="str">
        <f>"C1878"</f>
        <v>C1878</v>
      </c>
      <c r="B5506" s="5" t="s">
        <v>5509</v>
      </c>
      <c r="C5506" s="17">
        <v>20230101</v>
      </c>
      <c r="D5506" s="17">
        <v>22991231</v>
      </c>
      <c r="E5506" s="25">
        <v>0</v>
      </c>
    </row>
    <row r="5507" spans="1:5" x14ac:dyDescent="0.3">
      <c r="A5507" s="17" t="str">
        <f>"C1880"</f>
        <v>C1880</v>
      </c>
      <c r="B5507" s="5" t="s">
        <v>5510</v>
      </c>
      <c r="C5507" s="17">
        <v>20230101</v>
      </c>
      <c r="D5507" s="17">
        <v>22991231</v>
      </c>
      <c r="E5507" s="25">
        <v>0</v>
      </c>
    </row>
    <row r="5508" spans="1:5" x14ac:dyDescent="0.3">
      <c r="A5508" s="17" t="str">
        <f>"C1881"</f>
        <v>C1881</v>
      </c>
      <c r="B5508" s="5" t="s">
        <v>5511</v>
      </c>
      <c r="C5508" s="17">
        <v>20230101</v>
      </c>
      <c r="D5508" s="17">
        <v>22991231</v>
      </c>
      <c r="E5508" s="25">
        <v>0</v>
      </c>
    </row>
    <row r="5509" spans="1:5" ht="26" x14ac:dyDescent="0.3">
      <c r="A5509" s="17" t="str">
        <f>"C1882"</f>
        <v>C1882</v>
      </c>
      <c r="B5509" s="5" t="s">
        <v>5512</v>
      </c>
      <c r="C5509" s="17">
        <v>20230101</v>
      </c>
      <c r="D5509" s="17">
        <v>22991231</v>
      </c>
      <c r="E5509" s="25">
        <v>0</v>
      </c>
    </row>
    <row r="5510" spans="1:5" ht="26" x14ac:dyDescent="0.3">
      <c r="A5510" s="17" t="str">
        <f>"C1883"</f>
        <v>C1883</v>
      </c>
      <c r="B5510" s="5" t="s">
        <v>5513</v>
      </c>
      <c r="C5510" s="17">
        <v>20230101</v>
      </c>
      <c r="D5510" s="17">
        <v>22991231</v>
      </c>
      <c r="E5510" s="25">
        <v>0</v>
      </c>
    </row>
    <row r="5511" spans="1:5" x14ac:dyDescent="0.3">
      <c r="A5511" s="17" t="str">
        <f>"C1884"</f>
        <v>C1884</v>
      </c>
      <c r="B5511" s="5" t="s">
        <v>5514</v>
      </c>
      <c r="C5511" s="17">
        <v>20230101</v>
      </c>
      <c r="D5511" s="17">
        <v>22991231</v>
      </c>
      <c r="E5511" s="25">
        <v>0</v>
      </c>
    </row>
    <row r="5512" spans="1:5" x14ac:dyDescent="0.3">
      <c r="A5512" s="17" t="str">
        <f>"C1885"</f>
        <v>C1885</v>
      </c>
      <c r="B5512" s="5" t="s">
        <v>5515</v>
      </c>
      <c r="C5512" s="17">
        <v>20230101</v>
      </c>
      <c r="D5512" s="17">
        <v>22991231</v>
      </c>
      <c r="E5512" s="25">
        <v>0</v>
      </c>
    </row>
    <row r="5513" spans="1:5" ht="26" x14ac:dyDescent="0.3">
      <c r="A5513" s="17" t="str">
        <f>"C1886"</f>
        <v>C1886</v>
      </c>
      <c r="B5513" s="5" t="s">
        <v>5516</v>
      </c>
      <c r="C5513" s="17">
        <v>20230101</v>
      </c>
      <c r="D5513" s="17">
        <v>22991231</v>
      </c>
      <c r="E5513" s="25">
        <v>0</v>
      </c>
    </row>
    <row r="5514" spans="1:5" ht="26" x14ac:dyDescent="0.3">
      <c r="A5514" s="17" t="str">
        <f>"C1887"</f>
        <v>C1887</v>
      </c>
      <c r="B5514" s="5" t="s">
        <v>5517</v>
      </c>
      <c r="C5514" s="17">
        <v>20230101</v>
      </c>
      <c r="D5514" s="17">
        <v>22991231</v>
      </c>
      <c r="E5514" s="25">
        <v>0</v>
      </c>
    </row>
    <row r="5515" spans="1:5" ht="26" x14ac:dyDescent="0.3">
      <c r="A5515" s="17" t="str">
        <f>"C1888"</f>
        <v>C1888</v>
      </c>
      <c r="B5515" s="5" t="s">
        <v>5518</v>
      </c>
      <c r="C5515" s="17">
        <v>20230101</v>
      </c>
      <c r="D5515" s="17">
        <v>22991231</v>
      </c>
      <c r="E5515" s="25">
        <v>0</v>
      </c>
    </row>
    <row r="5516" spans="1:5" ht="26" x14ac:dyDescent="0.3">
      <c r="A5516" s="17" t="str">
        <f>"C1889"</f>
        <v>C1889</v>
      </c>
      <c r="B5516" s="5" t="s">
        <v>5519</v>
      </c>
      <c r="C5516" s="17">
        <v>20230101</v>
      </c>
      <c r="D5516" s="17">
        <v>22991231</v>
      </c>
      <c r="E5516" s="25">
        <v>0</v>
      </c>
    </row>
    <row r="5517" spans="1:5" ht="26" x14ac:dyDescent="0.3">
      <c r="A5517" s="17" t="str">
        <f>"C1890"</f>
        <v>C1890</v>
      </c>
      <c r="B5517" s="5" t="s">
        <v>5520</v>
      </c>
      <c r="C5517" s="17">
        <v>20230101</v>
      </c>
      <c r="D5517" s="17">
        <v>22991231</v>
      </c>
      <c r="E5517" s="25">
        <v>0</v>
      </c>
    </row>
    <row r="5518" spans="1:5" ht="26" x14ac:dyDescent="0.3">
      <c r="A5518" s="17" t="str">
        <f>"C1891"</f>
        <v>C1891</v>
      </c>
      <c r="B5518" s="5" t="s">
        <v>5521</v>
      </c>
      <c r="C5518" s="17">
        <v>20230101</v>
      </c>
      <c r="D5518" s="17">
        <v>22991231</v>
      </c>
      <c r="E5518" s="25">
        <v>0</v>
      </c>
    </row>
    <row r="5519" spans="1:5" ht="26" x14ac:dyDescent="0.3">
      <c r="A5519" s="17" t="str">
        <f>"C1892"</f>
        <v>C1892</v>
      </c>
      <c r="B5519" s="5" t="s">
        <v>5522</v>
      </c>
      <c r="C5519" s="17">
        <v>20230101</v>
      </c>
      <c r="D5519" s="17">
        <v>22991231</v>
      </c>
      <c r="E5519" s="25">
        <v>0</v>
      </c>
    </row>
    <row r="5520" spans="1:5" ht="39" x14ac:dyDescent="0.3">
      <c r="A5520" s="17" t="str">
        <f>"C1893"</f>
        <v>C1893</v>
      </c>
      <c r="B5520" s="5" t="s">
        <v>5523</v>
      </c>
      <c r="C5520" s="17">
        <v>20230101</v>
      </c>
      <c r="D5520" s="17">
        <v>22991231</v>
      </c>
      <c r="E5520" s="25">
        <v>0</v>
      </c>
    </row>
    <row r="5521" spans="1:5" ht="26" x14ac:dyDescent="0.3">
      <c r="A5521" s="17" t="str">
        <f>"C1894"</f>
        <v>C1894</v>
      </c>
      <c r="B5521" s="5" t="s">
        <v>5524</v>
      </c>
      <c r="C5521" s="17">
        <v>20160101</v>
      </c>
      <c r="D5521" s="17">
        <v>22991231</v>
      </c>
      <c r="E5521" s="25">
        <v>0</v>
      </c>
    </row>
    <row r="5522" spans="1:5" ht="26" x14ac:dyDescent="0.3">
      <c r="A5522" s="17" t="str">
        <f>"C1895"</f>
        <v>C1895</v>
      </c>
      <c r="B5522" s="5" t="s">
        <v>5525</v>
      </c>
      <c r="C5522" s="17">
        <v>20230101</v>
      </c>
      <c r="D5522" s="17">
        <v>22991231</v>
      </c>
      <c r="E5522" s="25">
        <v>0</v>
      </c>
    </row>
    <row r="5523" spans="1:5" ht="26" x14ac:dyDescent="0.3">
      <c r="A5523" s="17" t="str">
        <f>"C1896"</f>
        <v>C1896</v>
      </c>
      <c r="B5523" s="5" t="s">
        <v>5526</v>
      </c>
      <c r="C5523" s="17">
        <v>20230101</v>
      </c>
      <c r="D5523" s="17">
        <v>22991231</v>
      </c>
      <c r="E5523" s="25">
        <v>0</v>
      </c>
    </row>
    <row r="5524" spans="1:5" x14ac:dyDescent="0.3">
      <c r="A5524" s="17" t="str">
        <f>"C1897"</f>
        <v>C1897</v>
      </c>
      <c r="B5524" s="5" t="s">
        <v>5527</v>
      </c>
      <c r="C5524" s="17">
        <v>20230101</v>
      </c>
      <c r="D5524" s="17">
        <v>22991231</v>
      </c>
      <c r="E5524" s="25">
        <v>0</v>
      </c>
    </row>
    <row r="5525" spans="1:5" ht="26" x14ac:dyDescent="0.3">
      <c r="A5525" s="17" t="str">
        <f>"C1898"</f>
        <v>C1898</v>
      </c>
      <c r="B5525" s="5" t="s">
        <v>5528</v>
      </c>
      <c r="C5525" s="17">
        <v>20230101</v>
      </c>
      <c r="D5525" s="17">
        <v>22991231</v>
      </c>
      <c r="E5525" s="25">
        <v>0</v>
      </c>
    </row>
    <row r="5526" spans="1:5" ht="26" x14ac:dyDescent="0.3">
      <c r="A5526" s="17" t="str">
        <f>"C1899"</f>
        <v>C1899</v>
      </c>
      <c r="B5526" s="5" t="s">
        <v>5529</v>
      </c>
      <c r="C5526" s="17">
        <v>20230101</v>
      </c>
      <c r="D5526" s="17">
        <v>22991231</v>
      </c>
      <c r="E5526" s="25">
        <v>0</v>
      </c>
    </row>
    <row r="5527" spans="1:5" x14ac:dyDescent="0.3">
      <c r="A5527" s="17" t="str">
        <f>"C1900"</f>
        <v>C1900</v>
      </c>
      <c r="B5527" s="5" t="s">
        <v>5530</v>
      </c>
      <c r="C5527" s="17">
        <v>20230101</v>
      </c>
      <c r="D5527" s="17">
        <v>22991231</v>
      </c>
      <c r="E5527" s="25">
        <v>0</v>
      </c>
    </row>
    <row r="5528" spans="1:5" ht="26" x14ac:dyDescent="0.3">
      <c r="A5528" s="17" t="str">
        <f>"C1982"</f>
        <v>C1982</v>
      </c>
      <c r="B5528" s="5" t="s">
        <v>5531</v>
      </c>
      <c r="C5528" s="17">
        <v>20230101</v>
      </c>
      <c r="D5528" s="17">
        <v>22991231</v>
      </c>
      <c r="E5528" s="25">
        <v>0</v>
      </c>
    </row>
    <row r="5529" spans="1:5" x14ac:dyDescent="0.3">
      <c r="A5529" s="17" t="str">
        <f>"C2596"</f>
        <v>C2596</v>
      </c>
      <c r="B5529" s="5" t="s">
        <v>5532</v>
      </c>
      <c r="C5529" s="17">
        <v>20230101</v>
      </c>
      <c r="D5529" s="17">
        <v>22991231</v>
      </c>
      <c r="E5529" s="25">
        <v>0</v>
      </c>
    </row>
    <row r="5530" spans="1:5" x14ac:dyDescent="0.3">
      <c r="A5530" s="17" t="str">
        <f>"C2613"</f>
        <v>C2613</v>
      </c>
      <c r="B5530" s="5" t="s">
        <v>5533</v>
      </c>
      <c r="C5530" s="17">
        <v>20230101</v>
      </c>
      <c r="D5530" s="17">
        <v>22991231</v>
      </c>
      <c r="E5530" s="25">
        <v>0</v>
      </c>
    </row>
    <row r="5531" spans="1:5" x14ac:dyDescent="0.3">
      <c r="A5531" s="17" t="str">
        <f>"C2614"</f>
        <v>C2614</v>
      </c>
      <c r="B5531" s="5" t="s">
        <v>5534</v>
      </c>
      <c r="C5531" s="17">
        <v>20230101</v>
      </c>
      <c r="D5531" s="17">
        <v>22991231</v>
      </c>
      <c r="E5531" s="25">
        <v>0</v>
      </c>
    </row>
    <row r="5532" spans="1:5" x14ac:dyDescent="0.3">
      <c r="A5532" s="17" t="str">
        <f>"C2615"</f>
        <v>C2615</v>
      </c>
      <c r="B5532" s="5" t="s">
        <v>5535</v>
      </c>
      <c r="C5532" s="17">
        <v>20230101</v>
      </c>
      <c r="D5532" s="17">
        <v>22991231</v>
      </c>
      <c r="E5532" s="25">
        <v>0</v>
      </c>
    </row>
    <row r="5533" spans="1:5" ht="26" x14ac:dyDescent="0.3">
      <c r="A5533" s="17" t="str">
        <f>"C2616"</f>
        <v>C2616</v>
      </c>
      <c r="B5533" s="5" t="s">
        <v>5536</v>
      </c>
      <c r="C5533" s="17">
        <v>20230101</v>
      </c>
      <c r="D5533" s="17">
        <v>22991231</v>
      </c>
      <c r="E5533" s="25">
        <v>16406.62</v>
      </c>
    </row>
    <row r="5534" spans="1:5" ht="26" x14ac:dyDescent="0.3">
      <c r="A5534" s="17" t="str">
        <f>"C2617"</f>
        <v>C2617</v>
      </c>
      <c r="B5534" s="5" t="s">
        <v>5537</v>
      </c>
      <c r="C5534" s="17">
        <v>20230101</v>
      </c>
      <c r="D5534" s="17">
        <v>22991231</v>
      </c>
      <c r="E5534" s="25">
        <v>0</v>
      </c>
    </row>
    <row r="5535" spans="1:5" x14ac:dyDescent="0.3">
      <c r="A5535" s="17" t="str">
        <f>"C2618"</f>
        <v>C2618</v>
      </c>
      <c r="B5535" s="5" t="s">
        <v>5538</v>
      </c>
      <c r="C5535" s="17">
        <v>20230101</v>
      </c>
      <c r="D5535" s="17">
        <v>22991231</v>
      </c>
      <c r="E5535" s="25">
        <v>0</v>
      </c>
    </row>
    <row r="5536" spans="1:5" ht="26" x14ac:dyDescent="0.3">
      <c r="A5536" s="17" t="str">
        <f>"C2619"</f>
        <v>C2619</v>
      </c>
      <c r="B5536" s="5" t="s">
        <v>5539</v>
      </c>
      <c r="C5536" s="17">
        <v>20230101</v>
      </c>
      <c r="D5536" s="17">
        <v>22991231</v>
      </c>
      <c r="E5536" s="25">
        <v>0</v>
      </c>
    </row>
    <row r="5537" spans="1:5" ht="26" x14ac:dyDescent="0.3">
      <c r="A5537" s="17" t="str">
        <f>"C2620"</f>
        <v>C2620</v>
      </c>
      <c r="B5537" s="5" t="s">
        <v>5540</v>
      </c>
      <c r="C5537" s="17">
        <v>20230101</v>
      </c>
      <c r="D5537" s="17">
        <v>22991231</v>
      </c>
      <c r="E5537" s="25">
        <v>0</v>
      </c>
    </row>
    <row r="5538" spans="1:5" ht="26" x14ac:dyDescent="0.3">
      <c r="A5538" s="17" t="str">
        <f>"C2621"</f>
        <v>C2621</v>
      </c>
      <c r="B5538" s="5" t="s">
        <v>5541</v>
      </c>
      <c r="C5538" s="17">
        <v>20230101</v>
      </c>
      <c r="D5538" s="17">
        <v>22991231</v>
      </c>
      <c r="E5538" s="25">
        <v>0</v>
      </c>
    </row>
    <row r="5539" spans="1:5" x14ac:dyDescent="0.3">
      <c r="A5539" s="17" t="str">
        <f>"C2622"</f>
        <v>C2622</v>
      </c>
      <c r="B5539" s="5" t="s">
        <v>5542</v>
      </c>
      <c r="C5539" s="17">
        <v>20230101</v>
      </c>
      <c r="D5539" s="17">
        <v>22991231</v>
      </c>
      <c r="E5539" s="25">
        <v>0</v>
      </c>
    </row>
    <row r="5540" spans="1:5" ht="26" x14ac:dyDescent="0.3">
      <c r="A5540" s="17" t="str">
        <f>"C2623"</f>
        <v>C2623</v>
      </c>
      <c r="B5540" s="5" t="s">
        <v>5543</v>
      </c>
      <c r="C5540" s="17">
        <v>20230101</v>
      </c>
      <c r="D5540" s="17">
        <v>22991231</v>
      </c>
      <c r="E5540" s="25">
        <v>0</v>
      </c>
    </row>
    <row r="5541" spans="1:5" ht="39" x14ac:dyDescent="0.3">
      <c r="A5541" s="17" t="str">
        <f>"C2624"</f>
        <v>C2624</v>
      </c>
      <c r="B5541" s="5" t="s">
        <v>5544</v>
      </c>
      <c r="C5541" s="17">
        <v>20230101</v>
      </c>
      <c r="D5541" s="17">
        <v>22991231</v>
      </c>
      <c r="E5541" s="25">
        <v>0</v>
      </c>
    </row>
    <row r="5542" spans="1:5" ht="26" x14ac:dyDescent="0.3">
      <c r="A5542" s="17" t="str">
        <f>"C2625"</f>
        <v>C2625</v>
      </c>
      <c r="B5542" s="5" t="s">
        <v>5545</v>
      </c>
      <c r="C5542" s="17">
        <v>20230101</v>
      </c>
      <c r="D5542" s="17">
        <v>22991231</v>
      </c>
      <c r="E5542" s="25">
        <v>0</v>
      </c>
    </row>
    <row r="5543" spans="1:5" ht="26" x14ac:dyDescent="0.3">
      <c r="A5543" s="17" t="str">
        <f>"C2626"</f>
        <v>C2626</v>
      </c>
      <c r="B5543" s="5" t="s">
        <v>5546</v>
      </c>
      <c r="C5543" s="17">
        <v>20230101</v>
      </c>
      <c r="D5543" s="17">
        <v>22991231</v>
      </c>
      <c r="E5543" s="25">
        <v>0</v>
      </c>
    </row>
    <row r="5544" spans="1:5" x14ac:dyDescent="0.3">
      <c r="A5544" s="17" t="str">
        <f>"C2627"</f>
        <v>C2627</v>
      </c>
      <c r="B5544" s="5" t="s">
        <v>5547</v>
      </c>
      <c r="C5544" s="17">
        <v>20230101</v>
      </c>
      <c r="D5544" s="17">
        <v>22991231</v>
      </c>
      <c r="E5544" s="25">
        <v>0</v>
      </c>
    </row>
    <row r="5545" spans="1:5" x14ac:dyDescent="0.3">
      <c r="A5545" s="17" t="str">
        <f>"C2628"</f>
        <v>C2628</v>
      </c>
      <c r="B5545" s="5" t="s">
        <v>5548</v>
      </c>
      <c r="C5545" s="17">
        <v>20230101</v>
      </c>
      <c r="D5545" s="17">
        <v>22991231</v>
      </c>
      <c r="E5545" s="25">
        <v>0</v>
      </c>
    </row>
    <row r="5546" spans="1:5" ht="26" x14ac:dyDescent="0.3">
      <c r="A5546" s="17" t="str">
        <f>"C2629"</f>
        <v>C2629</v>
      </c>
      <c r="B5546" s="5" t="s">
        <v>5549</v>
      </c>
      <c r="C5546" s="17">
        <v>20230101</v>
      </c>
      <c r="D5546" s="17">
        <v>22991231</v>
      </c>
      <c r="E5546" s="25">
        <v>0</v>
      </c>
    </row>
    <row r="5547" spans="1:5" ht="26" x14ac:dyDescent="0.3">
      <c r="A5547" s="17" t="str">
        <f>"C2630"</f>
        <v>C2630</v>
      </c>
      <c r="B5547" s="5" t="s">
        <v>5550</v>
      </c>
      <c r="C5547" s="17">
        <v>20230101</v>
      </c>
      <c r="D5547" s="17">
        <v>22991231</v>
      </c>
      <c r="E5547" s="25">
        <v>0</v>
      </c>
    </row>
    <row r="5548" spans="1:5" ht="26" x14ac:dyDescent="0.3">
      <c r="A5548" s="17" t="str">
        <f>"C2631"</f>
        <v>C2631</v>
      </c>
      <c r="B5548" s="5" t="s">
        <v>5551</v>
      </c>
      <c r="C5548" s="17">
        <v>20230101</v>
      </c>
      <c r="D5548" s="17">
        <v>22991231</v>
      </c>
      <c r="E5548" s="25">
        <v>0</v>
      </c>
    </row>
    <row r="5549" spans="1:5" ht="39" x14ac:dyDescent="0.3">
      <c r="A5549" s="17" t="str">
        <f>"C2634"</f>
        <v>C2634</v>
      </c>
      <c r="B5549" s="5" t="s">
        <v>5552</v>
      </c>
      <c r="C5549" s="17">
        <v>20230101</v>
      </c>
      <c r="D5549" s="17">
        <v>22991231</v>
      </c>
      <c r="E5549" s="25">
        <v>144.05000000000001</v>
      </c>
    </row>
    <row r="5550" spans="1:5" ht="39" x14ac:dyDescent="0.3">
      <c r="A5550" s="17" t="str">
        <f>"C2635"</f>
        <v>C2635</v>
      </c>
      <c r="B5550" s="5" t="s">
        <v>5553</v>
      </c>
      <c r="C5550" s="17">
        <v>20230101</v>
      </c>
      <c r="D5550" s="17">
        <v>22991231</v>
      </c>
      <c r="E5550" s="25">
        <v>56.48</v>
      </c>
    </row>
    <row r="5551" spans="1:5" ht="26" x14ac:dyDescent="0.3">
      <c r="A5551" s="17" t="str">
        <f>"C2636"</f>
        <v>C2636</v>
      </c>
      <c r="B5551" s="5" t="s">
        <v>5554</v>
      </c>
      <c r="C5551" s="17">
        <v>20230101</v>
      </c>
      <c r="D5551" s="17">
        <v>22991231</v>
      </c>
      <c r="E5551" s="25">
        <v>51.63</v>
      </c>
    </row>
    <row r="5552" spans="1:5" ht="26" x14ac:dyDescent="0.3">
      <c r="A5552" s="17" t="str">
        <f>"C2638"</f>
        <v>C2638</v>
      </c>
      <c r="B5552" s="5" t="s">
        <v>5555</v>
      </c>
      <c r="C5552" s="17">
        <v>20230101</v>
      </c>
      <c r="D5552" s="17">
        <v>22991231</v>
      </c>
      <c r="E5552" s="25">
        <v>39.909999999999997</v>
      </c>
    </row>
    <row r="5553" spans="1:5" ht="26" x14ac:dyDescent="0.3">
      <c r="A5553" s="17" t="str">
        <f>"C2639"</f>
        <v>C2639</v>
      </c>
      <c r="B5553" s="5" t="s">
        <v>5556</v>
      </c>
      <c r="C5553" s="17">
        <v>20230101</v>
      </c>
      <c r="D5553" s="17">
        <v>22991231</v>
      </c>
      <c r="E5553" s="25">
        <v>33.380000000000003</v>
      </c>
    </row>
    <row r="5554" spans="1:5" ht="26" x14ac:dyDescent="0.3">
      <c r="A5554" s="17" t="str">
        <f>"C2640"</f>
        <v>C2640</v>
      </c>
      <c r="B5554" s="5" t="s">
        <v>5557</v>
      </c>
      <c r="C5554" s="17">
        <v>20230101</v>
      </c>
      <c r="D5554" s="17">
        <v>22991231</v>
      </c>
      <c r="E5554" s="25">
        <v>72.77</v>
      </c>
    </row>
    <row r="5555" spans="1:5" ht="26" x14ac:dyDescent="0.3">
      <c r="A5555" s="17" t="str">
        <f>"C2641"</f>
        <v>C2641</v>
      </c>
      <c r="B5555" s="5" t="s">
        <v>5558</v>
      </c>
      <c r="C5555" s="17">
        <v>20230101</v>
      </c>
      <c r="D5555" s="17">
        <v>22991231</v>
      </c>
      <c r="E5555" s="25">
        <v>70.55</v>
      </c>
    </row>
    <row r="5556" spans="1:5" ht="26" x14ac:dyDescent="0.3">
      <c r="A5556" s="17" t="str">
        <f>"C2642"</f>
        <v>C2642</v>
      </c>
      <c r="B5556" s="5" t="s">
        <v>5559</v>
      </c>
      <c r="C5556" s="17">
        <v>20230101</v>
      </c>
      <c r="D5556" s="17">
        <v>22991231</v>
      </c>
      <c r="E5556" s="25">
        <v>93.14</v>
      </c>
    </row>
    <row r="5557" spans="1:5" ht="26" x14ac:dyDescent="0.3">
      <c r="A5557" s="17" t="str">
        <f>"C2643"</f>
        <v>C2643</v>
      </c>
      <c r="B5557" s="5" t="s">
        <v>5560</v>
      </c>
      <c r="C5557" s="17">
        <v>20230101</v>
      </c>
      <c r="D5557" s="17">
        <v>22991231</v>
      </c>
      <c r="E5557" s="25">
        <v>76.73</v>
      </c>
    </row>
    <row r="5558" spans="1:5" ht="26" x14ac:dyDescent="0.3">
      <c r="A5558" s="17" t="str">
        <f>"C2644"</f>
        <v>C2644</v>
      </c>
      <c r="B5558" s="5" t="s">
        <v>5561</v>
      </c>
      <c r="C5558" s="17">
        <v>20230101</v>
      </c>
      <c r="D5558" s="17">
        <v>22991231</v>
      </c>
      <c r="E5558" s="25">
        <v>0</v>
      </c>
    </row>
    <row r="5559" spans="1:5" ht="26" x14ac:dyDescent="0.3">
      <c r="A5559" s="17" t="str">
        <f>"C2645"</f>
        <v>C2645</v>
      </c>
      <c r="B5559" s="5" t="s">
        <v>5562</v>
      </c>
      <c r="C5559" s="17">
        <v>20230101</v>
      </c>
      <c r="D5559" s="17">
        <v>22991231</v>
      </c>
      <c r="E5559" s="25">
        <v>4.4800000000000004</v>
      </c>
    </row>
    <row r="5560" spans="1:5" ht="26" x14ac:dyDescent="0.3">
      <c r="A5560" s="17" t="str">
        <f>"C2698"</f>
        <v>C2698</v>
      </c>
      <c r="B5560" s="5" t="s">
        <v>5563</v>
      </c>
      <c r="C5560" s="17">
        <v>20230101</v>
      </c>
      <c r="D5560" s="17">
        <v>22991231</v>
      </c>
      <c r="E5560" s="25">
        <v>39.909999999999997</v>
      </c>
    </row>
    <row r="5561" spans="1:5" ht="26" x14ac:dyDescent="0.3">
      <c r="A5561" s="17" t="str">
        <f>"C2699"</f>
        <v>C2699</v>
      </c>
      <c r="B5561" s="5" t="s">
        <v>5564</v>
      </c>
      <c r="C5561" s="17">
        <v>20230101</v>
      </c>
      <c r="D5561" s="17">
        <v>22991231</v>
      </c>
      <c r="E5561" s="25">
        <v>33.380000000000003</v>
      </c>
    </row>
    <row r="5562" spans="1:5" ht="52" x14ac:dyDescent="0.3">
      <c r="A5562" s="17" t="str">
        <f>"C5271"</f>
        <v>C5271</v>
      </c>
      <c r="B5562" s="5" t="s">
        <v>5565</v>
      </c>
      <c r="C5562" s="17">
        <v>20230101</v>
      </c>
      <c r="D5562" s="17">
        <v>22991231</v>
      </c>
      <c r="E5562" s="25">
        <v>311.18</v>
      </c>
    </row>
    <row r="5563" spans="1:5" ht="65" x14ac:dyDescent="0.3">
      <c r="A5563" s="17" t="str">
        <f>"C5272"</f>
        <v>C5272</v>
      </c>
      <c r="B5563" s="5" t="s">
        <v>5566</v>
      </c>
      <c r="C5563" s="17">
        <v>20230101</v>
      </c>
      <c r="D5563" s="17">
        <v>22991231</v>
      </c>
      <c r="E5563" s="25">
        <v>0</v>
      </c>
    </row>
    <row r="5564" spans="1:5" ht="65" x14ac:dyDescent="0.3">
      <c r="A5564" s="17" t="str">
        <f>"C5273"</f>
        <v>C5273</v>
      </c>
      <c r="B5564" s="5" t="s">
        <v>5567</v>
      </c>
      <c r="C5564" s="17">
        <v>20230101</v>
      </c>
      <c r="D5564" s="17">
        <v>22991231</v>
      </c>
      <c r="E5564" s="25">
        <v>903.54</v>
      </c>
    </row>
    <row r="5565" spans="1:5" ht="104" x14ac:dyDescent="0.3">
      <c r="A5565" s="17" t="str">
        <f>"C5274"</f>
        <v>C5274</v>
      </c>
      <c r="B5565" s="5" t="s">
        <v>5568</v>
      </c>
      <c r="C5565" s="17">
        <v>20230101</v>
      </c>
      <c r="D5565" s="17">
        <v>22991231</v>
      </c>
      <c r="E5565" s="25">
        <v>0</v>
      </c>
    </row>
    <row r="5566" spans="1:5" ht="65" x14ac:dyDescent="0.3">
      <c r="A5566" s="17" t="str">
        <f>"C5275"</f>
        <v>C5275</v>
      </c>
      <c r="B5566" s="5" t="s">
        <v>5569</v>
      </c>
      <c r="C5566" s="17">
        <v>20230101</v>
      </c>
      <c r="D5566" s="17">
        <v>22991231</v>
      </c>
      <c r="E5566" s="25">
        <v>311.18</v>
      </c>
    </row>
    <row r="5567" spans="1:5" ht="91" x14ac:dyDescent="0.3">
      <c r="A5567" s="17" t="str">
        <f>"C5276"</f>
        <v>C5276</v>
      </c>
      <c r="B5567" s="5" t="s">
        <v>5570</v>
      </c>
      <c r="C5567" s="17">
        <v>20230101</v>
      </c>
      <c r="D5567" s="17">
        <v>22991231</v>
      </c>
      <c r="E5567" s="25">
        <v>0</v>
      </c>
    </row>
    <row r="5568" spans="1:5" ht="78" x14ac:dyDescent="0.3">
      <c r="A5568" s="17" t="str">
        <f>"C5277"</f>
        <v>C5277</v>
      </c>
      <c r="B5568" s="5" t="s">
        <v>5571</v>
      </c>
      <c r="C5568" s="17">
        <v>20230101</v>
      </c>
      <c r="D5568" s="17">
        <v>22991231</v>
      </c>
      <c r="E5568" s="25">
        <v>311.18</v>
      </c>
    </row>
    <row r="5569" spans="1:5" ht="117" x14ac:dyDescent="0.3">
      <c r="A5569" s="17" t="str">
        <f>"C5278"</f>
        <v>C5278</v>
      </c>
      <c r="B5569" s="5" t="s">
        <v>5572</v>
      </c>
      <c r="C5569" s="17">
        <v>20230101</v>
      </c>
      <c r="D5569" s="17">
        <v>22991231</v>
      </c>
      <c r="E5569" s="25">
        <v>0</v>
      </c>
    </row>
    <row r="5570" spans="1:5" ht="65" x14ac:dyDescent="0.3">
      <c r="A5570" s="17" t="str">
        <f>"C7500"</f>
        <v>C7500</v>
      </c>
      <c r="B5570" s="5" t="s">
        <v>5573</v>
      </c>
      <c r="C5570" s="17">
        <v>20230101</v>
      </c>
      <c r="D5570" s="17">
        <v>22991231</v>
      </c>
      <c r="E5570" s="25">
        <v>1105.24</v>
      </c>
    </row>
    <row r="5571" spans="1:5" ht="91" x14ac:dyDescent="0.3">
      <c r="A5571" s="17" t="str">
        <f>"C7501"</f>
        <v>C7501</v>
      </c>
      <c r="B5571" s="5" t="s">
        <v>5574</v>
      </c>
      <c r="C5571" s="17">
        <v>20230101</v>
      </c>
      <c r="D5571" s="17">
        <v>22991231</v>
      </c>
      <c r="E5571" s="25">
        <v>1105.24</v>
      </c>
    </row>
    <row r="5572" spans="1:5" ht="91" x14ac:dyDescent="0.3">
      <c r="A5572" s="17" t="str">
        <f>"C7502"</f>
        <v>C7502</v>
      </c>
      <c r="B5572" s="5" t="s">
        <v>5575</v>
      </c>
      <c r="C5572" s="17">
        <v>20230101</v>
      </c>
      <c r="D5572" s="17">
        <v>22991231</v>
      </c>
      <c r="E5572" s="25">
        <v>1105.24</v>
      </c>
    </row>
    <row r="5573" spans="1:5" ht="52" x14ac:dyDescent="0.3">
      <c r="A5573" s="17" t="str">
        <f>"C7503"</f>
        <v>C7503</v>
      </c>
      <c r="B5573" s="5" t="s">
        <v>5576</v>
      </c>
      <c r="C5573" s="17">
        <v>20230101</v>
      </c>
      <c r="D5573" s="17">
        <v>22991231</v>
      </c>
      <c r="E5573" s="25">
        <v>2422.23</v>
      </c>
    </row>
    <row r="5574" spans="1:5" ht="78" x14ac:dyDescent="0.3">
      <c r="A5574" s="17" t="str">
        <f>"C7504"</f>
        <v>C7504</v>
      </c>
      <c r="B5574" s="5" t="s">
        <v>5577</v>
      </c>
      <c r="C5574" s="17">
        <v>20230101</v>
      </c>
      <c r="D5574" s="17">
        <v>22991231</v>
      </c>
      <c r="E5574" s="25">
        <v>3240.75</v>
      </c>
    </row>
    <row r="5575" spans="1:5" ht="65" x14ac:dyDescent="0.3">
      <c r="A5575" s="17" t="str">
        <f>"C7505"</f>
        <v>C7505</v>
      </c>
      <c r="B5575" s="5" t="s">
        <v>5578</v>
      </c>
      <c r="C5575" s="17">
        <v>20230101</v>
      </c>
      <c r="D5575" s="17">
        <v>22991231</v>
      </c>
      <c r="E5575" s="25">
        <v>3240.75</v>
      </c>
    </row>
    <row r="5576" spans="1:5" ht="26" x14ac:dyDescent="0.3">
      <c r="A5576" s="17" t="str">
        <f>"C7506"</f>
        <v>C7506</v>
      </c>
      <c r="B5576" s="5" t="s">
        <v>5579</v>
      </c>
      <c r="C5576" s="17">
        <v>20230101</v>
      </c>
      <c r="D5576" s="17">
        <v>22991231</v>
      </c>
      <c r="E5576" s="25">
        <v>3240.75</v>
      </c>
    </row>
    <row r="5577" spans="1:5" ht="91" x14ac:dyDescent="0.3">
      <c r="A5577" s="17" t="str">
        <f>"C7507"</f>
        <v>C7507</v>
      </c>
      <c r="B5577" s="5" t="s">
        <v>5580</v>
      </c>
      <c r="C5577" s="17">
        <v>20230101</v>
      </c>
      <c r="D5577" s="17">
        <v>22991231</v>
      </c>
      <c r="E5577" s="25">
        <v>6208.9</v>
      </c>
    </row>
    <row r="5578" spans="1:5" ht="91" x14ac:dyDescent="0.3">
      <c r="A5578" s="17" t="str">
        <f>"C7508"</f>
        <v>C7508</v>
      </c>
      <c r="B5578" s="5" t="s">
        <v>5581</v>
      </c>
      <c r="C5578" s="17">
        <v>20230101</v>
      </c>
      <c r="D5578" s="17">
        <v>22991231</v>
      </c>
      <c r="E5578" s="25">
        <v>6208.9</v>
      </c>
    </row>
    <row r="5579" spans="1:5" ht="52" x14ac:dyDescent="0.3">
      <c r="A5579" s="17" t="str">
        <f>"C7509"</f>
        <v>C7509</v>
      </c>
      <c r="B5579" s="5" t="s">
        <v>5582</v>
      </c>
      <c r="C5579" s="17">
        <v>20230101</v>
      </c>
      <c r="D5579" s="17">
        <v>22991231</v>
      </c>
      <c r="E5579" s="25">
        <v>1496.36</v>
      </c>
    </row>
    <row r="5580" spans="1:5" ht="52" x14ac:dyDescent="0.3">
      <c r="A5580" s="17" t="str">
        <f>"C7510"</f>
        <v>C7510</v>
      </c>
      <c r="B5580" s="5" t="s">
        <v>5583</v>
      </c>
      <c r="C5580" s="17">
        <v>20230101</v>
      </c>
      <c r="D5580" s="17">
        <v>22991231</v>
      </c>
      <c r="E5580" s="25">
        <v>1496.36</v>
      </c>
    </row>
    <row r="5581" spans="1:5" ht="65" x14ac:dyDescent="0.3">
      <c r="A5581" s="17" t="str">
        <f>"C7511"</f>
        <v>C7511</v>
      </c>
      <c r="B5581" s="5" t="s">
        <v>5584</v>
      </c>
      <c r="C5581" s="17">
        <v>20230101</v>
      </c>
      <c r="D5581" s="17">
        <v>22991231</v>
      </c>
      <c r="E5581" s="25">
        <v>1496.36</v>
      </c>
    </row>
    <row r="5582" spans="1:5" ht="91" x14ac:dyDescent="0.3">
      <c r="A5582" s="17" t="str">
        <f>"C7512"</f>
        <v>C7512</v>
      </c>
      <c r="B5582" s="5" t="s">
        <v>5585</v>
      </c>
      <c r="C5582" s="17">
        <v>20230101</v>
      </c>
      <c r="D5582" s="17">
        <v>22991231</v>
      </c>
      <c r="E5582" s="25">
        <v>1496.36</v>
      </c>
    </row>
    <row r="5583" spans="1:5" ht="169" x14ac:dyDescent="0.3">
      <c r="A5583" s="17" t="str">
        <f>"C7513"</f>
        <v>C7513</v>
      </c>
      <c r="B5583" s="5" t="s">
        <v>5586</v>
      </c>
      <c r="C5583" s="17">
        <v>20230101</v>
      </c>
      <c r="D5583" s="17">
        <v>22991231</v>
      </c>
      <c r="E5583" s="25">
        <v>1478.57</v>
      </c>
    </row>
    <row r="5584" spans="1:5" ht="182" x14ac:dyDescent="0.3">
      <c r="A5584" s="17" t="str">
        <f>"C7514"</f>
        <v>C7514</v>
      </c>
      <c r="B5584" s="5" t="s">
        <v>5587</v>
      </c>
      <c r="C5584" s="17">
        <v>20230101</v>
      </c>
      <c r="D5584" s="17">
        <v>22991231</v>
      </c>
      <c r="E5584" s="25">
        <v>1478.57</v>
      </c>
    </row>
    <row r="5585" spans="1:5" ht="169" x14ac:dyDescent="0.3">
      <c r="A5585" s="17" t="str">
        <f>"C7515"</f>
        <v>C7515</v>
      </c>
      <c r="B5585" s="5" t="s">
        <v>5588</v>
      </c>
      <c r="C5585" s="17">
        <v>20230101</v>
      </c>
      <c r="D5585" s="17">
        <v>22991231</v>
      </c>
      <c r="E5585" s="25">
        <v>1478.57</v>
      </c>
    </row>
    <row r="5586" spans="1:5" ht="117" x14ac:dyDescent="0.3">
      <c r="A5586" s="17" t="str">
        <f>"C7516"</f>
        <v>C7516</v>
      </c>
      <c r="B5586" s="5" t="s">
        <v>5589</v>
      </c>
      <c r="C5586" s="17">
        <v>20230101</v>
      </c>
      <c r="D5586" s="17">
        <v>22991231</v>
      </c>
      <c r="E5586" s="25">
        <v>2412.7800000000002</v>
      </c>
    </row>
    <row r="5587" spans="1:5" ht="156" x14ac:dyDescent="0.3">
      <c r="A5587" s="17" t="str">
        <f>"C7517"</f>
        <v>C7517</v>
      </c>
      <c r="B5587" s="5" t="s">
        <v>5590</v>
      </c>
      <c r="C5587" s="17">
        <v>20230101</v>
      </c>
      <c r="D5587" s="17">
        <v>22991231</v>
      </c>
      <c r="E5587" s="25">
        <v>2412.7800000000002</v>
      </c>
    </row>
    <row r="5588" spans="1:5" ht="208" x14ac:dyDescent="0.3">
      <c r="A5588" s="17" t="str">
        <f>"C7520"</f>
        <v>C7520</v>
      </c>
      <c r="B5588" s="5" t="s">
        <v>5591</v>
      </c>
      <c r="C5588" s="17">
        <v>20230101</v>
      </c>
      <c r="D5588" s="17">
        <v>22991231</v>
      </c>
      <c r="E5588" s="25">
        <v>2412.7800000000002</v>
      </c>
    </row>
    <row r="5589" spans="1:5" ht="130" x14ac:dyDescent="0.3">
      <c r="A5589" s="17" t="str">
        <f>"C7521"</f>
        <v>C7521</v>
      </c>
      <c r="B5589" s="5" t="s">
        <v>5592</v>
      </c>
      <c r="C5589" s="17">
        <v>20230101</v>
      </c>
      <c r="D5589" s="17">
        <v>22991231</v>
      </c>
      <c r="E5589" s="25">
        <v>2412.7800000000002</v>
      </c>
    </row>
    <row r="5590" spans="1:5" ht="117" x14ac:dyDescent="0.3">
      <c r="A5590" s="17" t="str">
        <f>"C7522"</f>
        <v>C7522</v>
      </c>
      <c r="B5590" s="5" t="s">
        <v>5593</v>
      </c>
      <c r="C5590" s="17">
        <v>20230101</v>
      </c>
      <c r="D5590" s="17">
        <v>22991231</v>
      </c>
      <c r="E5590" s="25">
        <v>2412.7800000000002</v>
      </c>
    </row>
    <row r="5591" spans="1:5" ht="156" x14ac:dyDescent="0.3">
      <c r="A5591" s="17" t="str">
        <f>"C7523"</f>
        <v>C7523</v>
      </c>
      <c r="B5591" s="5" t="s">
        <v>5594</v>
      </c>
      <c r="C5591" s="17">
        <v>20230101</v>
      </c>
      <c r="D5591" s="17">
        <v>22991231</v>
      </c>
      <c r="E5591" s="25">
        <v>2412.7800000000002</v>
      </c>
    </row>
    <row r="5592" spans="1:5" ht="143" x14ac:dyDescent="0.3">
      <c r="A5592" s="17" t="str">
        <f>"C7524"</f>
        <v>C7524</v>
      </c>
      <c r="B5592" s="5" t="s">
        <v>5595</v>
      </c>
      <c r="C5592" s="17">
        <v>20230101</v>
      </c>
      <c r="D5592" s="17">
        <v>22991231</v>
      </c>
      <c r="E5592" s="25">
        <v>2412.7800000000002</v>
      </c>
    </row>
    <row r="5593" spans="1:5" ht="195" x14ac:dyDescent="0.3">
      <c r="A5593" s="17" t="str">
        <f>"C7525"</f>
        <v>C7525</v>
      </c>
      <c r="B5593" s="5" t="s">
        <v>5596</v>
      </c>
      <c r="C5593" s="17">
        <v>20230101</v>
      </c>
      <c r="D5593" s="17">
        <v>22991231</v>
      </c>
      <c r="E5593" s="25">
        <v>2412.7800000000002</v>
      </c>
    </row>
    <row r="5594" spans="1:5" ht="182" x14ac:dyDescent="0.3">
      <c r="A5594" s="17" t="str">
        <f>"C7526"</f>
        <v>C7526</v>
      </c>
      <c r="B5594" s="5" t="s">
        <v>5597</v>
      </c>
      <c r="C5594" s="17">
        <v>20230101</v>
      </c>
      <c r="D5594" s="17">
        <v>22991231</v>
      </c>
      <c r="E5594" s="25">
        <v>2412.7800000000002</v>
      </c>
    </row>
    <row r="5595" spans="1:5" ht="156" x14ac:dyDescent="0.3">
      <c r="A5595" s="17" t="str">
        <f>"C7527"</f>
        <v>C7527</v>
      </c>
      <c r="B5595" s="5" t="s">
        <v>5598</v>
      </c>
      <c r="C5595" s="17">
        <v>20230101</v>
      </c>
      <c r="D5595" s="17">
        <v>22991231</v>
      </c>
      <c r="E5595" s="25">
        <v>2412.7800000000002</v>
      </c>
    </row>
    <row r="5596" spans="1:5" ht="143" x14ac:dyDescent="0.3">
      <c r="A5596" s="17" t="str">
        <f>"C7528"</f>
        <v>C7528</v>
      </c>
      <c r="B5596" s="5" t="s">
        <v>5599</v>
      </c>
      <c r="C5596" s="17">
        <v>20230101</v>
      </c>
      <c r="D5596" s="17">
        <v>22991231</v>
      </c>
      <c r="E5596" s="25">
        <v>2412.7800000000002</v>
      </c>
    </row>
    <row r="5597" spans="1:5" ht="182" x14ac:dyDescent="0.3">
      <c r="A5597" s="17" t="str">
        <f>"C7529"</f>
        <v>C7529</v>
      </c>
      <c r="B5597" s="5" t="s">
        <v>5600</v>
      </c>
      <c r="C5597" s="17">
        <v>20230101</v>
      </c>
      <c r="D5597" s="17">
        <v>22991231</v>
      </c>
      <c r="E5597" s="25">
        <v>2412.7800000000002</v>
      </c>
    </row>
    <row r="5598" spans="1:5" ht="234" x14ac:dyDescent="0.3">
      <c r="A5598" s="17" t="str">
        <f>"C7530"</f>
        <v>C7530</v>
      </c>
      <c r="B5598" s="5" t="s">
        <v>5601</v>
      </c>
      <c r="C5598" s="17">
        <v>20230101</v>
      </c>
      <c r="D5598" s="17">
        <v>22991231</v>
      </c>
      <c r="E5598" s="25">
        <v>4630.0600000000004</v>
      </c>
    </row>
    <row r="5599" spans="1:5" ht="91" x14ac:dyDescent="0.3">
      <c r="A5599" s="17" t="str">
        <f>"C7531"</f>
        <v>C7531</v>
      </c>
      <c r="B5599" s="5" t="s">
        <v>5602</v>
      </c>
      <c r="C5599" s="17">
        <v>20230101</v>
      </c>
      <c r="D5599" s="17">
        <v>22991231</v>
      </c>
      <c r="E5599" s="25">
        <v>5512.73</v>
      </c>
    </row>
    <row r="5600" spans="1:5" ht="143" x14ac:dyDescent="0.3">
      <c r="A5600" s="17" t="str">
        <f>"C7532"</f>
        <v>C7532</v>
      </c>
      <c r="B5600" s="5" t="s">
        <v>5603</v>
      </c>
      <c r="C5600" s="17">
        <v>20230101</v>
      </c>
      <c r="D5600" s="17">
        <v>22991231</v>
      </c>
      <c r="E5600" s="25">
        <v>5348.39</v>
      </c>
    </row>
    <row r="5601" spans="1:5" ht="65" x14ac:dyDescent="0.3">
      <c r="A5601" s="17" t="str">
        <f>"C7533"</f>
        <v>C7533</v>
      </c>
      <c r="B5601" s="5" t="s">
        <v>5604</v>
      </c>
      <c r="C5601" s="17">
        <v>20230101</v>
      </c>
      <c r="D5601" s="17">
        <v>22991231</v>
      </c>
      <c r="E5601" s="25">
        <v>5474.98</v>
      </c>
    </row>
    <row r="5602" spans="1:5" ht="117" x14ac:dyDescent="0.3">
      <c r="A5602" s="17" t="str">
        <f>"C7535"</f>
        <v>C7535</v>
      </c>
      <c r="B5602" s="5" t="s">
        <v>5605</v>
      </c>
      <c r="C5602" s="17">
        <v>20230101</v>
      </c>
      <c r="D5602" s="17">
        <v>22991231</v>
      </c>
      <c r="E5602" s="25">
        <v>9591.5300000000007</v>
      </c>
    </row>
    <row r="5603" spans="1:5" ht="91" x14ac:dyDescent="0.3">
      <c r="A5603" s="17" t="str">
        <f>"C7537"</f>
        <v>C7537</v>
      </c>
      <c r="B5603" s="5" t="s">
        <v>5606</v>
      </c>
      <c r="C5603" s="17">
        <v>20230101</v>
      </c>
      <c r="D5603" s="17">
        <v>22991231</v>
      </c>
      <c r="E5603" s="25">
        <v>10090.26</v>
      </c>
    </row>
    <row r="5604" spans="1:5" ht="91" x14ac:dyDescent="0.3">
      <c r="A5604" s="17" t="str">
        <f>"C7538"</f>
        <v>C7538</v>
      </c>
      <c r="B5604" s="5" t="s">
        <v>5607</v>
      </c>
      <c r="C5604" s="17">
        <v>20230101</v>
      </c>
      <c r="D5604" s="17">
        <v>22991231</v>
      </c>
      <c r="E5604" s="25">
        <v>10278.4</v>
      </c>
    </row>
    <row r="5605" spans="1:5" ht="104" x14ac:dyDescent="0.3">
      <c r="A5605" s="17" t="str">
        <f>"C7539"</f>
        <v>C7539</v>
      </c>
      <c r="B5605" s="5" t="s">
        <v>5608</v>
      </c>
      <c r="C5605" s="17">
        <v>20230101</v>
      </c>
      <c r="D5605" s="17">
        <v>22991231</v>
      </c>
      <c r="E5605" s="25">
        <v>10486.31</v>
      </c>
    </row>
    <row r="5606" spans="1:5" ht="104" x14ac:dyDescent="0.3">
      <c r="A5606" s="17" t="str">
        <f>"C7540"</f>
        <v>C7540</v>
      </c>
      <c r="B5606" s="5" t="s">
        <v>5609</v>
      </c>
      <c r="C5606" s="17">
        <v>20230101</v>
      </c>
      <c r="D5606" s="17">
        <v>22991231</v>
      </c>
      <c r="E5606" s="25">
        <v>10321.19</v>
      </c>
    </row>
    <row r="5607" spans="1:5" ht="143" x14ac:dyDescent="0.3">
      <c r="A5607" s="17" t="str">
        <f>"C7545"</f>
        <v>C7545</v>
      </c>
      <c r="B5607" s="5" t="s">
        <v>5610</v>
      </c>
      <c r="C5607" s="17">
        <v>20230101</v>
      </c>
      <c r="D5607" s="17">
        <v>22991231</v>
      </c>
      <c r="E5607" s="25">
        <v>2459.81</v>
      </c>
    </row>
    <row r="5608" spans="1:5" ht="104" x14ac:dyDescent="0.3">
      <c r="A5608" s="17" t="str">
        <f>"C7547"</f>
        <v>C7547</v>
      </c>
      <c r="B5608" s="5" t="s">
        <v>5611</v>
      </c>
      <c r="C5608" s="17">
        <v>20230101</v>
      </c>
      <c r="D5608" s="17">
        <v>22991231</v>
      </c>
      <c r="E5608" s="25">
        <v>1553.18</v>
      </c>
    </row>
    <row r="5609" spans="1:5" ht="78" x14ac:dyDescent="0.3">
      <c r="A5609" s="17" t="str">
        <f>"C7548"</f>
        <v>C7548</v>
      </c>
      <c r="B5609" s="5" t="s">
        <v>5612</v>
      </c>
      <c r="C5609" s="17">
        <v>20230101</v>
      </c>
      <c r="D5609" s="17">
        <v>22991231</v>
      </c>
      <c r="E5609" s="25">
        <v>1553.18</v>
      </c>
    </row>
    <row r="5610" spans="1:5" ht="39" x14ac:dyDescent="0.3">
      <c r="A5610" s="17" t="str">
        <f>"C7550"</f>
        <v>C7550</v>
      </c>
      <c r="B5610" s="5" t="s">
        <v>5613</v>
      </c>
      <c r="C5610" s="17">
        <v>20230101</v>
      </c>
      <c r="D5610" s="17">
        <v>22991231</v>
      </c>
      <c r="E5610" s="25">
        <v>1553.18</v>
      </c>
    </row>
    <row r="5611" spans="1:5" ht="39" x14ac:dyDescent="0.3">
      <c r="A5611" s="17" t="str">
        <f>"C7551"</f>
        <v>C7551</v>
      </c>
      <c r="B5611" s="5" t="s">
        <v>5614</v>
      </c>
      <c r="C5611" s="17">
        <v>20230101</v>
      </c>
      <c r="D5611" s="17">
        <v>22991231</v>
      </c>
      <c r="E5611" s="25">
        <v>2877.66</v>
      </c>
    </row>
    <row r="5612" spans="1:5" ht="26" x14ac:dyDescent="0.3">
      <c r="A5612" s="17" t="str">
        <f>"C7554"</f>
        <v>C7554</v>
      </c>
      <c r="B5612" s="5" t="s">
        <v>5615</v>
      </c>
      <c r="C5612" s="17">
        <v>20230101</v>
      </c>
      <c r="D5612" s="17">
        <v>22991231</v>
      </c>
      <c r="E5612" s="25">
        <v>888.17</v>
      </c>
    </row>
    <row r="5613" spans="1:5" ht="78" x14ac:dyDescent="0.3">
      <c r="A5613" s="17" t="str">
        <f>"C7556"</f>
        <v>C7556</v>
      </c>
      <c r="B5613" s="5" t="s">
        <v>5616</v>
      </c>
      <c r="C5613" s="17">
        <v>20240101</v>
      </c>
      <c r="D5613" s="17">
        <v>22991231</v>
      </c>
      <c r="E5613" s="25">
        <v>1496.36</v>
      </c>
    </row>
    <row r="5614" spans="1:5" ht="156" x14ac:dyDescent="0.3">
      <c r="A5614" s="17" t="str">
        <f>"C7557"</f>
        <v>C7557</v>
      </c>
      <c r="B5614" s="5" t="s">
        <v>5617</v>
      </c>
      <c r="C5614" s="17">
        <v>20240101</v>
      </c>
      <c r="D5614" s="17">
        <v>22991231</v>
      </c>
      <c r="E5614" s="25">
        <v>2412.7800000000002</v>
      </c>
    </row>
    <row r="5615" spans="1:5" ht="208" x14ac:dyDescent="0.3">
      <c r="A5615" s="17" t="str">
        <f>"C7558"</f>
        <v>C7558</v>
      </c>
      <c r="B5615" s="5" t="s">
        <v>5618</v>
      </c>
      <c r="C5615" s="17">
        <v>20240101</v>
      </c>
      <c r="D5615" s="17">
        <v>22991231</v>
      </c>
      <c r="E5615" s="25">
        <v>2412.7800000000002</v>
      </c>
    </row>
    <row r="5616" spans="1:5" ht="78" x14ac:dyDescent="0.3">
      <c r="A5616" s="17" t="str">
        <f>"C7560"</f>
        <v>C7560</v>
      </c>
      <c r="B5616" s="5" t="s">
        <v>5619</v>
      </c>
      <c r="C5616" s="17">
        <v>20240101</v>
      </c>
      <c r="D5616" s="17">
        <v>22991231</v>
      </c>
      <c r="E5616" s="25">
        <v>1718.4</v>
      </c>
    </row>
    <row r="5617" spans="1:5" ht="26" x14ac:dyDescent="0.3">
      <c r="A5617" s="17" t="str">
        <f>"C8900"</f>
        <v>C8900</v>
      </c>
      <c r="B5617" s="5" t="s">
        <v>5620</v>
      </c>
      <c r="C5617" s="17">
        <v>20230101</v>
      </c>
      <c r="D5617" s="17">
        <v>22991231</v>
      </c>
      <c r="E5617" s="25">
        <v>190.54</v>
      </c>
    </row>
    <row r="5618" spans="1:5" ht="26" x14ac:dyDescent="0.3">
      <c r="A5618" s="17" t="str">
        <f>"C8901"</f>
        <v>C8901</v>
      </c>
      <c r="B5618" s="5" t="s">
        <v>5621</v>
      </c>
      <c r="C5618" s="17">
        <v>20230101</v>
      </c>
      <c r="D5618" s="17">
        <v>22991231</v>
      </c>
      <c r="E5618" s="25">
        <v>121.41</v>
      </c>
    </row>
    <row r="5619" spans="1:5" ht="26" x14ac:dyDescent="0.3">
      <c r="A5619" s="17" t="str">
        <f>"C8902"</f>
        <v>C8902</v>
      </c>
      <c r="B5619" s="5" t="s">
        <v>5622</v>
      </c>
      <c r="C5619" s="17">
        <v>20230101</v>
      </c>
      <c r="D5619" s="17">
        <v>22991231</v>
      </c>
      <c r="E5619" s="25">
        <v>190.54</v>
      </c>
    </row>
    <row r="5620" spans="1:5" ht="26" x14ac:dyDescent="0.3">
      <c r="A5620" s="17" t="str">
        <f>"C8903"</f>
        <v>C8903</v>
      </c>
      <c r="B5620" s="5" t="s">
        <v>5623</v>
      </c>
      <c r="C5620" s="17">
        <v>20230101</v>
      </c>
      <c r="D5620" s="17">
        <v>22991231</v>
      </c>
      <c r="E5620" s="25">
        <v>91.04</v>
      </c>
    </row>
    <row r="5621" spans="1:5" ht="26" x14ac:dyDescent="0.3">
      <c r="A5621" s="17" t="str">
        <f>"C8905"</f>
        <v>C8905</v>
      </c>
      <c r="B5621" s="5" t="s">
        <v>5624</v>
      </c>
      <c r="C5621" s="17">
        <v>20230101</v>
      </c>
      <c r="D5621" s="17">
        <v>22991231</v>
      </c>
      <c r="E5621" s="25">
        <v>190.54</v>
      </c>
    </row>
    <row r="5622" spans="1:5" ht="26" x14ac:dyDescent="0.3">
      <c r="A5622" s="17" t="str">
        <f>"C8906"</f>
        <v>C8906</v>
      </c>
      <c r="B5622" s="5" t="s">
        <v>5625</v>
      </c>
      <c r="C5622" s="17">
        <v>20230101</v>
      </c>
      <c r="D5622" s="17">
        <v>22991231</v>
      </c>
      <c r="E5622" s="25">
        <v>190.54</v>
      </c>
    </row>
    <row r="5623" spans="1:5" ht="26" x14ac:dyDescent="0.3">
      <c r="A5623" s="17" t="str">
        <f>"C8908"</f>
        <v>C8908</v>
      </c>
      <c r="B5623" s="5" t="s">
        <v>5626</v>
      </c>
      <c r="C5623" s="17">
        <v>20230101</v>
      </c>
      <c r="D5623" s="17">
        <v>22991231</v>
      </c>
      <c r="E5623" s="25">
        <v>190.54</v>
      </c>
    </row>
    <row r="5624" spans="1:5" ht="26" x14ac:dyDescent="0.3">
      <c r="A5624" s="17" t="str">
        <f>"C8909"</f>
        <v>C8909</v>
      </c>
      <c r="B5624" s="5" t="s">
        <v>5627</v>
      </c>
      <c r="C5624" s="17">
        <v>20230101</v>
      </c>
      <c r="D5624" s="17">
        <v>22991231</v>
      </c>
      <c r="E5624" s="25">
        <v>190.54</v>
      </c>
    </row>
    <row r="5625" spans="1:5" ht="26" x14ac:dyDescent="0.3">
      <c r="A5625" s="17" t="str">
        <f>"C8910"</f>
        <v>C8910</v>
      </c>
      <c r="B5625" s="5" t="s">
        <v>5628</v>
      </c>
      <c r="C5625" s="17">
        <v>20230101</v>
      </c>
      <c r="D5625" s="17">
        <v>22991231</v>
      </c>
      <c r="E5625" s="25">
        <v>121.41</v>
      </c>
    </row>
    <row r="5626" spans="1:5" ht="39" x14ac:dyDescent="0.3">
      <c r="A5626" s="17" t="str">
        <f>"C8911"</f>
        <v>C8911</v>
      </c>
      <c r="B5626" s="5" t="s">
        <v>5629</v>
      </c>
      <c r="C5626" s="17">
        <v>20230101</v>
      </c>
      <c r="D5626" s="17">
        <v>22991231</v>
      </c>
      <c r="E5626" s="25">
        <v>190.54</v>
      </c>
    </row>
    <row r="5627" spans="1:5" ht="26" x14ac:dyDescent="0.3">
      <c r="A5627" s="17" t="str">
        <f>"C8912"</f>
        <v>C8912</v>
      </c>
      <c r="B5627" s="5" t="s">
        <v>5630</v>
      </c>
      <c r="C5627" s="17">
        <v>20230101</v>
      </c>
      <c r="D5627" s="17">
        <v>22991231</v>
      </c>
      <c r="E5627" s="25">
        <v>190.54</v>
      </c>
    </row>
    <row r="5628" spans="1:5" ht="26" x14ac:dyDescent="0.3">
      <c r="A5628" s="17" t="str">
        <f>"C8913"</f>
        <v>C8913</v>
      </c>
      <c r="B5628" s="5" t="s">
        <v>5631</v>
      </c>
      <c r="C5628" s="17">
        <v>20230101</v>
      </c>
      <c r="D5628" s="17">
        <v>22991231</v>
      </c>
      <c r="E5628" s="25">
        <v>121.41</v>
      </c>
    </row>
    <row r="5629" spans="1:5" ht="39" x14ac:dyDescent="0.3">
      <c r="A5629" s="17" t="str">
        <f>"C8914"</f>
        <v>C8914</v>
      </c>
      <c r="B5629" s="5" t="s">
        <v>5632</v>
      </c>
      <c r="C5629" s="17">
        <v>20230101</v>
      </c>
      <c r="D5629" s="17">
        <v>22991231</v>
      </c>
      <c r="E5629" s="25">
        <v>190.54</v>
      </c>
    </row>
    <row r="5630" spans="1:5" ht="26" x14ac:dyDescent="0.3">
      <c r="A5630" s="17" t="str">
        <f>"C8918"</f>
        <v>C8918</v>
      </c>
      <c r="B5630" s="5" t="s">
        <v>5633</v>
      </c>
      <c r="C5630" s="17">
        <v>20230101</v>
      </c>
      <c r="D5630" s="17">
        <v>22991231</v>
      </c>
      <c r="E5630" s="25">
        <v>190.54</v>
      </c>
    </row>
    <row r="5631" spans="1:5" ht="26" x14ac:dyDescent="0.3">
      <c r="A5631" s="17" t="str">
        <f>"C8919"</f>
        <v>C8919</v>
      </c>
      <c r="B5631" s="5" t="s">
        <v>5634</v>
      </c>
      <c r="C5631" s="17">
        <v>20230101</v>
      </c>
      <c r="D5631" s="17">
        <v>22991231</v>
      </c>
      <c r="E5631" s="25">
        <v>121.41</v>
      </c>
    </row>
    <row r="5632" spans="1:5" ht="26" x14ac:dyDescent="0.3">
      <c r="A5632" s="17" t="str">
        <f>"C8920"</f>
        <v>C8920</v>
      </c>
      <c r="B5632" s="5" t="s">
        <v>5635</v>
      </c>
      <c r="C5632" s="17">
        <v>20230101</v>
      </c>
      <c r="D5632" s="17">
        <v>22991231</v>
      </c>
      <c r="E5632" s="25">
        <v>190.54</v>
      </c>
    </row>
    <row r="5633" spans="1:5" ht="26" x14ac:dyDescent="0.3">
      <c r="A5633" s="17" t="str">
        <f>"C8931"</f>
        <v>C8931</v>
      </c>
      <c r="B5633" s="5" t="s">
        <v>5636</v>
      </c>
      <c r="C5633" s="17">
        <v>20230101</v>
      </c>
      <c r="D5633" s="17">
        <v>22991231</v>
      </c>
      <c r="E5633" s="25">
        <v>190.54</v>
      </c>
    </row>
    <row r="5634" spans="1:5" ht="26" x14ac:dyDescent="0.3">
      <c r="A5634" s="17" t="str">
        <f>"C8932"</f>
        <v>C8932</v>
      </c>
      <c r="B5634" s="5" t="s">
        <v>5637</v>
      </c>
      <c r="C5634" s="17">
        <v>20230101</v>
      </c>
      <c r="D5634" s="17">
        <v>22991231</v>
      </c>
      <c r="E5634" s="25">
        <v>121.41</v>
      </c>
    </row>
    <row r="5635" spans="1:5" ht="39" x14ac:dyDescent="0.3">
      <c r="A5635" s="17" t="str">
        <f>"C8933"</f>
        <v>C8933</v>
      </c>
      <c r="B5635" s="5" t="s">
        <v>5638</v>
      </c>
      <c r="C5635" s="17">
        <v>20230101</v>
      </c>
      <c r="D5635" s="17">
        <v>22991231</v>
      </c>
      <c r="E5635" s="25">
        <v>190.54</v>
      </c>
    </row>
    <row r="5636" spans="1:5" ht="26" x14ac:dyDescent="0.3">
      <c r="A5636" s="17" t="str">
        <f>"C8934"</f>
        <v>C8934</v>
      </c>
      <c r="B5636" s="5" t="s">
        <v>5639</v>
      </c>
      <c r="C5636" s="17">
        <v>20230101</v>
      </c>
      <c r="D5636" s="17">
        <v>22991231</v>
      </c>
      <c r="E5636" s="25">
        <v>190.54</v>
      </c>
    </row>
    <row r="5637" spans="1:5" ht="26" x14ac:dyDescent="0.3">
      <c r="A5637" s="17" t="str">
        <f>"C8935"</f>
        <v>C8935</v>
      </c>
      <c r="B5637" s="5" t="s">
        <v>5640</v>
      </c>
      <c r="C5637" s="17">
        <v>20230101</v>
      </c>
      <c r="D5637" s="17">
        <v>22991231</v>
      </c>
      <c r="E5637" s="25">
        <v>121.41</v>
      </c>
    </row>
    <row r="5638" spans="1:5" ht="39" x14ac:dyDescent="0.3">
      <c r="A5638" s="17" t="str">
        <f>"C8936"</f>
        <v>C8936</v>
      </c>
      <c r="B5638" s="5" t="s">
        <v>5641</v>
      </c>
      <c r="C5638" s="17">
        <v>20230101</v>
      </c>
      <c r="D5638" s="17">
        <v>22991231</v>
      </c>
      <c r="E5638" s="25">
        <v>190.54</v>
      </c>
    </row>
    <row r="5639" spans="1:5" x14ac:dyDescent="0.3">
      <c r="A5639" s="17" t="str">
        <f>"C8956"</f>
        <v>C8956</v>
      </c>
      <c r="B5639" s="5" t="s">
        <v>3729</v>
      </c>
      <c r="C5639" s="17">
        <v>20060101</v>
      </c>
      <c r="D5639" s="17">
        <v>22991231</v>
      </c>
      <c r="E5639" s="24" t="s">
        <v>7128</v>
      </c>
    </row>
    <row r="5640" spans="1:5" ht="52" x14ac:dyDescent="0.3">
      <c r="A5640" s="17" t="str">
        <f>"C8957"</f>
        <v>C8957</v>
      </c>
      <c r="B5640" s="5" t="s">
        <v>5642</v>
      </c>
      <c r="C5640" s="17">
        <v>20060101</v>
      </c>
      <c r="D5640" s="17">
        <v>22991231</v>
      </c>
      <c r="E5640" s="24" t="s">
        <v>7128</v>
      </c>
    </row>
    <row r="5641" spans="1:5" ht="26" x14ac:dyDescent="0.3">
      <c r="A5641" s="17" t="str">
        <f>"C9046"</f>
        <v>C9046</v>
      </c>
      <c r="B5641" s="5" t="s">
        <v>5643</v>
      </c>
      <c r="C5641" s="17">
        <v>20230101</v>
      </c>
      <c r="D5641" s="17">
        <v>22991231</v>
      </c>
      <c r="E5641" s="25">
        <v>0</v>
      </c>
    </row>
    <row r="5642" spans="1:5" x14ac:dyDescent="0.3">
      <c r="A5642" s="17" t="str">
        <f>"C9047"</f>
        <v>C9047</v>
      </c>
      <c r="B5642" s="5" t="s">
        <v>5644</v>
      </c>
      <c r="C5642" s="17">
        <v>20230101</v>
      </c>
      <c r="D5642" s="17">
        <v>22991231</v>
      </c>
      <c r="E5642" s="25">
        <v>710.01</v>
      </c>
    </row>
    <row r="5643" spans="1:5" x14ac:dyDescent="0.3">
      <c r="A5643" s="17" t="str">
        <f>"C9067"</f>
        <v>C9067</v>
      </c>
      <c r="B5643" s="5" t="s">
        <v>5645</v>
      </c>
      <c r="C5643" s="17">
        <v>20230101</v>
      </c>
      <c r="D5643" s="17">
        <v>22991231</v>
      </c>
      <c r="E5643" s="25">
        <v>0</v>
      </c>
    </row>
    <row r="5644" spans="1:5" ht="26" x14ac:dyDescent="0.3">
      <c r="A5644" s="17" t="str">
        <f>"C9088"</f>
        <v>C9088</v>
      </c>
      <c r="B5644" s="5" t="s">
        <v>5646</v>
      </c>
      <c r="C5644" s="17">
        <v>20230101</v>
      </c>
      <c r="D5644" s="17">
        <v>22991231</v>
      </c>
      <c r="E5644" s="25">
        <v>0.7</v>
      </c>
    </row>
    <row r="5645" spans="1:5" x14ac:dyDescent="0.3">
      <c r="A5645" s="17" t="str">
        <f>"C9089"</f>
        <v>C9089</v>
      </c>
      <c r="B5645" s="5" t="s">
        <v>5647</v>
      </c>
      <c r="C5645" s="17">
        <v>20230101</v>
      </c>
      <c r="D5645" s="17">
        <v>22991231</v>
      </c>
      <c r="E5645" s="25">
        <v>0.81</v>
      </c>
    </row>
    <row r="5646" spans="1:5" x14ac:dyDescent="0.3">
      <c r="A5646" s="17" t="str">
        <f>"C9101"</f>
        <v>C9101</v>
      </c>
      <c r="B5646" s="5" t="s">
        <v>5648</v>
      </c>
      <c r="C5646" s="17">
        <v>20230101</v>
      </c>
      <c r="D5646" s="17">
        <v>22991231</v>
      </c>
      <c r="E5646" s="25">
        <v>1.1399999999999999</v>
      </c>
    </row>
    <row r="5647" spans="1:5" ht="26" x14ac:dyDescent="0.3">
      <c r="A5647" s="17" t="s">
        <v>20</v>
      </c>
      <c r="B5647" s="5" t="s">
        <v>5649</v>
      </c>
      <c r="C5647" s="17">
        <v>20230101</v>
      </c>
      <c r="D5647" s="17">
        <v>20240630</v>
      </c>
      <c r="E5647" s="25">
        <v>0</v>
      </c>
    </row>
    <row r="5648" spans="1:5" ht="26" x14ac:dyDescent="0.3">
      <c r="A5648" s="17" t="str">
        <f>"C9143"</f>
        <v>C9143</v>
      </c>
      <c r="B5648" s="5" t="s">
        <v>5650</v>
      </c>
      <c r="C5648" s="17">
        <v>20240101</v>
      </c>
      <c r="D5648" s="17">
        <v>22991231</v>
      </c>
      <c r="E5648" s="25">
        <v>0</v>
      </c>
    </row>
    <row r="5649" spans="1:5" x14ac:dyDescent="0.3">
      <c r="A5649" s="17" t="str">
        <f>"C9144"</f>
        <v>C9144</v>
      </c>
      <c r="B5649" s="5" t="s">
        <v>5651</v>
      </c>
      <c r="C5649" s="17">
        <v>20230101</v>
      </c>
      <c r="D5649" s="17">
        <v>22991231</v>
      </c>
      <c r="E5649" s="25">
        <v>0.49</v>
      </c>
    </row>
    <row r="5650" spans="1:5" x14ac:dyDescent="0.3">
      <c r="A5650" s="17" t="str">
        <f>"C9145"</f>
        <v>C9145</v>
      </c>
      <c r="B5650" s="5" t="s">
        <v>5652</v>
      </c>
      <c r="C5650" s="17">
        <v>20240101</v>
      </c>
      <c r="D5650" s="17">
        <v>22991231</v>
      </c>
      <c r="E5650" s="25">
        <v>1.8</v>
      </c>
    </row>
    <row r="5651" spans="1:5" ht="26" x14ac:dyDescent="0.3">
      <c r="A5651" s="17" t="str">
        <f>"C9150"</f>
        <v>C9150</v>
      </c>
      <c r="B5651" s="5" t="s">
        <v>5653</v>
      </c>
      <c r="C5651" s="17">
        <v>20240101</v>
      </c>
      <c r="D5651" s="17">
        <v>22991231</v>
      </c>
      <c r="E5651" s="25">
        <v>0</v>
      </c>
    </row>
    <row r="5652" spans="1:5" ht="39" x14ac:dyDescent="0.3">
      <c r="A5652" s="17" t="str">
        <f>"C9159"</f>
        <v>C9159</v>
      </c>
      <c r="B5652" s="5" t="s">
        <v>5654</v>
      </c>
      <c r="C5652" s="17">
        <v>20240101</v>
      </c>
      <c r="D5652" s="17">
        <v>20240331</v>
      </c>
      <c r="E5652" s="25">
        <v>3.1</v>
      </c>
    </row>
    <row r="5653" spans="1:5" ht="26" x14ac:dyDescent="0.3">
      <c r="A5653" s="17" t="str">
        <f>"C9160"</f>
        <v>C9160</v>
      </c>
      <c r="B5653" s="5" t="s">
        <v>5655</v>
      </c>
      <c r="C5653" s="17">
        <v>20240101</v>
      </c>
      <c r="D5653" s="17">
        <v>20240331</v>
      </c>
      <c r="E5653" s="25">
        <v>4.25</v>
      </c>
    </row>
    <row r="5654" spans="1:5" x14ac:dyDescent="0.3">
      <c r="A5654" s="17" t="s">
        <v>5656</v>
      </c>
      <c r="B5654" s="5" t="s">
        <v>5657</v>
      </c>
      <c r="C5654" s="17">
        <v>20240101</v>
      </c>
      <c r="D5654" s="17">
        <v>20240331</v>
      </c>
      <c r="E5654" s="25">
        <v>322.81</v>
      </c>
    </row>
    <row r="5655" spans="1:5" ht="26" x14ac:dyDescent="0.3">
      <c r="A5655" s="17" t="s">
        <v>5658</v>
      </c>
      <c r="B5655" s="5" t="s">
        <v>5659</v>
      </c>
      <c r="C5655" s="17">
        <v>20240101</v>
      </c>
      <c r="D5655" s="17">
        <v>20240331</v>
      </c>
      <c r="E5655" s="25">
        <v>103.3</v>
      </c>
    </row>
    <row r="5656" spans="1:5" ht="26" x14ac:dyDescent="0.3">
      <c r="A5656" s="17" t="s">
        <v>5660</v>
      </c>
      <c r="B5656" s="5" t="s">
        <v>5661</v>
      </c>
      <c r="C5656" s="17">
        <v>20240101</v>
      </c>
      <c r="D5656" s="17">
        <v>20240331</v>
      </c>
      <c r="E5656" s="25">
        <v>63.7</v>
      </c>
    </row>
    <row r="5657" spans="1:5" ht="39" x14ac:dyDescent="0.3">
      <c r="A5657" s="17" t="s">
        <v>5662</v>
      </c>
      <c r="B5657" s="5" t="s">
        <v>5663</v>
      </c>
      <c r="C5657" s="17">
        <v>20240101</v>
      </c>
      <c r="D5657" s="17">
        <v>20240331</v>
      </c>
      <c r="E5657" s="25">
        <v>673.91</v>
      </c>
    </row>
    <row r="5658" spans="1:5" x14ac:dyDescent="0.3">
      <c r="A5658" s="17" t="s">
        <v>5664</v>
      </c>
      <c r="B5658" s="5" t="s">
        <v>5665</v>
      </c>
      <c r="C5658" s="17">
        <v>20240101</v>
      </c>
      <c r="D5658" s="17">
        <v>20240331</v>
      </c>
      <c r="E5658" s="25">
        <v>168.94</v>
      </c>
    </row>
    <row r="5659" spans="1:5" x14ac:dyDescent="0.3">
      <c r="A5659" s="17" t="str">
        <f>"C9248"</f>
        <v>C9248</v>
      </c>
      <c r="B5659" s="5" t="s">
        <v>5666</v>
      </c>
      <c r="C5659" s="17">
        <v>20230101</v>
      </c>
      <c r="D5659" s="17">
        <v>22991231</v>
      </c>
      <c r="E5659" s="25">
        <v>0</v>
      </c>
    </row>
    <row r="5660" spans="1:5" ht="26" x14ac:dyDescent="0.3">
      <c r="A5660" s="17" t="str">
        <f>"C9250"</f>
        <v>C9250</v>
      </c>
      <c r="B5660" s="5" t="s">
        <v>5667</v>
      </c>
      <c r="C5660" s="17">
        <v>20090701</v>
      </c>
      <c r="D5660" s="17">
        <v>22991231</v>
      </c>
      <c r="E5660" s="25">
        <v>126.78</v>
      </c>
    </row>
    <row r="5661" spans="1:5" x14ac:dyDescent="0.3">
      <c r="A5661" s="17" t="str">
        <f>"C9254"</f>
        <v>C9254</v>
      </c>
      <c r="B5661" s="5" t="s">
        <v>5668</v>
      </c>
      <c r="C5661" s="17">
        <v>20230101</v>
      </c>
      <c r="D5661" s="17">
        <v>22991231</v>
      </c>
      <c r="E5661" s="25">
        <v>0</v>
      </c>
    </row>
    <row r="5662" spans="1:5" x14ac:dyDescent="0.3">
      <c r="A5662" s="17" t="str">
        <f>"C9257"</f>
        <v>C9257</v>
      </c>
      <c r="B5662" s="5" t="s">
        <v>5669</v>
      </c>
      <c r="C5662" s="17">
        <v>20230101</v>
      </c>
      <c r="D5662" s="17">
        <v>22991231</v>
      </c>
      <c r="E5662" s="25">
        <v>1.77</v>
      </c>
    </row>
    <row r="5663" spans="1:5" x14ac:dyDescent="0.3">
      <c r="A5663" s="17" t="str">
        <f>"C9285"</f>
        <v>C9285</v>
      </c>
      <c r="B5663" s="5" t="s">
        <v>5670</v>
      </c>
      <c r="C5663" s="17">
        <v>20230101</v>
      </c>
      <c r="D5663" s="17">
        <v>22991231</v>
      </c>
      <c r="E5663" s="25">
        <v>0</v>
      </c>
    </row>
    <row r="5664" spans="1:5" x14ac:dyDescent="0.3">
      <c r="A5664" s="17" t="str">
        <f>"C9290"</f>
        <v>C9290</v>
      </c>
      <c r="B5664" s="5" t="s">
        <v>5671</v>
      </c>
      <c r="C5664" s="17">
        <v>20230101</v>
      </c>
      <c r="D5664" s="17">
        <v>22991231</v>
      </c>
      <c r="E5664" s="25">
        <v>1.36</v>
      </c>
    </row>
    <row r="5665" spans="1:5" x14ac:dyDescent="0.3">
      <c r="A5665" s="17" t="str">
        <f>"C9293"</f>
        <v>C9293</v>
      </c>
      <c r="B5665" s="5" t="s">
        <v>5672</v>
      </c>
      <c r="C5665" s="17">
        <v>20230101</v>
      </c>
      <c r="D5665" s="17">
        <v>22991231</v>
      </c>
      <c r="E5665" s="25">
        <v>0</v>
      </c>
    </row>
    <row r="5666" spans="1:5" ht="26" x14ac:dyDescent="0.3">
      <c r="A5666" s="17" t="str">
        <f>"C9352"</f>
        <v>C9352</v>
      </c>
      <c r="B5666" s="5" t="s">
        <v>5673</v>
      </c>
      <c r="C5666" s="17">
        <v>20230101</v>
      </c>
      <c r="D5666" s="17">
        <v>22991231</v>
      </c>
      <c r="E5666" s="25">
        <v>0</v>
      </c>
    </row>
    <row r="5667" spans="1:5" ht="39" x14ac:dyDescent="0.3">
      <c r="A5667" s="17" t="str">
        <f>"C9353"</f>
        <v>C9353</v>
      </c>
      <c r="B5667" s="5" t="s">
        <v>5674</v>
      </c>
      <c r="C5667" s="17">
        <v>20230101</v>
      </c>
      <c r="D5667" s="17">
        <v>22991231</v>
      </c>
      <c r="E5667" s="25">
        <v>0</v>
      </c>
    </row>
    <row r="5668" spans="1:5" ht="26" x14ac:dyDescent="0.3">
      <c r="A5668" s="17" t="str">
        <f>"C9354"</f>
        <v>C9354</v>
      </c>
      <c r="B5668" s="5" t="s">
        <v>5675</v>
      </c>
      <c r="C5668" s="17">
        <v>20230101</v>
      </c>
      <c r="D5668" s="17">
        <v>22991231</v>
      </c>
      <c r="E5668" s="25">
        <v>0</v>
      </c>
    </row>
    <row r="5669" spans="1:5" ht="26" x14ac:dyDescent="0.3">
      <c r="A5669" s="17" t="str">
        <f>"C9355"</f>
        <v>C9355</v>
      </c>
      <c r="B5669" s="5" t="s">
        <v>5676</v>
      </c>
      <c r="C5669" s="17">
        <v>20230101</v>
      </c>
      <c r="D5669" s="17">
        <v>22991231</v>
      </c>
      <c r="E5669" s="25">
        <v>0</v>
      </c>
    </row>
    <row r="5670" spans="1:5" ht="39" x14ac:dyDescent="0.3">
      <c r="A5670" s="17" t="str">
        <f>"C9356"</f>
        <v>C9356</v>
      </c>
      <c r="B5670" s="5" t="s">
        <v>5677</v>
      </c>
      <c r="C5670" s="17">
        <v>20230101</v>
      </c>
      <c r="D5670" s="17">
        <v>22991231</v>
      </c>
      <c r="E5670" s="25">
        <v>0</v>
      </c>
    </row>
    <row r="5671" spans="1:5" ht="39" x14ac:dyDescent="0.3">
      <c r="A5671" s="17" t="str">
        <f>"C9358"</f>
        <v>C9358</v>
      </c>
      <c r="B5671" s="5" t="s">
        <v>5678</v>
      </c>
      <c r="C5671" s="17">
        <v>20230101</v>
      </c>
      <c r="D5671" s="17">
        <v>22991231</v>
      </c>
      <c r="E5671" s="25">
        <v>0</v>
      </c>
    </row>
    <row r="5672" spans="1:5" ht="52" x14ac:dyDescent="0.3">
      <c r="A5672" s="17" t="str">
        <f>"C9359"</f>
        <v>C9359</v>
      </c>
      <c r="B5672" s="5" t="s">
        <v>5679</v>
      </c>
      <c r="C5672" s="17">
        <v>20230101</v>
      </c>
      <c r="D5672" s="17">
        <v>22991231</v>
      </c>
      <c r="E5672" s="25">
        <v>0</v>
      </c>
    </row>
    <row r="5673" spans="1:5" ht="39" x14ac:dyDescent="0.3">
      <c r="A5673" s="17" t="str">
        <f>"C9360"</f>
        <v>C9360</v>
      </c>
      <c r="B5673" s="5" t="s">
        <v>5680</v>
      </c>
      <c r="C5673" s="17">
        <v>20100101</v>
      </c>
      <c r="D5673" s="17">
        <v>22991231</v>
      </c>
      <c r="E5673" s="25">
        <v>0</v>
      </c>
    </row>
    <row r="5674" spans="1:5" ht="26" x14ac:dyDescent="0.3">
      <c r="A5674" s="17" t="str">
        <f>"C9361"</f>
        <v>C9361</v>
      </c>
      <c r="B5674" s="5" t="s">
        <v>5681</v>
      </c>
      <c r="C5674" s="17">
        <v>20100101</v>
      </c>
      <c r="D5674" s="17">
        <v>22991231</v>
      </c>
      <c r="E5674" s="25">
        <v>0</v>
      </c>
    </row>
    <row r="5675" spans="1:5" ht="39" x14ac:dyDescent="0.3">
      <c r="A5675" s="17" t="str">
        <f>"C9362"</f>
        <v>C9362</v>
      </c>
      <c r="B5675" s="5" t="s">
        <v>5682</v>
      </c>
      <c r="C5675" s="17">
        <v>20100101</v>
      </c>
      <c r="D5675" s="17">
        <v>22991231</v>
      </c>
      <c r="E5675" s="25">
        <v>0</v>
      </c>
    </row>
    <row r="5676" spans="1:5" ht="26" x14ac:dyDescent="0.3">
      <c r="A5676" s="17" t="str">
        <f>"C9363"</f>
        <v>C9363</v>
      </c>
      <c r="B5676" s="5" t="s">
        <v>5683</v>
      </c>
      <c r="C5676" s="17">
        <v>20100101</v>
      </c>
      <c r="D5676" s="17">
        <v>22991231</v>
      </c>
      <c r="E5676" s="25">
        <v>0</v>
      </c>
    </row>
    <row r="5677" spans="1:5" ht="26" x14ac:dyDescent="0.3">
      <c r="A5677" s="17" t="str">
        <f>"C9364"</f>
        <v>C9364</v>
      </c>
      <c r="B5677" s="5" t="s">
        <v>5684</v>
      </c>
      <c r="C5677" s="17">
        <v>20100101</v>
      </c>
      <c r="D5677" s="17">
        <v>22991231</v>
      </c>
      <c r="E5677" s="25">
        <v>0</v>
      </c>
    </row>
    <row r="5678" spans="1:5" x14ac:dyDescent="0.3">
      <c r="A5678" s="17" t="str">
        <f>"C9399"</f>
        <v>C9399</v>
      </c>
      <c r="B5678" s="5" t="s">
        <v>5685</v>
      </c>
      <c r="C5678" s="17">
        <v>20230101</v>
      </c>
      <c r="D5678" s="17">
        <v>22991231</v>
      </c>
      <c r="E5678" s="25">
        <v>0</v>
      </c>
    </row>
    <row r="5679" spans="1:5" x14ac:dyDescent="0.3">
      <c r="A5679" s="17" t="str">
        <f>"C9460"</f>
        <v>C9460</v>
      </c>
      <c r="B5679" s="5" t="s">
        <v>5686</v>
      </c>
      <c r="C5679" s="17">
        <v>20230101</v>
      </c>
      <c r="D5679" s="17">
        <v>22991231</v>
      </c>
      <c r="E5679" s="25">
        <v>17.43</v>
      </c>
    </row>
    <row r="5680" spans="1:5" x14ac:dyDescent="0.3">
      <c r="A5680" s="17" t="str">
        <f>"C9462"</f>
        <v>C9462</v>
      </c>
      <c r="B5680" s="5" t="s">
        <v>5687</v>
      </c>
      <c r="C5680" s="17">
        <v>20230101</v>
      </c>
      <c r="D5680" s="17">
        <v>22991231</v>
      </c>
      <c r="E5680" s="25">
        <v>0</v>
      </c>
    </row>
    <row r="5681" spans="1:5" x14ac:dyDescent="0.3">
      <c r="A5681" s="17" t="str">
        <f>"C9482"</f>
        <v>C9482</v>
      </c>
      <c r="B5681" s="5" t="s">
        <v>5688</v>
      </c>
      <c r="C5681" s="17">
        <v>20230101</v>
      </c>
      <c r="D5681" s="17">
        <v>22991231</v>
      </c>
      <c r="E5681" s="25">
        <v>19.78</v>
      </c>
    </row>
    <row r="5682" spans="1:5" x14ac:dyDescent="0.3">
      <c r="A5682" s="17" t="str">
        <f>"C9488"</f>
        <v>C9488</v>
      </c>
      <c r="B5682" s="5" t="s">
        <v>5689</v>
      </c>
      <c r="C5682" s="17">
        <v>20230101</v>
      </c>
      <c r="D5682" s="17">
        <v>22991231</v>
      </c>
      <c r="E5682" s="25">
        <v>45.12</v>
      </c>
    </row>
    <row r="5683" spans="1:5" ht="52" x14ac:dyDescent="0.3">
      <c r="A5683" s="17" t="str">
        <f>"C9600"</f>
        <v>C9600</v>
      </c>
      <c r="B5683" s="5" t="s">
        <v>5690</v>
      </c>
      <c r="C5683" s="17">
        <v>20230101</v>
      </c>
      <c r="D5683" s="17">
        <v>22991231</v>
      </c>
      <c r="E5683" s="25">
        <v>6400.99</v>
      </c>
    </row>
    <row r="5684" spans="1:5" ht="65" x14ac:dyDescent="0.3">
      <c r="A5684" s="17" t="str">
        <f>"C9601"</f>
        <v>C9601</v>
      </c>
      <c r="B5684" s="5" t="s">
        <v>5691</v>
      </c>
      <c r="C5684" s="17">
        <v>20230101</v>
      </c>
      <c r="D5684" s="17">
        <v>22991231</v>
      </c>
      <c r="E5684" s="25">
        <v>0</v>
      </c>
    </row>
    <row r="5685" spans="1:5" ht="26" x14ac:dyDescent="0.3">
      <c r="A5685" s="17" t="str">
        <f>"C9716"</f>
        <v>C9716</v>
      </c>
      <c r="B5685" s="5" t="s">
        <v>5692</v>
      </c>
      <c r="C5685" s="17">
        <v>20050101</v>
      </c>
      <c r="D5685" s="17">
        <v>22991231</v>
      </c>
      <c r="E5685" s="24" t="s">
        <v>7128</v>
      </c>
    </row>
    <row r="5686" spans="1:5" ht="26" x14ac:dyDescent="0.3">
      <c r="A5686" s="17" t="str">
        <f>"C9725"</f>
        <v>C9725</v>
      </c>
      <c r="B5686" s="5" t="s">
        <v>5693</v>
      </c>
      <c r="C5686" s="17">
        <v>20060101</v>
      </c>
      <c r="D5686" s="17">
        <v>22991231</v>
      </c>
      <c r="E5686" s="25">
        <v>452.84</v>
      </c>
    </row>
    <row r="5687" spans="1:5" ht="39" x14ac:dyDescent="0.3">
      <c r="A5687" s="17" t="str">
        <f>"C9726"</f>
        <v>C9726</v>
      </c>
      <c r="B5687" s="5" t="s">
        <v>5694</v>
      </c>
      <c r="C5687" s="17">
        <v>20230101</v>
      </c>
      <c r="D5687" s="17">
        <v>22991231</v>
      </c>
      <c r="E5687" s="25">
        <v>0</v>
      </c>
    </row>
    <row r="5688" spans="1:5" ht="26" x14ac:dyDescent="0.3">
      <c r="A5688" s="17" t="str">
        <f>"C9727"</f>
        <v>C9727</v>
      </c>
      <c r="B5688" s="5" t="s">
        <v>5695</v>
      </c>
      <c r="C5688" s="17">
        <v>20230101</v>
      </c>
      <c r="D5688" s="17">
        <v>22991231</v>
      </c>
      <c r="E5688" s="25">
        <v>636.91999999999996</v>
      </c>
    </row>
    <row r="5689" spans="1:5" ht="65" x14ac:dyDescent="0.3">
      <c r="A5689" s="17" t="str">
        <f>"C9728"</f>
        <v>C9728</v>
      </c>
      <c r="B5689" s="5" t="s">
        <v>5696</v>
      </c>
      <c r="C5689" s="17">
        <v>20230101</v>
      </c>
      <c r="D5689" s="17">
        <v>22991231</v>
      </c>
      <c r="E5689" s="25">
        <v>686.53</v>
      </c>
    </row>
    <row r="5690" spans="1:5" ht="39" x14ac:dyDescent="0.3">
      <c r="A5690" s="17" t="str">
        <f>"C9734"</f>
        <v>C9734</v>
      </c>
      <c r="B5690" s="5" t="s">
        <v>5697</v>
      </c>
      <c r="C5690" s="17">
        <v>20240101</v>
      </c>
      <c r="D5690" s="17">
        <v>22991231</v>
      </c>
      <c r="E5690" s="25">
        <v>7819.46</v>
      </c>
    </row>
    <row r="5691" spans="1:5" ht="39" x14ac:dyDescent="0.3">
      <c r="A5691" s="17" t="str">
        <f>"C9738"</f>
        <v>C9738</v>
      </c>
      <c r="B5691" s="5" t="s">
        <v>5698</v>
      </c>
      <c r="C5691" s="17">
        <v>20230101</v>
      </c>
      <c r="D5691" s="17">
        <v>22991231</v>
      </c>
      <c r="E5691" s="25">
        <v>0</v>
      </c>
    </row>
    <row r="5692" spans="1:5" ht="26" x14ac:dyDescent="0.3">
      <c r="A5692" s="17" t="str">
        <f>"C9739"</f>
        <v>C9739</v>
      </c>
      <c r="B5692" s="5" t="s">
        <v>5699</v>
      </c>
      <c r="C5692" s="17">
        <v>20230101</v>
      </c>
      <c r="D5692" s="17">
        <v>22991231</v>
      </c>
      <c r="E5692" s="25">
        <v>3591.97</v>
      </c>
    </row>
    <row r="5693" spans="1:5" ht="26" x14ac:dyDescent="0.3">
      <c r="A5693" s="17" t="str">
        <f>"C9740"</f>
        <v>C9740</v>
      </c>
      <c r="B5693" s="5" t="s">
        <v>5700</v>
      </c>
      <c r="C5693" s="17">
        <v>20230101</v>
      </c>
      <c r="D5693" s="17">
        <v>22991231</v>
      </c>
      <c r="E5693" s="25">
        <v>7016.19</v>
      </c>
    </row>
    <row r="5694" spans="1:5" ht="117" x14ac:dyDescent="0.3">
      <c r="A5694" s="17" t="str">
        <f>"C9757"</f>
        <v>C9757</v>
      </c>
      <c r="B5694" s="5" t="s">
        <v>5701</v>
      </c>
      <c r="C5694" s="17">
        <v>20230101</v>
      </c>
      <c r="D5694" s="17">
        <v>22991231</v>
      </c>
      <c r="E5694" s="25">
        <v>6208.9</v>
      </c>
    </row>
    <row r="5695" spans="1:5" ht="65" x14ac:dyDescent="0.3">
      <c r="A5695" s="17" t="str">
        <f>"C9759"</f>
        <v>C9759</v>
      </c>
      <c r="B5695" s="5" t="s">
        <v>5702</v>
      </c>
      <c r="C5695" s="17">
        <v>20230101</v>
      </c>
      <c r="D5695" s="17">
        <v>22991231</v>
      </c>
      <c r="E5695" s="25">
        <v>0</v>
      </c>
    </row>
    <row r="5696" spans="1:5" ht="78" x14ac:dyDescent="0.3">
      <c r="A5696" s="17" t="str">
        <f>"C9761"</f>
        <v>C9761</v>
      </c>
      <c r="B5696" s="5" t="s">
        <v>5703</v>
      </c>
      <c r="C5696" s="17">
        <v>20230101</v>
      </c>
      <c r="D5696" s="17">
        <v>22991231</v>
      </c>
      <c r="E5696" s="25">
        <v>4341.6400000000003</v>
      </c>
    </row>
    <row r="5697" spans="1:5" ht="39" x14ac:dyDescent="0.3">
      <c r="A5697" s="17" t="str">
        <f>"C9762"</f>
        <v>C9762</v>
      </c>
      <c r="B5697" s="5" t="s">
        <v>5704</v>
      </c>
      <c r="C5697" s="17">
        <v>20230101</v>
      </c>
      <c r="D5697" s="17">
        <v>22991231</v>
      </c>
      <c r="E5697" s="25">
        <v>273.33999999999997</v>
      </c>
    </row>
    <row r="5698" spans="1:5" ht="39" x14ac:dyDescent="0.3">
      <c r="A5698" s="17" t="str">
        <f>"C9763"</f>
        <v>C9763</v>
      </c>
      <c r="B5698" s="5" t="s">
        <v>5705</v>
      </c>
      <c r="C5698" s="17">
        <v>20230101</v>
      </c>
      <c r="D5698" s="17">
        <v>22991231</v>
      </c>
      <c r="E5698" s="25">
        <v>273.33999999999997</v>
      </c>
    </row>
    <row r="5699" spans="1:5" ht="65" x14ac:dyDescent="0.3">
      <c r="A5699" s="17" t="str">
        <f>"C9764"</f>
        <v>C9764</v>
      </c>
      <c r="B5699" s="5" t="s">
        <v>5706</v>
      </c>
      <c r="C5699" s="17">
        <v>20230101</v>
      </c>
      <c r="D5699" s="17">
        <v>22991231</v>
      </c>
      <c r="E5699" s="25">
        <v>6930.6</v>
      </c>
    </row>
    <row r="5700" spans="1:5" ht="78" x14ac:dyDescent="0.3">
      <c r="A5700" s="17" t="str">
        <f>"C9765"</f>
        <v>C9765</v>
      </c>
      <c r="B5700" s="5" t="s">
        <v>5707</v>
      </c>
      <c r="C5700" s="17">
        <v>20230101</v>
      </c>
      <c r="D5700" s="17">
        <v>22991231</v>
      </c>
      <c r="E5700" s="25">
        <v>11217.1</v>
      </c>
    </row>
    <row r="5701" spans="1:5" ht="65" x14ac:dyDescent="0.3">
      <c r="A5701" s="17" t="str">
        <f>"C9766"</f>
        <v>C9766</v>
      </c>
      <c r="B5701" s="5" t="s">
        <v>5708</v>
      </c>
      <c r="C5701" s="17">
        <v>20230101</v>
      </c>
      <c r="D5701" s="17">
        <v>22991231</v>
      </c>
      <c r="E5701" s="25">
        <v>11533.92</v>
      </c>
    </row>
    <row r="5702" spans="1:5" ht="78" x14ac:dyDescent="0.3">
      <c r="A5702" s="17" t="str">
        <f>"C9767"</f>
        <v>C9767</v>
      </c>
      <c r="B5702" s="5" t="s">
        <v>5709</v>
      </c>
      <c r="C5702" s="17">
        <v>20230101</v>
      </c>
      <c r="D5702" s="17">
        <v>22991231</v>
      </c>
      <c r="E5702" s="25">
        <v>11787.26</v>
      </c>
    </row>
    <row r="5703" spans="1:5" ht="39" x14ac:dyDescent="0.3">
      <c r="A5703" s="17" t="str">
        <f>"C9769"</f>
        <v>C9769</v>
      </c>
      <c r="B5703" s="5" t="s">
        <v>5710</v>
      </c>
      <c r="C5703" s="17">
        <v>20230101</v>
      </c>
      <c r="D5703" s="17">
        <v>22991231</v>
      </c>
      <c r="E5703" s="25">
        <v>6731.73</v>
      </c>
    </row>
    <row r="5704" spans="1:5" ht="52" x14ac:dyDescent="0.3">
      <c r="A5704" s="17" t="str">
        <f>"C9772"</f>
        <v>C9772</v>
      </c>
      <c r="B5704" s="5" t="s">
        <v>5711</v>
      </c>
      <c r="C5704" s="17">
        <v>20230101</v>
      </c>
      <c r="D5704" s="17">
        <v>22991231</v>
      </c>
      <c r="E5704" s="25">
        <v>6372.31</v>
      </c>
    </row>
    <row r="5705" spans="1:5" ht="65" x14ac:dyDescent="0.3">
      <c r="A5705" s="17" t="str">
        <f>"C9773"</f>
        <v>C9773</v>
      </c>
      <c r="B5705" s="5" t="s">
        <v>5712</v>
      </c>
      <c r="C5705" s="17">
        <v>20230101</v>
      </c>
      <c r="D5705" s="17">
        <v>22991231</v>
      </c>
      <c r="E5705" s="25">
        <v>10890.84</v>
      </c>
    </row>
    <row r="5706" spans="1:5" ht="65" x14ac:dyDescent="0.3">
      <c r="A5706" s="17" t="str">
        <f>"C9774"</f>
        <v>C9774</v>
      </c>
      <c r="B5706" s="5" t="s">
        <v>5713</v>
      </c>
      <c r="C5706" s="17">
        <v>20230101</v>
      </c>
      <c r="D5706" s="17">
        <v>22991231</v>
      </c>
      <c r="E5706" s="25">
        <v>11510.67</v>
      </c>
    </row>
    <row r="5707" spans="1:5" ht="78" x14ac:dyDescent="0.3">
      <c r="A5707" s="17" t="str">
        <f>"C9775"</f>
        <v>C9775</v>
      </c>
      <c r="B5707" s="5" t="s">
        <v>5714</v>
      </c>
      <c r="C5707" s="17">
        <v>20230101</v>
      </c>
      <c r="D5707" s="17">
        <v>22991231</v>
      </c>
      <c r="E5707" s="25">
        <v>11667.82</v>
      </c>
    </row>
    <row r="5708" spans="1:5" ht="78" x14ac:dyDescent="0.3">
      <c r="A5708" s="17" t="str">
        <f>"C9776"</f>
        <v>C9776</v>
      </c>
      <c r="B5708" s="5" t="s">
        <v>5715</v>
      </c>
      <c r="C5708" s="17">
        <v>20230101</v>
      </c>
      <c r="D5708" s="17">
        <v>22991231</v>
      </c>
      <c r="E5708" s="25">
        <v>0</v>
      </c>
    </row>
    <row r="5709" spans="1:5" ht="39" x14ac:dyDescent="0.3">
      <c r="A5709" s="17" t="str">
        <f>"C9777"</f>
        <v>C9777</v>
      </c>
      <c r="B5709" s="5" t="s">
        <v>5716</v>
      </c>
      <c r="C5709" s="17">
        <v>20230101</v>
      </c>
      <c r="D5709" s="17">
        <v>22991231</v>
      </c>
      <c r="E5709" s="25">
        <v>2164.15</v>
      </c>
    </row>
    <row r="5710" spans="1:5" ht="26" x14ac:dyDescent="0.3">
      <c r="A5710" s="17" t="str">
        <f>"C9778"</f>
        <v>C9778</v>
      </c>
      <c r="B5710" s="5" t="s">
        <v>5717</v>
      </c>
      <c r="C5710" s="17">
        <v>20230101</v>
      </c>
      <c r="D5710" s="17">
        <v>22991231</v>
      </c>
      <c r="E5710" s="25">
        <v>2568.9</v>
      </c>
    </row>
    <row r="5711" spans="1:5" ht="78" x14ac:dyDescent="0.3">
      <c r="A5711" s="17" t="str">
        <f>"C9781"</f>
        <v>C9781</v>
      </c>
      <c r="B5711" s="5" t="s">
        <v>5718</v>
      </c>
      <c r="C5711" s="17">
        <v>20230101</v>
      </c>
      <c r="D5711" s="17">
        <v>22991231</v>
      </c>
      <c r="E5711" s="25">
        <v>9555.3700000000008</v>
      </c>
    </row>
    <row r="5712" spans="1:5" ht="52" x14ac:dyDescent="0.3">
      <c r="A5712" s="17" t="str">
        <f>"C9789"</f>
        <v>C9789</v>
      </c>
      <c r="B5712" s="5" t="s">
        <v>5719</v>
      </c>
      <c r="C5712" s="17">
        <v>20240101</v>
      </c>
      <c r="D5712" s="17">
        <v>22991231</v>
      </c>
      <c r="E5712" s="25">
        <v>1170.3</v>
      </c>
    </row>
    <row r="5713" spans="1:5" ht="39" x14ac:dyDescent="0.3">
      <c r="A5713" s="17" t="str">
        <f>"C9790"</f>
        <v>C9790</v>
      </c>
      <c r="B5713" s="5" t="s">
        <v>5720</v>
      </c>
      <c r="C5713" s="17">
        <v>20240101</v>
      </c>
      <c r="D5713" s="17">
        <v>22991231</v>
      </c>
      <c r="E5713" s="25">
        <v>6500.49</v>
      </c>
    </row>
    <row r="5714" spans="1:5" ht="65" x14ac:dyDescent="0.3">
      <c r="A5714" s="17" t="str">
        <f>"C9794"</f>
        <v>C9794</v>
      </c>
      <c r="B5714" s="5" t="s">
        <v>5721</v>
      </c>
      <c r="C5714" s="17">
        <v>20240101</v>
      </c>
      <c r="D5714" s="17">
        <v>22991231</v>
      </c>
      <c r="E5714" s="25">
        <v>1014.29</v>
      </c>
    </row>
    <row r="5715" spans="1:5" x14ac:dyDescent="0.3">
      <c r="A5715" s="17" t="str">
        <f>"D0120"</f>
        <v>D0120</v>
      </c>
      <c r="B5715" s="5" t="s">
        <v>5722</v>
      </c>
      <c r="C5715" s="17">
        <v>20240101</v>
      </c>
      <c r="D5715" s="17">
        <v>22991231</v>
      </c>
      <c r="E5715" s="25">
        <v>0</v>
      </c>
    </row>
    <row r="5716" spans="1:5" x14ac:dyDescent="0.3">
      <c r="A5716" s="17" t="str">
        <f>"D0140"</f>
        <v>D0140</v>
      </c>
      <c r="B5716" s="5" t="s">
        <v>5723</v>
      </c>
      <c r="C5716" s="17">
        <v>20160205</v>
      </c>
      <c r="D5716" s="17">
        <v>22991231</v>
      </c>
      <c r="E5716" s="25">
        <v>0</v>
      </c>
    </row>
    <row r="5717" spans="1:5" ht="26" x14ac:dyDescent="0.3">
      <c r="A5717" s="17" t="str">
        <f>"D0145"</f>
        <v>D0145</v>
      </c>
      <c r="B5717" s="5" t="s">
        <v>5724</v>
      </c>
      <c r="C5717" s="17">
        <v>20160205</v>
      </c>
      <c r="D5717" s="17">
        <v>22991231</v>
      </c>
      <c r="E5717" s="21" t="s">
        <v>7128</v>
      </c>
    </row>
    <row r="5718" spans="1:5" ht="26" x14ac:dyDescent="0.3">
      <c r="A5718" s="17" t="str">
        <f>"D0150"</f>
        <v>D0150</v>
      </c>
      <c r="B5718" s="5" t="s">
        <v>5725</v>
      </c>
      <c r="C5718" s="17">
        <v>20031016</v>
      </c>
      <c r="D5718" s="17">
        <v>22991231</v>
      </c>
      <c r="E5718" s="25">
        <v>0</v>
      </c>
    </row>
    <row r="5719" spans="1:5" ht="26" x14ac:dyDescent="0.3">
      <c r="A5719" s="17" t="str">
        <f>"D0160"</f>
        <v>D0160</v>
      </c>
      <c r="B5719" s="5" t="s">
        <v>5726</v>
      </c>
      <c r="C5719" s="17">
        <v>20240101</v>
      </c>
      <c r="D5719" s="17">
        <v>22991231</v>
      </c>
      <c r="E5719" s="25">
        <v>0</v>
      </c>
    </row>
    <row r="5720" spans="1:5" ht="26" x14ac:dyDescent="0.3">
      <c r="A5720" s="17" t="str">
        <f>"D0170"</f>
        <v>D0170</v>
      </c>
      <c r="B5720" s="5" t="s">
        <v>5727</v>
      </c>
      <c r="C5720" s="17">
        <v>20240101</v>
      </c>
      <c r="D5720" s="17">
        <v>22991231</v>
      </c>
      <c r="E5720" s="25">
        <v>0</v>
      </c>
    </row>
    <row r="5721" spans="1:5" x14ac:dyDescent="0.3">
      <c r="A5721" s="17" t="str">
        <f>"D0171"</f>
        <v>D0171</v>
      </c>
      <c r="B5721" s="5" t="s">
        <v>5728</v>
      </c>
      <c r="C5721" s="17">
        <v>20240101</v>
      </c>
      <c r="D5721" s="17">
        <v>22991231</v>
      </c>
      <c r="E5721" s="25">
        <v>0</v>
      </c>
    </row>
    <row r="5722" spans="1:5" ht="26" x14ac:dyDescent="0.3">
      <c r="A5722" s="17" t="str">
        <f>"D0180"</f>
        <v>D0180</v>
      </c>
      <c r="B5722" s="5" t="s">
        <v>5729</v>
      </c>
      <c r="C5722" s="17">
        <v>20240101</v>
      </c>
      <c r="D5722" s="17">
        <v>22991231</v>
      </c>
      <c r="E5722" s="25">
        <v>0</v>
      </c>
    </row>
    <row r="5723" spans="1:5" x14ac:dyDescent="0.3">
      <c r="A5723" s="17" t="str">
        <f>"D0191"</f>
        <v>D0191</v>
      </c>
      <c r="B5723" s="5" t="s">
        <v>5730</v>
      </c>
      <c r="C5723" s="17">
        <v>20160205</v>
      </c>
      <c r="D5723" s="17">
        <v>22991231</v>
      </c>
      <c r="E5723" s="25">
        <v>0</v>
      </c>
    </row>
    <row r="5724" spans="1:5" ht="26" x14ac:dyDescent="0.3">
      <c r="A5724" s="17" t="str">
        <f>"D0210"</f>
        <v>D0210</v>
      </c>
      <c r="B5724" s="5" t="s">
        <v>5731</v>
      </c>
      <c r="C5724" s="17">
        <v>20050401</v>
      </c>
      <c r="D5724" s="17">
        <v>22991231</v>
      </c>
      <c r="E5724" s="25">
        <v>0</v>
      </c>
    </row>
    <row r="5725" spans="1:5" x14ac:dyDescent="0.3">
      <c r="A5725" s="17" t="str">
        <f>"D0220"</f>
        <v>D0220</v>
      </c>
      <c r="B5725" s="5" t="s">
        <v>5732</v>
      </c>
      <c r="C5725" s="17">
        <v>20050401</v>
      </c>
      <c r="D5725" s="17">
        <v>22991231</v>
      </c>
      <c r="E5725" s="25">
        <v>0</v>
      </c>
    </row>
    <row r="5726" spans="1:5" ht="26" x14ac:dyDescent="0.3">
      <c r="A5726" s="17" t="str">
        <f>"D0230"</f>
        <v>D0230</v>
      </c>
      <c r="B5726" s="5" t="s">
        <v>5733</v>
      </c>
      <c r="C5726" s="17">
        <v>20050401</v>
      </c>
      <c r="D5726" s="17">
        <v>22991231</v>
      </c>
      <c r="E5726" s="25">
        <v>0</v>
      </c>
    </row>
    <row r="5727" spans="1:5" x14ac:dyDescent="0.3">
      <c r="A5727" s="17" t="str">
        <f>"D0240"</f>
        <v>D0240</v>
      </c>
      <c r="B5727" s="5" t="s">
        <v>5734</v>
      </c>
      <c r="C5727" s="17">
        <v>20240101</v>
      </c>
      <c r="D5727" s="17">
        <v>22991231</v>
      </c>
      <c r="E5727" s="25">
        <v>0</v>
      </c>
    </row>
    <row r="5728" spans="1:5" ht="39" x14ac:dyDescent="0.3">
      <c r="A5728" s="17" t="str">
        <f>"D0250"</f>
        <v>D0250</v>
      </c>
      <c r="B5728" s="5" t="s">
        <v>5735</v>
      </c>
      <c r="C5728" s="17">
        <v>20240101</v>
      </c>
      <c r="D5728" s="17">
        <v>22991231</v>
      </c>
      <c r="E5728" s="25">
        <v>0</v>
      </c>
    </row>
    <row r="5729" spans="1:5" x14ac:dyDescent="0.3">
      <c r="A5729" s="17" t="str">
        <f>"D0251"</f>
        <v>D0251</v>
      </c>
      <c r="B5729" s="5" t="s">
        <v>5736</v>
      </c>
      <c r="C5729" s="17">
        <v>20240101</v>
      </c>
      <c r="D5729" s="17">
        <v>22991231</v>
      </c>
      <c r="E5729" s="25">
        <v>0</v>
      </c>
    </row>
    <row r="5730" spans="1:5" x14ac:dyDescent="0.3">
      <c r="A5730" s="17" t="str">
        <f>"D0270"</f>
        <v>D0270</v>
      </c>
      <c r="B5730" s="5" t="s">
        <v>5737</v>
      </c>
      <c r="C5730" s="17">
        <v>20050401</v>
      </c>
      <c r="D5730" s="17">
        <v>22991231</v>
      </c>
      <c r="E5730" s="25">
        <v>0</v>
      </c>
    </row>
    <row r="5731" spans="1:5" x14ac:dyDescent="0.3">
      <c r="A5731" s="17" t="str">
        <f>"D0272"</f>
        <v>D0272</v>
      </c>
      <c r="B5731" s="5" t="s">
        <v>5738</v>
      </c>
      <c r="C5731" s="17">
        <v>20050401</v>
      </c>
      <c r="D5731" s="17">
        <v>22991231</v>
      </c>
      <c r="E5731" s="25">
        <v>0</v>
      </c>
    </row>
    <row r="5732" spans="1:5" x14ac:dyDescent="0.3">
      <c r="A5732" s="17" t="str">
        <f>"D0273"</f>
        <v>D0273</v>
      </c>
      <c r="B5732" s="5" t="s">
        <v>5739</v>
      </c>
      <c r="C5732" s="17">
        <v>20240101</v>
      </c>
      <c r="D5732" s="17">
        <v>22991231</v>
      </c>
      <c r="E5732" s="25">
        <v>0</v>
      </c>
    </row>
    <row r="5733" spans="1:5" x14ac:dyDescent="0.3">
      <c r="A5733" s="17" t="str">
        <f>"D0274"</f>
        <v>D0274</v>
      </c>
      <c r="B5733" s="5" t="s">
        <v>5740</v>
      </c>
      <c r="C5733" s="17">
        <v>20050401</v>
      </c>
      <c r="D5733" s="17">
        <v>22991231</v>
      </c>
      <c r="E5733" s="25">
        <v>0</v>
      </c>
    </row>
    <row r="5734" spans="1:5" x14ac:dyDescent="0.3">
      <c r="A5734" s="17" t="str">
        <f>"D0277"</f>
        <v>D0277</v>
      </c>
      <c r="B5734" s="5" t="s">
        <v>5741</v>
      </c>
      <c r="C5734" s="17">
        <v>20240101</v>
      </c>
      <c r="D5734" s="17">
        <v>22991231</v>
      </c>
      <c r="E5734" s="25">
        <v>0</v>
      </c>
    </row>
    <row r="5735" spans="1:5" x14ac:dyDescent="0.3">
      <c r="A5735" s="17" t="str">
        <f>"D0330"</f>
        <v>D0330</v>
      </c>
      <c r="B5735" s="5" t="s">
        <v>5742</v>
      </c>
      <c r="C5735" s="17">
        <v>20160205</v>
      </c>
      <c r="D5735" s="17">
        <v>22991231</v>
      </c>
      <c r="E5735" s="25">
        <v>0</v>
      </c>
    </row>
    <row r="5736" spans="1:5" ht="26" x14ac:dyDescent="0.3">
      <c r="A5736" s="17" t="str">
        <f>"D0340"</f>
        <v>D0340</v>
      </c>
      <c r="B5736" s="5" t="s">
        <v>5743</v>
      </c>
      <c r="C5736" s="17">
        <v>20050401</v>
      </c>
      <c r="D5736" s="17">
        <v>22991231</v>
      </c>
      <c r="E5736" s="25">
        <v>0</v>
      </c>
    </row>
    <row r="5737" spans="1:5" ht="26" x14ac:dyDescent="0.3">
      <c r="A5737" s="17" t="str">
        <f>"D0350"</f>
        <v>D0350</v>
      </c>
      <c r="B5737" s="5" t="s">
        <v>5744</v>
      </c>
      <c r="C5737" s="17">
        <v>20240101</v>
      </c>
      <c r="D5737" s="17">
        <v>22991231</v>
      </c>
      <c r="E5737" s="25">
        <v>0</v>
      </c>
    </row>
    <row r="5738" spans="1:5" ht="39" x14ac:dyDescent="0.3">
      <c r="A5738" s="17" t="str">
        <f>"D0367"</f>
        <v>D0367</v>
      </c>
      <c r="B5738" s="5" t="s">
        <v>5745</v>
      </c>
      <c r="C5738" s="17">
        <v>20240101</v>
      </c>
      <c r="D5738" s="17">
        <v>22991231</v>
      </c>
      <c r="E5738" s="25">
        <v>0</v>
      </c>
    </row>
    <row r="5739" spans="1:5" ht="26" x14ac:dyDescent="0.3">
      <c r="A5739" s="17" t="str">
        <f>"D0383"</f>
        <v>D0383</v>
      </c>
      <c r="B5739" s="5" t="s">
        <v>5746</v>
      </c>
      <c r="C5739" s="17">
        <v>20240101</v>
      </c>
      <c r="D5739" s="17">
        <v>22991231</v>
      </c>
      <c r="E5739" s="25">
        <v>0</v>
      </c>
    </row>
    <row r="5740" spans="1:5" ht="26" x14ac:dyDescent="0.3">
      <c r="A5740" s="17" t="str">
        <f>"D0393"</f>
        <v>D0393</v>
      </c>
      <c r="B5740" s="5" t="s">
        <v>5747</v>
      </c>
      <c r="C5740" s="17">
        <v>20240101</v>
      </c>
      <c r="D5740" s="17">
        <v>22991231</v>
      </c>
      <c r="E5740" s="25">
        <v>0</v>
      </c>
    </row>
    <row r="5741" spans="1:5" x14ac:dyDescent="0.3">
      <c r="A5741" s="17" t="str">
        <f>"D1110"</f>
        <v>D1110</v>
      </c>
      <c r="B5741" s="5" t="s">
        <v>5748</v>
      </c>
      <c r="C5741" s="17">
        <v>20050401</v>
      </c>
      <c r="D5741" s="17">
        <v>22991231</v>
      </c>
      <c r="E5741" s="25">
        <v>0</v>
      </c>
    </row>
    <row r="5742" spans="1:5" x14ac:dyDescent="0.3">
      <c r="A5742" s="17" t="str">
        <f>"D1120"</f>
        <v>D1120</v>
      </c>
      <c r="B5742" s="5" t="s">
        <v>5749</v>
      </c>
      <c r="C5742" s="17">
        <v>20070101</v>
      </c>
      <c r="D5742" s="17">
        <v>22991231</v>
      </c>
      <c r="E5742" s="21" t="s">
        <v>7128</v>
      </c>
    </row>
    <row r="5743" spans="1:5" x14ac:dyDescent="0.3">
      <c r="A5743" s="17" t="str">
        <f>"D1351"</f>
        <v>D1351</v>
      </c>
      <c r="B5743" s="5" t="s">
        <v>5750</v>
      </c>
      <c r="C5743" s="17">
        <v>20050401</v>
      </c>
      <c r="D5743" s="17">
        <v>22991231</v>
      </c>
      <c r="E5743" s="21" t="s">
        <v>7128</v>
      </c>
    </row>
    <row r="5744" spans="1:5" ht="26" x14ac:dyDescent="0.3">
      <c r="A5744" s="17" t="str">
        <f>"D1354"</f>
        <v>D1354</v>
      </c>
      <c r="B5744" s="5" t="s">
        <v>5751</v>
      </c>
      <c r="C5744" s="17">
        <v>20240101</v>
      </c>
      <c r="D5744" s="17">
        <v>22991231</v>
      </c>
      <c r="E5744" s="25">
        <v>0</v>
      </c>
    </row>
    <row r="5745" spans="1:6" ht="26" x14ac:dyDescent="0.3">
      <c r="A5745" s="17" t="str">
        <f>"D1510"</f>
        <v>D1510</v>
      </c>
      <c r="B5745" s="5" t="s">
        <v>5752</v>
      </c>
      <c r="C5745" s="17">
        <v>20050401</v>
      </c>
      <c r="D5745" s="17">
        <v>22991231</v>
      </c>
      <c r="E5745" s="21" t="s">
        <v>7128</v>
      </c>
    </row>
    <row r="5746" spans="1:6" ht="26" x14ac:dyDescent="0.3">
      <c r="A5746" s="17" t="str">
        <f>"D1520"</f>
        <v>D1520</v>
      </c>
      <c r="B5746" s="5" t="s">
        <v>5753</v>
      </c>
      <c r="C5746" s="17">
        <v>20050401</v>
      </c>
      <c r="D5746" s="17">
        <v>22991231</v>
      </c>
      <c r="E5746" s="21" t="s">
        <v>7128</v>
      </c>
    </row>
    <row r="5747" spans="1:6" x14ac:dyDescent="0.3">
      <c r="A5747" s="17" t="str">
        <f>"D2140"</f>
        <v>D2140</v>
      </c>
      <c r="B5747" s="5" t="s">
        <v>5754</v>
      </c>
      <c r="C5747" s="17">
        <v>20050401</v>
      </c>
      <c r="D5747" s="17">
        <v>22991231</v>
      </c>
      <c r="E5747" s="25">
        <v>0</v>
      </c>
    </row>
    <row r="5748" spans="1:6" x14ac:dyDescent="0.3">
      <c r="A5748" s="17" t="str">
        <f>"D2150"</f>
        <v>D2150</v>
      </c>
      <c r="B5748" s="5" t="s">
        <v>5755</v>
      </c>
      <c r="C5748" s="17">
        <v>20050401</v>
      </c>
      <c r="D5748" s="17">
        <v>22991231</v>
      </c>
      <c r="E5748" s="25">
        <v>0</v>
      </c>
    </row>
    <row r="5749" spans="1:6" x14ac:dyDescent="0.3">
      <c r="A5749" s="17" t="str">
        <f>"D2160"</f>
        <v>D2160</v>
      </c>
      <c r="B5749" s="5" t="s">
        <v>5756</v>
      </c>
      <c r="C5749" s="17">
        <v>20050401</v>
      </c>
      <c r="D5749" s="17">
        <v>22991231</v>
      </c>
      <c r="E5749" s="25">
        <v>0</v>
      </c>
      <c r="F5749" s="18"/>
    </row>
    <row r="5750" spans="1:6" ht="26" x14ac:dyDescent="0.3">
      <c r="A5750" s="17" t="str">
        <f>"D2161"</f>
        <v>D2161</v>
      </c>
      <c r="B5750" s="5" t="s">
        <v>5757</v>
      </c>
      <c r="C5750" s="17">
        <v>20050401</v>
      </c>
      <c r="D5750" s="17">
        <v>22991231</v>
      </c>
      <c r="E5750" s="25">
        <v>0</v>
      </c>
    </row>
    <row r="5751" spans="1:6" x14ac:dyDescent="0.3">
      <c r="A5751" s="17" t="str">
        <f>"D2330"</f>
        <v>D2330</v>
      </c>
      <c r="B5751" s="5" t="s">
        <v>5758</v>
      </c>
      <c r="C5751" s="17">
        <v>20050401</v>
      </c>
      <c r="D5751" s="17">
        <v>22991231</v>
      </c>
      <c r="E5751" s="25">
        <v>0</v>
      </c>
    </row>
    <row r="5752" spans="1:6" x14ac:dyDescent="0.3">
      <c r="A5752" s="17" t="str">
        <f>"D2331"</f>
        <v>D2331</v>
      </c>
      <c r="B5752" s="5" t="s">
        <v>5759</v>
      </c>
      <c r="C5752" s="17">
        <v>20050401</v>
      </c>
      <c r="D5752" s="17">
        <v>22991231</v>
      </c>
      <c r="E5752" s="25">
        <v>0</v>
      </c>
    </row>
    <row r="5753" spans="1:6" x14ac:dyDescent="0.3">
      <c r="A5753" s="17" t="str">
        <f>"D2332"</f>
        <v>D2332</v>
      </c>
      <c r="B5753" s="5" t="s">
        <v>5760</v>
      </c>
      <c r="C5753" s="17">
        <v>20050401</v>
      </c>
      <c r="D5753" s="17">
        <v>22991231</v>
      </c>
      <c r="E5753" s="25">
        <v>0</v>
      </c>
    </row>
    <row r="5754" spans="1:6" ht="26" x14ac:dyDescent="0.3">
      <c r="A5754" s="17" t="str">
        <f>"D2335"</f>
        <v>D2335</v>
      </c>
      <c r="B5754" s="5" t="s">
        <v>5761</v>
      </c>
      <c r="C5754" s="17">
        <v>20050401</v>
      </c>
      <c r="D5754" s="17">
        <v>22991231</v>
      </c>
      <c r="E5754" s="25">
        <v>0</v>
      </c>
    </row>
    <row r="5755" spans="1:6" x14ac:dyDescent="0.3">
      <c r="A5755" s="17" t="str">
        <f>"D2390"</f>
        <v>D2390</v>
      </c>
      <c r="B5755" s="5" t="s">
        <v>5762</v>
      </c>
      <c r="C5755" s="17">
        <v>20160205</v>
      </c>
      <c r="D5755" s="17">
        <v>22991231</v>
      </c>
      <c r="E5755" s="25">
        <v>0</v>
      </c>
    </row>
    <row r="5756" spans="1:6" x14ac:dyDescent="0.3">
      <c r="A5756" s="17" t="str">
        <f>"D2391"</f>
        <v>D2391</v>
      </c>
      <c r="B5756" s="5" t="s">
        <v>5763</v>
      </c>
      <c r="C5756" s="17">
        <v>20050401</v>
      </c>
      <c r="D5756" s="17">
        <v>22991231</v>
      </c>
      <c r="E5756" s="25">
        <v>0</v>
      </c>
    </row>
    <row r="5757" spans="1:6" x14ac:dyDescent="0.3">
      <c r="A5757" s="17" t="str">
        <f>"D2392"</f>
        <v>D2392</v>
      </c>
      <c r="B5757" s="5" t="s">
        <v>5764</v>
      </c>
      <c r="C5757" s="17">
        <v>20050401</v>
      </c>
      <c r="D5757" s="17">
        <v>22991231</v>
      </c>
      <c r="E5757" s="25">
        <v>0</v>
      </c>
    </row>
    <row r="5758" spans="1:6" ht="26" x14ac:dyDescent="0.3">
      <c r="A5758" s="17" t="str">
        <f>"D2393"</f>
        <v>D2393</v>
      </c>
      <c r="B5758" s="5" t="s">
        <v>5765</v>
      </c>
      <c r="C5758" s="17">
        <v>20050401</v>
      </c>
      <c r="D5758" s="17">
        <v>22991231</v>
      </c>
      <c r="E5758" s="25">
        <v>0</v>
      </c>
    </row>
    <row r="5759" spans="1:6" ht="26" x14ac:dyDescent="0.3">
      <c r="A5759" s="17" t="str">
        <f>"D2394"</f>
        <v>D2394</v>
      </c>
      <c r="B5759" s="5" t="s">
        <v>5766</v>
      </c>
      <c r="C5759" s="17">
        <v>20050401</v>
      </c>
      <c r="D5759" s="17">
        <v>22991231</v>
      </c>
      <c r="E5759" s="25">
        <v>0</v>
      </c>
    </row>
    <row r="5760" spans="1:6" x14ac:dyDescent="0.3">
      <c r="A5760" s="17" t="str">
        <f>"D2740"</f>
        <v>D2740</v>
      </c>
      <c r="B5760" s="5" t="s">
        <v>5767</v>
      </c>
      <c r="C5760" s="17">
        <v>20240101</v>
      </c>
      <c r="D5760" s="17">
        <v>22991231</v>
      </c>
      <c r="E5760" s="25">
        <v>0</v>
      </c>
    </row>
    <row r="5761" spans="1:5" x14ac:dyDescent="0.3">
      <c r="A5761" s="17" t="str">
        <f>"D2750"</f>
        <v>D2750</v>
      </c>
      <c r="B5761" s="5" t="s">
        <v>5768</v>
      </c>
      <c r="C5761" s="17">
        <v>20240101</v>
      </c>
      <c r="D5761" s="17">
        <v>22991231</v>
      </c>
      <c r="E5761" s="25">
        <v>0</v>
      </c>
    </row>
    <row r="5762" spans="1:5" ht="26" x14ac:dyDescent="0.3">
      <c r="A5762" s="17" t="str">
        <f>"D2751"</f>
        <v>D2751</v>
      </c>
      <c r="B5762" s="5" t="s">
        <v>5769</v>
      </c>
      <c r="C5762" s="17">
        <v>20240101</v>
      </c>
      <c r="D5762" s="17">
        <v>22991231</v>
      </c>
      <c r="E5762" s="25">
        <v>0</v>
      </c>
    </row>
    <row r="5763" spans="1:5" x14ac:dyDescent="0.3">
      <c r="A5763" s="17" t="str">
        <f>"D2752"</f>
        <v>D2752</v>
      </c>
      <c r="B5763" s="5" t="s">
        <v>5770</v>
      </c>
      <c r="C5763" s="17">
        <v>20240101</v>
      </c>
      <c r="D5763" s="17">
        <v>22991231</v>
      </c>
      <c r="E5763" s="25">
        <v>0</v>
      </c>
    </row>
    <row r="5764" spans="1:5" x14ac:dyDescent="0.3">
      <c r="A5764" s="17" t="str">
        <f>"D2791"</f>
        <v>D2791</v>
      </c>
      <c r="B5764" s="5" t="s">
        <v>5771</v>
      </c>
      <c r="C5764" s="17">
        <v>20240101</v>
      </c>
      <c r="D5764" s="17">
        <v>22991231</v>
      </c>
      <c r="E5764" s="25">
        <v>0</v>
      </c>
    </row>
    <row r="5765" spans="1:5" ht="26" x14ac:dyDescent="0.3">
      <c r="A5765" s="17" t="str">
        <f>"D2799"</f>
        <v>D2799</v>
      </c>
      <c r="B5765" s="5" t="s">
        <v>5772</v>
      </c>
      <c r="C5765" s="17">
        <v>20240101</v>
      </c>
      <c r="D5765" s="17">
        <v>22991231</v>
      </c>
      <c r="E5765" s="25">
        <v>0</v>
      </c>
    </row>
    <row r="5766" spans="1:5" x14ac:dyDescent="0.3">
      <c r="A5766" s="17" t="str">
        <f>"D2920"</f>
        <v>D2920</v>
      </c>
      <c r="B5766" s="5" t="s">
        <v>5773</v>
      </c>
      <c r="C5766" s="17">
        <v>20240101</v>
      </c>
      <c r="D5766" s="17">
        <v>22991231</v>
      </c>
      <c r="E5766" s="25">
        <v>0</v>
      </c>
    </row>
    <row r="5767" spans="1:5" ht="26" x14ac:dyDescent="0.3">
      <c r="A5767" s="17" t="str">
        <f>"D2929"</f>
        <v>D2929</v>
      </c>
      <c r="B5767" s="5" t="s">
        <v>5774</v>
      </c>
      <c r="C5767" s="17">
        <v>20240101</v>
      </c>
      <c r="D5767" s="17">
        <v>22991231</v>
      </c>
      <c r="E5767" s="25">
        <v>0</v>
      </c>
    </row>
    <row r="5768" spans="1:5" ht="26" x14ac:dyDescent="0.3">
      <c r="A5768" s="17" t="str">
        <f>"D2930"</f>
        <v>D2930</v>
      </c>
      <c r="B5768" s="5" t="s">
        <v>5775</v>
      </c>
      <c r="C5768" s="17">
        <v>20050401</v>
      </c>
      <c r="D5768" s="17">
        <v>22991231</v>
      </c>
      <c r="E5768" s="25">
        <v>0</v>
      </c>
    </row>
    <row r="5769" spans="1:5" ht="26" x14ac:dyDescent="0.3">
      <c r="A5769" s="17" t="str">
        <f>"D2931"</f>
        <v>D2931</v>
      </c>
      <c r="B5769" s="5" t="s">
        <v>5776</v>
      </c>
      <c r="C5769" s="17">
        <v>20050401</v>
      </c>
      <c r="D5769" s="17">
        <v>22991231</v>
      </c>
      <c r="E5769" s="25">
        <v>0</v>
      </c>
    </row>
    <row r="5770" spans="1:5" x14ac:dyDescent="0.3">
      <c r="A5770" s="17" t="str">
        <f>"D2932"</f>
        <v>D2932</v>
      </c>
      <c r="B5770" s="5" t="s">
        <v>5777</v>
      </c>
      <c r="C5770" s="17">
        <v>20050401</v>
      </c>
      <c r="D5770" s="17">
        <v>22991231</v>
      </c>
      <c r="E5770" s="25">
        <v>0</v>
      </c>
    </row>
    <row r="5771" spans="1:5" ht="26" x14ac:dyDescent="0.3">
      <c r="A5771" s="17" t="str">
        <f>"D2933"</f>
        <v>D2933</v>
      </c>
      <c r="B5771" s="5" t="s">
        <v>5778</v>
      </c>
      <c r="C5771" s="17">
        <v>20240101</v>
      </c>
      <c r="D5771" s="17">
        <v>22991231</v>
      </c>
      <c r="E5771" s="25">
        <v>0</v>
      </c>
    </row>
    <row r="5772" spans="1:5" ht="26" x14ac:dyDescent="0.3">
      <c r="A5772" s="17" t="str">
        <f>"D2934"</f>
        <v>D2934</v>
      </c>
      <c r="B5772" s="5" t="s">
        <v>5779</v>
      </c>
      <c r="C5772" s="17">
        <v>20090401</v>
      </c>
      <c r="D5772" s="17">
        <v>22991231</v>
      </c>
      <c r="E5772" s="25">
        <v>0</v>
      </c>
    </row>
    <row r="5773" spans="1:5" x14ac:dyDescent="0.3">
      <c r="A5773" s="17" t="str">
        <f>"D2940"</f>
        <v>D2940</v>
      </c>
      <c r="B5773" s="5" t="s">
        <v>5780</v>
      </c>
      <c r="C5773" s="17">
        <v>20240101</v>
      </c>
      <c r="D5773" s="17">
        <v>22991231</v>
      </c>
      <c r="E5773" s="25">
        <v>0</v>
      </c>
    </row>
    <row r="5774" spans="1:5" ht="26" x14ac:dyDescent="0.3">
      <c r="A5774" s="17" t="str">
        <f>"D2941"</f>
        <v>D2941</v>
      </c>
      <c r="B5774" s="5" t="s">
        <v>5781</v>
      </c>
      <c r="C5774" s="17">
        <v>20240101</v>
      </c>
      <c r="D5774" s="17">
        <v>22991231</v>
      </c>
      <c r="E5774" s="25">
        <v>0</v>
      </c>
    </row>
    <row r="5775" spans="1:5" x14ac:dyDescent="0.3">
      <c r="A5775" s="17" t="str">
        <f>"D2950"</f>
        <v>D2950</v>
      </c>
      <c r="B5775" s="5" t="s">
        <v>5782</v>
      </c>
      <c r="C5775" s="17">
        <v>20240101</v>
      </c>
      <c r="D5775" s="17">
        <v>22991231</v>
      </c>
      <c r="E5775" s="25">
        <v>0</v>
      </c>
    </row>
    <row r="5776" spans="1:5" x14ac:dyDescent="0.3">
      <c r="A5776" s="17" t="str">
        <f>"D2951"</f>
        <v>D2951</v>
      </c>
      <c r="B5776" s="5" t="s">
        <v>5783</v>
      </c>
      <c r="C5776" s="17">
        <v>20050401</v>
      </c>
      <c r="D5776" s="17">
        <v>22991231</v>
      </c>
      <c r="E5776" s="25">
        <v>0</v>
      </c>
    </row>
    <row r="5777" spans="1:5" ht="26" x14ac:dyDescent="0.3">
      <c r="A5777" s="17" t="str">
        <f>"D2952"</f>
        <v>D2952</v>
      </c>
      <c r="B5777" s="5" t="s">
        <v>5784</v>
      </c>
      <c r="C5777" s="17">
        <v>20240101</v>
      </c>
      <c r="D5777" s="17">
        <v>22991231</v>
      </c>
      <c r="E5777" s="25">
        <v>0</v>
      </c>
    </row>
    <row r="5778" spans="1:5" x14ac:dyDescent="0.3">
      <c r="A5778" s="17" t="str">
        <f>"D2954"</f>
        <v>D2954</v>
      </c>
      <c r="B5778" s="5" t="s">
        <v>5785</v>
      </c>
      <c r="C5778" s="17">
        <v>20240101</v>
      </c>
      <c r="D5778" s="17">
        <v>22991231</v>
      </c>
      <c r="E5778" s="25">
        <v>0</v>
      </c>
    </row>
    <row r="5779" spans="1:5" x14ac:dyDescent="0.3">
      <c r="A5779" s="17" t="str">
        <f>"D3110"</f>
        <v>D3110</v>
      </c>
      <c r="B5779" s="5" t="s">
        <v>5786</v>
      </c>
      <c r="C5779" s="17">
        <v>20050401</v>
      </c>
      <c r="D5779" s="17">
        <v>22991231</v>
      </c>
      <c r="E5779" s="25">
        <v>0</v>
      </c>
    </row>
    <row r="5780" spans="1:5" x14ac:dyDescent="0.3">
      <c r="A5780" s="17" t="str">
        <f>"D3120"</f>
        <v>D3120</v>
      </c>
      <c r="B5780" s="5" t="s">
        <v>5787</v>
      </c>
      <c r="C5780" s="17">
        <v>20240101</v>
      </c>
      <c r="D5780" s="17">
        <v>22991231</v>
      </c>
      <c r="E5780" s="25">
        <v>0</v>
      </c>
    </row>
    <row r="5781" spans="1:5" ht="52" x14ac:dyDescent="0.3">
      <c r="A5781" s="17" t="str">
        <f>"D3220"</f>
        <v>D3220</v>
      </c>
      <c r="B5781" s="5" t="s">
        <v>5788</v>
      </c>
      <c r="C5781" s="17">
        <v>20050401</v>
      </c>
      <c r="D5781" s="17">
        <v>22991231</v>
      </c>
      <c r="E5781" s="25">
        <v>0</v>
      </c>
    </row>
    <row r="5782" spans="1:5" ht="26" x14ac:dyDescent="0.3">
      <c r="A5782" s="17" t="str">
        <f>"D3221"</f>
        <v>D3221</v>
      </c>
      <c r="B5782" s="5" t="s">
        <v>5789</v>
      </c>
      <c r="C5782" s="17">
        <v>20240101</v>
      </c>
      <c r="D5782" s="17">
        <v>22991231</v>
      </c>
      <c r="E5782" s="25">
        <v>0</v>
      </c>
    </row>
    <row r="5783" spans="1:5" ht="26" x14ac:dyDescent="0.3">
      <c r="A5783" s="17" t="str">
        <f>"D3222"</f>
        <v>D3222</v>
      </c>
      <c r="B5783" s="5" t="s">
        <v>5790</v>
      </c>
      <c r="C5783" s="17">
        <v>20240101</v>
      </c>
      <c r="D5783" s="17">
        <v>22991231</v>
      </c>
      <c r="E5783" s="25">
        <v>0</v>
      </c>
    </row>
    <row r="5784" spans="1:5" ht="26" x14ac:dyDescent="0.3">
      <c r="A5784" s="17" t="str">
        <f>"D3230"</f>
        <v>D3230</v>
      </c>
      <c r="B5784" s="5" t="s">
        <v>5791</v>
      </c>
      <c r="C5784" s="17">
        <v>20240101</v>
      </c>
      <c r="D5784" s="17">
        <v>22991231</v>
      </c>
      <c r="E5784" s="25">
        <v>0</v>
      </c>
    </row>
    <row r="5785" spans="1:5" ht="26" x14ac:dyDescent="0.3">
      <c r="A5785" s="17" t="str">
        <f>"D3240"</f>
        <v>D3240</v>
      </c>
      <c r="B5785" s="5" t="s">
        <v>5792</v>
      </c>
      <c r="C5785" s="17">
        <v>20240101</v>
      </c>
      <c r="D5785" s="17">
        <v>22991231</v>
      </c>
      <c r="E5785" s="25">
        <v>0</v>
      </c>
    </row>
    <row r="5786" spans="1:5" ht="26" x14ac:dyDescent="0.3">
      <c r="A5786" s="17" t="str">
        <f>"D3310"</f>
        <v>D3310</v>
      </c>
      <c r="B5786" s="5" t="s">
        <v>5793</v>
      </c>
      <c r="C5786" s="17">
        <v>20050401</v>
      </c>
      <c r="D5786" s="17">
        <v>22991231</v>
      </c>
      <c r="E5786" s="25">
        <v>0</v>
      </c>
    </row>
    <row r="5787" spans="1:5" ht="26" x14ac:dyDescent="0.3">
      <c r="A5787" s="17" t="str">
        <f>"D3320"</f>
        <v>D3320</v>
      </c>
      <c r="B5787" s="5" t="s">
        <v>5794</v>
      </c>
      <c r="C5787" s="17">
        <v>20050401</v>
      </c>
      <c r="D5787" s="17">
        <v>22991231</v>
      </c>
      <c r="E5787" s="25">
        <v>0</v>
      </c>
    </row>
    <row r="5788" spans="1:5" ht="26" x14ac:dyDescent="0.3">
      <c r="A5788" s="17" t="str">
        <f>"D3330"</f>
        <v>D3330</v>
      </c>
      <c r="B5788" s="5" t="s">
        <v>5795</v>
      </c>
      <c r="C5788" s="17">
        <v>20050401</v>
      </c>
      <c r="D5788" s="17">
        <v>22991231</v>
      </c>
      <c r="E5788" s="25">
        <v>0</v>
      </c>
    </row>
    <row r="5789" spans="1:5" x14ac:dyDescent="0.3">
      <c r="A5789" s="17" t="str">
        <f>"D3410"</f>
        <v>D3410</v>
      </c>
      <c r="B5789" s="5" t="s">
        <v>5796</v>
      </c>
      <c r="C5789" s="17">
        <v>20050401</v>
      </c>
      <c r="D5789" s="17">
        <v>22991231</v>
      </c>
      <c r="E5789" s="21" t="s">
        <v>7128</v>
      </c>
    </row>
    <row r="5790" spans="1:5" x14ac:dyDescent="0.3">
      <c r="A5790" s="17" t="str">
        <f>"D3421"</f>
        <v>D3421</v>
      </c>
      <c r="B5790" s="5" t="s">
        <v>5797</v>
      </c>
      <c r="C5790" s="17">
        <v>20050401</v>
      </c>
      <c r="D5790" s="17">
        <v>22991231</v>
      </c>
      <c r="E5790" s="21" t="s">
        <v>7128</v>
      </c>
    </row>
    <row r="5791" spans="1:5" x14ac:dyDescent="0.3">
      <c r="A5791" s="17" t="str">
        <f>"D3425"</f>
        <v>D3425</v>
      </c>
      <c r="B5791" s="5" t="s">
        <v>5798</v>
      </c>
      <c r="C5791" s="17">
        <v>20050401</v>
      </c>
      <c r="D5791" s="17">
        <v>22991231</v>
      </c>
      <c r="E5791" s="21" t="s">
        <v>7128</v>
      </c>
    </row>
    <row r="5792" spans="1:5" x14ac:dyDescent="0.3">
      <c r="A5792" s="17" t="str">
        <f>"D3426"</f>
        <v>D3426</v>
      </c>
      <c r="B5792" s="5" t="s">
        <v>5799</v>
      </c>
      <c r="C5792" s="17">
        <v>20050401</v>
      </c>
      <c r="D5792" s="17">
        <v>22991231</v>
      </c>
      <c r="E5792" s="21" t="s">
        <v>7128</v>
      </c>
    </row>
    <row r="5793" spans="1:5" x14ac:dyDescent="0.3">
      <c r="A5793" s="17" t="str">
        <f>"D3460"</f>
        <v>D3460</v>
      </c>
      <c r="B5793" s="5" t="s">
        <v>5800</v>
      </c>
      <c r="C5793" s="17">
        <v>20240101</v>
      </c>
      <c r="D5793" s="17">
        <v>22991231</v>
      </c>
      <c r="E5793" s="25">
        <v>0</v>
      </c>
    </row>
    <row r="5794" spans="1:5" ht="26" x14ac:dyDescent="0.3">
      <c r="A5794" s="17" t="str">
        <f>"D3910"</f>
        <v>D3910</v>
      </c>
      <c r="B5794" s="5" t="s">
        <v>5801</v>
      </c>
      <c r="C5794" s="17">
        <v>20240101</v>
      </c>
      <c r="D5794" s="17">
        <v>22991231</v>
      </c>
      <c r="E5794" s="25">
        <v>0</v>
      </c>
    </row>
    <row r="5795" spans="1:5" ht="39" x14ac:dyDescent="0.3">
      <c r="A5795" s="17" t="str">
        <f>"D4210"</f>
        <v>D4210</v>
      </c>
      <c r="B5795" s="5" t="s">
        <v>5802</v>
      </c>
      <c r="C5795" s="17">
        <v>20050401</v>
      </c>
      <c r="D5795" s="17">
        <v>22991231</v>
      </c>
      <c r="E5795" s="25">
        <v>1259.74</v>
      </c>
    </row>
    <row r="5796" spans="1:5" ht="39" x14ac:dyDescent="0.3">
      <c r="A5796" s="17" t="str">
        <f>"D4211"</f>
        <v>D4211</v>
      </c>
      <c r="B5796" s="5" t="s">
        <v>5803</v>
      </c>
      <c r="C5796" s="17">
        <v>20050401</v>
      </c>
      <c r="D5796" s="17">
        <v>22991231</v>
      </c>
      <c r="E5796" s="25">
        <v>1259.74</v>
      </c>
    </row>
    <row r="5797" spans="1:5" ht="26" x14ac:dyDescent="0.3">
      <c r="A5797" s="17" t="str">
        <f>"D4212"</f>
        <v>D4212</v>
      </c>
      <c r="B5797" s="5" t="s">
        <v>5804</v>
      </c>
      <c r="C5797" s="17">
        <v>20240101</v>
      </c>
      <c r="D5797" s="17">
        <v>22991231</v>
      </c>
      <c r="E5797" s="25">
        <v>1259.74</v>
      </c>
    </row>
    <row r="5798" spans="1:5" ht="52" x14ac:dyDescent="0.3">
      <c r="A5798" s="17" t="str">
        <f>"D4260"</f>
        <v>D4260</v>
      </c>
      <c r="B5798" s="5" t="s">
        <v>5805</v>
      </c>
      <c r="C5798" s="17">
        <v>20240101</v>
      </c>
      <c r="D5798" s="17">
        <v>22991231</v>
      </c>
      <c r="E5798" s="25">
        <v>2637</v>
      </c>
    </row>
    <row r="5799" spans="1:5" ht="26" x14ac:dyDescent="0.3">
      <c r="A5799" s="17" t="str">
        <f>"D4263"</f>
        <v>D4263</v>
      </c>
      <c r="B5799" s="5" t="s">
        <v>5806</v>
      </c>
      <c r="C5799" s="17">
        <v>20240101</v>
      </c>
      <c r="D5799" s="17">
        <v>22991231</v>
      </c>
      <c r="E5799" s="25">
        <v>436.25</v>
      </c>
    </row>
    <row r="5800" spans="1:5" x14ac:dyDescent="0.3">
      <c r="A5800" s="17" t="str">
        <f>"D4270"</f>
        <v>D4270</v>
      </c>
      <c r="B5800" s="5" t="s">
        <v>5807</v>
      </c>
      <c r="C5800" s="17">
        <v>20240101</v>
      </c>
      <c r="D5800" s="17">
        <v>22991231</v>
      </c>
      <c r="E5800" s="25">
        <v>636.91999999999996</v>
      </c>
    </row>
    <row r="5801" spans="1:5" ht="52" x14ac:dyDescent="0.3">
      <c r="A5801" s="17" t="str">
        <f>"D4273"</f>
        <v>D4273</v>
      </c>
      <c r="B5801" s="5" t="s">
        <v>5808</v>
      </c>
      <c r="C5801" s="17">
        <v>20240101</v>
      </c>
      <c r="D5801" s="17">
        <v>22991231</v>
      </c>
      <c r="E5801" s="25">
        <v>636.91999999999996</v>
      </c>
    </row>
    <row r="5802" spans="1:5" ht="26" x14ac:dyDescent="0.3">
      <c r="A5802" s="17" t="str">
        <f>"D4341"</f>
        <v>D4341</v>
      </c>
      <c r="B5802" s="5" t="s">
        <v>5809</v>
      </c>
      <c r="C5802" s="17">
        <v>20050401</v>
      </c>
      <c r="D5802" s="17">
        <v>22991231</v>
      </c>
      <c r="E5802" s="25">
        <v>0</v>
      </c>
    </row>
    <row r="5803" spans="1:5" ht="26" x14ac:dyDescent="0.3">
      <c r="A5803" s="17" t="str">
        <f>"D4342"</f>
        <v>D4342</v>
      </c>
      <c r="B5803" s="5" t="s">
        <v>5810</v>
      </c>
      <c r="C5803" s="17">
        <v>20240101</v>
      </c>
      <c r="D5803" s="17">
        <v>22991231</v>
      </c>
      <c r="E5803" s="25">
        <v>0</v>
      </c>
    </row>
    <row r="5804" spans="1:5" ht="39" x14ac:dyDescent="0.3">
      <c r="A5804" s="17" t="str">
        <f>"D4346"</f>
        <v>D4346</v>
      </c>
      <c r="B5804" s="5" t="s">
        <v>5811</v>
      </c>
      <c r="C5804" s="17">
        <v>20240101</v>
      </c>
      <c r="D5804" s="17">
        <v>22991231</v>
      </c>
      <c r="E5804" s="25">
        <v>0</v>
      </c>
    </row>
    <row r="5805" spans="1:5" ht="39" x14ac:dyDescent="0.3">
      <c r="A5805" s="17" t="str">
        <f>"D4355"</f>
        <v>D4355</v>
      </c>
      <c r="B5805" s="5" t="s">
        <v>5812</v>
      </c>
      <c r="C5805" s="17">
        <v>20240101</v>
      </c>
      <c r="D5805" s="17">
        <v>22991231</v>
      </c>
      <c r="E5805" s="25">
        <v>0</v>
      </c>
    </row>
    <row r="5806" spans="1:5" ht="39" x14ac:dyDescent="0.3">
      <c r="A5806" s="17" t="str">
        <f>"D4381"</f>
        <v>D4381</v>
      </c>
      <c r="B5806" s="5" t="s">
        <v>5813</v>
      </c>
      <c r="C5806" s="17">
        <v>20240101</v>
      </c>
      <c r="D5806" s="17">
        <v>22991231</v>
      </c>
      <c r="E5806" s="25">
        <v>0</v>
      </c>
    </row>
    <row r="5807" spans="1:5" x14ac:dyDescent="0.3">
      <c r="A5807" s="17" t="str">
        <f>"D4910"</f>
        <v>D4910</v>
      </c>
      <c r="B5807" s="5" t="s">
        <v>5814</v>
      </c>
      <c r="C5807" s="17">
        <v>20240101</v>
      </c>
      <c r="D5807" s="17">
        <v>22991231</v>
      </c>
      <c r="E5807" s="25">
        <v>0</v>
      </c>
    </row>
    <row r="5808" spans="1:5" ht="26" x14ac:dyDescent="0.3">
      <c r="A5808" s="17" t="str">
        <f>"D5520"</f>
        <v>D5520</v>
      </c>
      <c r="B5808" s="5" t="s">
        <v>5815</v>
      </c>
      <c r="C5808" s="17">
        <v>20050401</v>
      </c>
      <c r="D5808" s="17">
        <v>22991231</v>
      </c>
      <c r="E5808" s="21" t="s">
        <v>7128</v>
      </c>
    </row>
    <row r="5809" spans="1:5" x14ac:dyDescent="0.3">
      <c r="A5809" s="17" t="str">
        <f>"D5640"</f>
        <v>D5640</v>
      </c>
      <c r="B5809" s="5" t="s">
        <v>5816</v>
      </c>
      <c r="C5809" s="17">
        <v>20050401</v>
      </c>
      <c r="D5809" s="17">
        <v>22991231</v>
      </c>
      <c r="E5809" s="21" t="s">
        <v>7128</v>
      </c>
    </row>
    <row r="5810" spans="1:5" x14ac:dyDescent="0.3">
      <c r="A5810" s="17" t="str">
        <f>"D5750"</f>
        <v>D5750</v>
      </c>
      <c r="B5810" s="5" t="s">
        <v>5817</v>
      </c>
      <c r="C5810" s="17">
        <v>20050401</v>
      </c>
      <c r="D5810" s="17">
        <v>22991231</v>
      </c>
      <c r="E5810" s="21" t="s">
        <v>7128</v>
      </c>
    </row>
    <row r="5811" spans="1:5" x14ac:dyDescent="0.3">
      <c r="A5811" s="17" t="str">
        <f>"D5751"</f>
        <v>D5751</v>
      </c>
      <c r="B5811" s="5" t="s">
        <v>5818</v>
      </c>
      <c r="C5811" s="17">
        <v>20050401</v>
      </c>
      <c r="D5811" s="17">
        <v>22991231</v>
      </c>
      <c r="E5811" s="21" t="s">
        <v>7128</v>
      </c>
    </row>
    <row r="5812" spans="1:5" ht="39" x14ac:dyDescent="0.3">
      <c r="A5812" s="17" t="str">
        <f>"D5820"</f>
        <v>D5820</v>
      </c>
      <c r="B5812" s="5" t="s">
        <v>5819</v>
      </c>
      <c r="C5812" s="17">
        <v>20050401</v>
      </c>
      <c r="D5812" s="17">
        <v>22991231</v>
      </c>
      <c r="E5812" s="21" t="s">
        <v>7128</v>
      </c>
    </row>
    <row r="5813" spans="1:5" ht="39" x14ac:dyDescent="0.3">
      <c r="A5813" s="17" t="str">
        <f>"D5821"</f>
        <v>D5821</v>
      </c>
      <c r="B5813" s="5" t="s">
        <v>5820</v>
      </c>
      <c r="C5813" s="17">
        <v>20050401</v>
      </c>
      <c r="D5813" s="17">
        <v>22991231</v>
      </c>
      <c r="E5813" s="21" t="s">
        <v>7128</v>
      </c>
    </row>
    <row r="5814" spans="1:5" x14ac:dyDescent="0.3">
      <c r="A5814" s="17" t="str">
        <f>"D5913"</f>
        <v>D5913</v>
      </c>
      <c r="B5814" s="5" t="s">
        <v>5821</v>
      </c>
      <c r="C5814" s="17">
        <v>20050401</v>
      </c>
      <c r="D5814" s="17">
        <v>22991231</v>
      </c>
      <c r="E5814" s="21" t="s">
        <v>7128</v>
      </c>
    </row>
    <row r="5815" spans="1:5" x14ac:dyDescent="0.3">
      <c r="A5815" s="17" t="str">
        <f>"D5914"</f>
        <v>D5914</v>
      </c>
      <c r="B5815" s="5" t="s">
        <v>5822</v>
      </c>
      <c r="C5815" s="17">
        <v>20050401</v>
      </c>
      <c r="D5815" s="17">
        <v>22991231</v>
      </c>
      <c r="E5815" s="21" t="s">
        <v>7128</v>
      </c>
    </row>
    <row r="5816" spans="1:5" x14ac:dyDescent="0.3">
      <c r="A5816" s="17" t="str">
        <f>"D5919"</f>
        <v>D5919</v>
      </c>
      <c r="B5816" s="5" t="s">
        <v>5823</v>
      </c>
      <c r="C5816" s="17">
        <v>20050401</v>
      </c>
      <c r="D5816" s="17">
        <v>22991231</v>
      </c>
      <c r="E5816" s="21" t="s">
        <v>7128</v>
      </c>
    </row>
    <row r="5817" spans="1:5" x14ac:dyDescent="0.3">
      <c r="A5817" s="17" t="str">
        <f>"D5931"</f>
        <v>D5931</v>
      </c>
      <c r="B5817" s="5" t="s">
        <v>5824</v>
      </c>
      <c r="C5817" s="17">
        <v>20050401</v>
      </c>
      <c r="D5817" s="17">
        <v>22991231</v>
      </c>
      <c r="E5817" s="21" t="s">
        <v>7128</v>
      </c>
    </row>
    <row r="5818" spans="1:5" x14ac:dyDescent="0.3">
      <c r="A5818" s="17" t="str">
        <f>"D5932"</f>
        <v>D5932</v>
      </c>
      <c r="B5818" s="5" t="s">
        <v>5825</v>
      </c>
      <c r="C5818" s="17">
        <v>20050401</v>
      </c>
      <c r="D5818" s="17">
        <v>22991231</v>
      </c>
      <c r="E5818" s="21" t="s">
        <v>7128</v>
      </c>
    </row>
    <row r="5819" spans="1:5" ht="26" x14ac:dyDescent="0.3">
      <c r="A5819" s="17" t="str">
        <f>"D5934"</f>
        <v>D5934</v>
      </c>
      <c r="B5819" s="5" t="s">
        <v>5826</v>
      </c>
      <c r="C5819" s="17">
        <v>20050401</v>
      </c>
      <c r="D5819" s="17">
        <v>22991231</v>
      </c>
      <c r="E5819" s="21" t="s">
        <v>7128</v>
      </c>
    </row>
    <row r="5820" spans="1:5" x14ac:dyDescent="0.3">
      <c r="A5820" s="17" t="str">
        <f>"D5952"</f>
        <v>D5952</v>
      </c>
      <c r="B5820" s="5" t="s">
        <v>5827</v>
      </c>
      <c r="C5820" s="17">
        <v>20050401</v>
      </c>
      <c r="D5820" s="17">
        <v>22991231</v>
      </c>
      <c r="E5820" s="21" t="s">
        <v>7128</v>
      </c>
    </row>
    <row r="5821" spans="1:5" x14ac:dyDescent="0.3">
      <c r="A5821" s="17" t="str">
        <f>"D5953"</f>
        <v>D5953</v>
      </c>
      <c r="B5821" s="5" t="s">
        <v>5828</v>
      </c>
      <c r="C5821" s="17">
        <v>20050401</v>
      </c>
      <c r="D5821" s="17">
        <v>22991231</v>
      </c>
      <c r="E5821" s="21" t="s">
        <v>7128</v>
      </c>
    </row>
    <row r="5822" spans="1:5" x14ac:dyDescent="0.3">
      <c r="A5822" s="17" t="str">
        <f>"D5954"</f>
        <v>D5954</v>
      </c>
      <c r="B5822" s="5" t="s">
        <v>5829</v>
      </c>
      <c r="C5822" s="17">
        <v>20050401</v>
      </c>
      <c r="D5822" s="17">
        <v>22991231</v>
      </c>
      <c r="E5822" s="21" t="s">
        <v>7128</v>
      </c>
    </row>
    <row r="5823" spans="1:5" x14ac:dyDescent="0.3">
      <c r="A5823" s="17" t="str">
        <f>"D5955"</f>
        <v>D5955</v>
      </c>
      <c r="B5823" s="5" t="s">
        <v>5830</v>
      </c>
      <c r="C5823" s="17">
        <v>20050401</v>
      </c>
      <c r="D5823" s="17">
        <v>22991231</v>
      </c>
      <c r="E5823" s="21" t="s">
        <v>7128</v>
      </c>
    </row>
    <row r="5824" spans="1:5" x14ac:dyDescent="0.3">
      <c r="A5824" s="17" t="str">
        <f>"D5988"</f>
        <v>D5988</v>
      </c>
      <c r="B5824" s="5" t="s">
        <v>5831</v>
      </c>
      <c r="C5824" s="17">
        <v>20050401</v>
      </c>
      <c r="D5824" s="17">
        <v>22991231</v>
      </c>
      <c r="E5824" s="21" t="s">
        <v>7128</v>
      </c>
    </row>
    <row r="5825" spans="1:5" x14ac:dyDescent="0.3">
      <c r="A5825" s="17" t="str">
        <f>"D5999"</f>
        <v>D5999</v>
      </c>
      <c r="B5825" s="5" t="s">
        <v>5832</v>
      </c>
      <c r="C5825" s="17">
        <v>20050401</v>
      </c>
      <c r="D5825" s="17">
        <v>22991231</v>
      </c>
      <c r="E5825" s="21" t="s">
        <v>7128</v>
      </c>
    </row>
    <row r="5826" spans="1:5" x14ac:dyDescent="0.3">
      <c r="A5826" s="17" t="str">
        <f>"D7111"</f>
        <v>D7111</v>
      </c>
      <c r="B5826" s="5" t="s">
        <v>5833</v>
      </c>
      <c r="C5826" s="17">
        <v>20031016</v>
      </c>
      <c r="D5826" s="17">
        <v>22991231</v>
      </c>
      <c r="E5826" s="25">
        <v>436.25</v>
      </c>
    </row>
    <row r="5827" spans="1:5" ht="26" x14ac:dyDescent="0.3">
      <c r="A5827" s="17" t="str">
        <f>"D7140"</f>
        <v>D7140</v>
      </c>
      <c r="B5827" s="5" t="s">
        <v>5834</v>
      </c>
      <c r="C5827" s="17">
        <v>20050401</v>
      </c>
      <c r="D5827" s="17">
        <v>22991231</v>
      </c>
      <c r="E5827" s="25">
        <v>436.25</v>
      </c>
    </row>
    <row r="5828" spans="1:5" ht="39" x14ac:dyDescent="0.3">
      <c r="A5828" s="17" t="str">
        <f>"D7210"</f>
        <v>D7210</v>
      </c>
      <c r="B5828" s="5" t="s">
        <v>5835</v>
      </c>
      <c r="C5828" s="17">
        <v>20050401</v>
      </c>
      <c r="D5828" s="17">
        <v>22991231</v>
      </c>
      <c r="E5828" s="25">
        <v>636.91999999999996</v>
      </c>
    </row>
    <row r="5829" spans="1:5" x14ac:dyDescent="0.3">
      <c r="A5829" s="17" t="str">
        <f>"D7220"</f>
        <v>D7220</v>
      </c>
      <c r="B5829" s="5" t="s">
        <v>5836</v>
      </c>
      <c r="C5829" s="17">
        <v>20050401</v>
      </c>
      <c r="D5829" s="17">
        <v>22991231</v>
      </c>
      <c r="E5829" s="25">
        <v>436.25</v>
      </c>
    </row>
    <row r="5830" spans="1:5" x14ac:dyDescent="0.3">
      <c r="A5830" s="17" t="str">
        <f>"D7230"</f>
        <v>D7230</v>
      </c>
      <c r="B5830" s="5" t="s">
        <v>5837</v>
      </c>
      <c r="C5830" s="17">
        <v>20050401</v>
      </c>
      <c r="D5830" s="17">
        <v>22991231</v>
      </c>
      <c r="E5830" s="25">
        <v>436.25</v>
      </c>
    </row>
    <row r="5831" spans="1:5" x14ac:dyDescent="0.3">
      <c r="A5831" s="17" t="str">
        <f>"D7240"</f>
        <v>D7240</v>
      </c>
      <c r="B5831" s="5" t="s">
        <v>5838</v>
      </c>
      <c r="C5831" s="17">
        <v>20050401</v>
      </c>
      <c r="D5831" s="17">
        <v>22991231</v>
      </c>
      <c r="E5831" s="25">
        <v>436.25</v>
      </c>
    </row>
    <row r="5832" spans="1:5" ht="26" x14ac:dyDescent="0.3">
      <c r="A5832" s="17" t="str">
        <f>"D7241"</f>
        <v>D7241</v>
      </c>
      <c r="B5832" s="5" t="s">
        <v>5839</v>
      </c>
      <c r="C5832" s="17">
        <v>20050401</v>
      </c>
      <c r="D5832" s="17">
        <v>22991231</v>
      </c>
      <c r="E5832" s="25">
        <v>436.25</v>
      </c>
    </row>
    <row r="5833" spans="1:5" ht="26" x14ac:dyDescent="0.3">
      <c r="A5833" s="17" t="str">
        <f>"D7250"</f>
        <v>D7250</v>
      </c>
      <c r="B5833" s="5" t="s">
        <v>5840</v>
      </c>
      <c r="C5833" s="17">
        <v>20050401</v>
      </c>
      <c r="D5833" s="17">
        <v>22991231</v>
      </c>
      <c r="E5833" s="25">
        <v>436.25</v>
      </c>
    </row>
    <row r="5834" spans="1:5" x14ac:dyDescent="0.3">
      <c r="A5834" s="17" t="str">
        <f>"D7260"</f>
        <v>D7260</v>
      </c>
      <c r="B5834" s="5" t="s">
        <v>5841</v>
      </c>
      <c r="C5834" s="17">
        <v>20050401</v>
      </c>
      <c r="D5834" s="17">
        <v>22991231</v>
      </c>
      <c r="E5834" s="21" t="s">
        <v>7128</v>
      </c>
    </row>
    <row r="5835" spans="1:5" ht="26" x14ac:dyDescent="0.3">
      <c r="A5835" s="17" t="str">
        <f>"D7270"</f>
        <v>D7270</v>
      </c>
      <c r="B5835" s="5" t="s">
        <v>5842</v>
      </c>
      <c r="C5835" s="17">
        <v>20240101</v>
      </c>
      <c r="D5835" s="17">
        <v>22991231</v>
      </c>
      <c r="E5835" s="25">
        <v>436.25</v>
      </c>
    </row>
    <row r="5836" spans="1:5" x14ac:dyDescent="0.3">
      <c r="A5836" s="17" t="str">
        <f>"D7280"</f>
        <v>D7280</v>
      </c>
      <c r="B5836" s="5" t="s">
        <v>5843</v>
      </c>
      <c r="C5836" s="17">
        <v>20050401</v>
      </c>
      <c r="D5836" s="17">
        <v>22991231</v>
      </c>
      <c r="E5836" s="21" t="s">
        <v>7128</v>
      </c>
    </row>
    <row r="5837" spans="1:5" ht="26" x14ac:dyDescent="0.3">
      <c r="A5837" s="30" t="s">
        <v>7133</v>
      </c>
      <c r="B5837" s="5" t="s">
        <v>7134</v>
      </c>
      <c r="C5837" s="17">
        <v>20050401</v>
      </c>
      <c r="D5837" s="17">
        <v>22991231</v>
      </c>
      <c r="E5837" s="21" t="s">
        <v>7128</v>
      </c>
    </row>
    <row r="5838" spans="1:5" ht="26" x14ac:dyDescent="0.3">
      <c r="A5838" s="17" t="str">
        <f>"D7310"</f>
        <v>D7310</v>
      </c>
      <c r="B5838" s="5" t="s">
        <v>5844</v>
      </c>
      <c r="C5838" s="17">
        <v>20050401</v>
      </c>
      <c r="D5838" s="17">
        <v>22991231</v>
      </c>
      <c r="E5838" s="25">
        <v>636.91999999999996</v>
      </c>
    </row>
    <row r="5839" spans="1:5" ht="26" x14ac:dyDescent="0.3">
      <c r="A5839" s="17" t="str">
        <f>"D7311"</f>
        <v>D7311</v>
      </c>
      <c r="B5839" s="5" t="s">
        <v>5845</v>
      </c>
      <c r="C5839" s="17">
        <v>20240101</v>
      </c>
      <c r="D5839" s="17">
        <v>22991231</v>
      </c>
      <c r="E5839" s="25">
        <v>636.91999999999996</v>
      </c>
    </row>
    <row r="5840" spans="1:5" ht="39" x14ac:dyDescent="0.3">
      <c r="A5840" s="17" t="str">
        <f>"D7320"</f>
        <v>D7320</v>
      </c>
      <c r="B5840" s="5" t="s">
        <v>5846</v>
      </c>
      <c r="C5840" s="17">
        <v>20050401</v>
      </c>
      <c r="D5840" s="17">
        <v>22991231</v>
      </c>
      <c r="E5840" s="21" t="s">
        <v>7128</v>
      </c>
    </row>
    <row r="5841" spans="1:5" x14ac:dyDescent="0.3">
      <c r="A5841" s="17" t="str">
        <f>"D7410"</f>
        <v>D7410</v>
      </c>
      <c r="B5841" s="5" t="s">
        <v>5847</v>
      </c>
      <c r="C5841" s="17">
        <v>20050401</v>
      </c>
      <c r="D5841" s="17">
        <v>22991231</v>
      </c>
      <c r="E5841" s="21" t="s">
        <v>7128</v>
      </c>
    </row>
    <row r="5842" spans="1:5" x14ac:dyDescent="0.3">
      <c r="A5842" s="17" t="str">
        <f>"D7411"</f>
        <v>D7411</v>
      </c>
      <c r="B5842" s="5" t="s">
        <v>5848</v>
      </c>
      <c r="C5842" s="17">
        <v>20160205</v>
      </c>
      <c r="D5842" s="17">
        <v>22991231</v>
      </c>
      <c r="E5842" s="21" t="s">
        <v>7128</v>
      </c>
    </row>
    <row r="5843" spans="1:5" x14ac:dyDescent="0.3">
      <c r="A5843" s="17" t="str">
        <f>"D7472"</f>
        <v>D7472</v>
      </c>
      <c r="B5843" s="5" t="s">
        <v>5849</v>
      </c>
      <c r="C5843" s="17">
        <v>20090101</v>
      </c>
      <c r="D5843" s="17">
        <v>22991231</v>
      </c>
      <c r="E5843" s="25">
        <v>436.25</v>
      </c>
    </row>
    <row r="5844" spans="1:5" x14ac:dyDescent="0.3">
      <c r="A5844" s="17" t="str">
        <f>"D7473"</f>
        <v>D7473</v>
      </c>
      <c r="B5844" s="5" t="s">
        <v>5850</v>
      </c>
      <c r="C5844" s="17">
        <v>20090101</v>
      </c>
      <c r="D5844" s="17">
        <v>22991231</v>
      </c>
      <c r="E5844" s="25">
        <v>436.25</v>
      </c>
    </row>
    <row r="5845" spans="1:5" ht="26" x14ac:dyDescent="0.3">
      <c r="A5845" s="17" t="str">
        <f>"D7510"</f>
        <v>D7510</v>
      </c>
      <c r="B5845" s="5" t="s">
        <v>5851</v>
      </c>
      <c r="C5845" s="17">
        <v>20050401</v>
      </c>
      <c r="D5845" s="17">
        <v>22991231</v>
      </c>
      <c r="E5845" s="25">
        <v>348.6</v>
      </c>
    </row>
    <row r="5846" spans="1:5" ht="39" x14ac:dyDescent="0.3">
      <c r="A5846" s="17" t="str">
        <f>"D7511"</f>
        <v>D7511</v>
      </c>
      <c r="B5846" s="5" t="s">
        <v>5852</v>
      </c>
      <c r="C5846" s="17">
        <v>20240101</v>
      </c>
      <c r="D5846" s="17">
        <v>22991231</v>
      </c>
      <c r="E5846" s="25">
        <v>348.6</v>
      </c>
    </row>
    <row r="5847" spans="1:5" ht="26" x14ac:dyDescent="0.3">
      <c r="A5847" s="17" t="str">
        <f>"D7520"</f>
        <v>D7520</v>
      </c>
      <c r="B5847" s="5" t="s">
        <v>5853</v>
      </c>
      <c r="C5847" s="17">
        <v>20050401</v>
      </c>
      <c r="D5847" s="17">
        <v>22991231</v>
      </c>
      <c r="E5847" s="25">
        <v>348.6</v>
      </c>
    </row>
    <row r="5848" spans="1:5" ht="26" x14ac:dyDescent="0.3">
      <c r="A5848" s="17" t="str">
        <f>"D7530"</f>
        <v>D7530</v>
      </c>
      <c r="B5848" s="5" t="s">
        <v>5854</v>
      </c>
      <c r="C5848" s="17">
        <v>20050401</v>
      </c>
      <c r="D5848" s="17">
        <v>22991231</v>
      </c>
      <c r="E5848" s="21" t="s">
        <v>7128</v>
      </c>
    </row>
    <row r="5849" spans="1:5" ht="26" x14ac:dyDescent="0.3">
      <c r="A5849" s="17" t="str">
        <f>"D7550"</f>
        <v>D7550</v>
      </c>
      <c r="B5849" s="5" t="s">
        <v>5855</v>
      </c>
      <c r="C5849" s="17">
        <v>20240101</v>
      </c>
      <c r="D5849" s="17">
        <v>22991231</v>
      </c>
      <c r="E5849" s="25">
        <v>436.25</v>
      </c>
    </row>
    <row r="5850" spans="1:5" x14ac:dyDescent="0.3">
      <c r="A5850" s="17" t="str">
        <f>"D7880"</f>
        <v>D7880</v>
      </c>
      <c r="B5850" s="5" t="s">
        <v>5856</v>
      </c>
      <c r="C5850" s="17">
        <v>20160205</v>
      </c>
      <c r="D5850" s="17">
        <v>22991231</v>
      </c>
      <c r="E5850" s="21" t="s">
        <v>7128</v>
      </c>
    </row>
    <row r="5851" spans="1:5" x14ac:dyDescent="0.3">
      <c r="A5851" s="17" t="str">
        <f>"D7910"</f>
        <v>D7910</v>
      </c>
      <c r="B5851" s="5" t="s">
        <v>5857</v>
      </c>
      <c r="C5851" s="17">
        <v>20050401</v>
      </c>
      <c r="D5851" s="17">
        <v>22991231</v>
      </c>
      <c r="E5851" s="21" t="s">
        <v>7128</v>
      </c>
    </row>
    <row r="5852" spans="1:5" ht="26" x14ac:dyDescent="0.3">
      <c r="A5852" s="17" t="str">
        <f>"D7922"</f>
        <v>D7922</v>
      </c>
      <c r="B5852" s="5" t="s">
        <v>5858</v>
      </c>
      <c r="C5852" s="17">
        <v>20240101</v>
      </c>
      <c r="D5852" s="17">
        <v>22991231</v>
      </c>
      <c r="E5852" s="25">
        <v>0</v>
      </c>
    </row>
    <row r="5853" spans="1:5" ht="39" x14ac:dyDescent="0.3">
      <c r="A5853" s="17" t="str">
        <f>"D7950"</f>
        <v>D7950</v>
      </c>
      <c r="B5853" s="5" t="s">
        <v>5859</v>
      </c>
      <c r="C5853" s="17">
        <v>20240101</v>
      </c>
      <c r="D5853" s="17">
        <v>22991231</v>
      </c>
      <c r="E5853" s="25">
        <v>2637</v>
      </c>
    </row>
    <row r="5854" spans="1:5" x14ac:dyDescent="0.3">
      <c r="A5854" s="17" t="str">
        <f>"D7961"</f>
        <v>D7961</v>
      </c>
      <c r="B5854" s="5" t="s">
        <v>5860</v>
      </c>
      <c r="C5854" s="17">
        <v>20210101</v>
      </c>
      <c r="D5854" s="17">
        <v>22991231</v>
      </c>
      <c r="E5854" s="21" t="s">
        <v>7128</v>
      </c>
    </row>
    <row r="5855" spans="1:5" x14ac:dyDescent="0.3">
      <c r="A5855" s="17" t="str">
        <f>"D7962"</f>
        <v>D7962</v>
      </c>
      <c r="B5855" s="5" t="s">
        <v>5861</v>
      </c>
      <c r="C5855" s="17">
        <v>20210101</v>
      </c>
      <c r="D5855" s="17">
        <v>22991231</v>
      </c>
      <c r="E5855" s="21" t="s">
        <v>7128</v>
      </c>
    </row>
    <row r="5856" spans="1:5" x14ac:dyDescent="0.3">
      <c r="A5856" s="17" t="str">
        <f>"D8210"</f>
        <v>D8210</v>
      </c>
      <c r="B5856" s="5" t="s">
        <v>5862</v>
      </c>
      <c r="C5856" s="17">
        <v>20050401</v>
      </c>
      <c r="D5856" s="17">
        <v>22991231</v>
      </c>
      <c r="E5856" s="21" t="s">
        <v>7128</v>
      </c>
    </row>
    <row r="5857" spans="1:5" x14ac:dyDescent="0.3">
      <c r="A5857" s="17" t="str">
        <f>"D8220"</f>
        <v>D8220</v>
      </c>
      <c r="B5857" s="5" t="s">
        <v>5863</v>
      </c>
      <c r="C5857" s="17">
        <v>20050401</v>
      </c>
      <c r="D5857" s="17">
        <v>22991231</v>
      </c>
      <c r="E5857" s="21" t="s">
        <v>7128</v>
      </c>
    </row>
    <row r="5858" spans="1:5" ht="26" x14ac:dyDescent="0.3">
      <c r="A5858" s="17" t="str">
        <f>"D8660"</f>
        <v>D8660</v>
      </c>
      <c r="B5858" s="5" t="s">
        <v>5864</v>
      </c>
      <c r="C5858" s="17">
        <v>20050401</v>
      </c>
      <c r="D5858" s="17">
        <v>22991231</v>
      </c>
      <c r="E5858" s="21" t="s">
        <v>7128</v>
      </c>
    </row>
    <row r="5859" spans="1:5" x14ac:dyDescent="0.3">
      <c r="A5859" s="17" t="str">
        <f>"D8670"</f>
        <v>D8670</v>
      </c>
      <c r="B5859" s="5" t="s">
        <v>5865</v>
      </c>
      <c r="C5859" s="17">
        <v>20050401</v>
      </c>
      <c r="D5859" s="17">
        <v>22991231</v>
      </c>
      <c r="E5859" s="21" t="s">
        <v>7128</v>
      </c>
    </row>
    <row r="5860" spans="1:5" x14ac:dyDescent="0.3">
      <c r="A5860" s="17" t="str">
        <f>"D8999"</f>
        <v>D8999</v>
      </c>
      <c r="B5860" s="5" t="s">
        <v>5866</v>
      </c>
      <c r="C5860" s="17">
        <v>20050401</v>
      </c>
      <c r="D5860" s="17">
        <v>22991231</v>
      </c>
      <c r="E5860" s="21" t="s">
        <v>7128</v>
      </c>
    </row>
    <row r="5861" spans="1:5" x14ac:dyDescent="0.3">
      <c r="A5861" s="17" t="str">
        <f>"D9110"</f>
        <v>D9110</v>
      </c>
      <c r="B5861" s="5" t="s">
        <v>5867</v>
      </c>
      <c r="C5861" s="17">
        <v>20050401</v>
      </c>
      <c r="D5861" s="17">
        <v>22991231</v>
      </c>
      <c r="E5861" s="21" t="s">
        <v>7128</v>
      </c>
    </row>
    <row r="5862" spans="1:5" ht="26" x14ac:dyDescent="0.3">
      <c r="A5862" s="17" t="str">
        <f>"D9223"</f>
        <v>D9223</v>
      </c>
      <c r="B5862" s="5" t="s">
        <v>5868</v>
      </c>
      <c r="C5862" s="17">
        <v>20160205</v>
      </c>
      <c r="D5862" s="17">
        <v>22991231</v>
      </c>
      <c r="E5862" s="21" t="s">
        <v>7128</v>
      </c>
    </row>
    <row r="5863" spans="1:5" ht="39" x14ac:dyDescent="0.3">
      <c r="A5863" s="17" t="str">
        <f>"D9243"</f>
        <v>D9243</v>
      </c>
      <c r="B5863" s="5" t="s">
        <v>5869</v>
      </c>
      <c r="C5863" s="17">
        <v>20160205</v>
      </c>
      <c r="D5863" s="17">
        <v>22991231</v>
      </c>
      <c r="E5863" s="21" t="s">
        <v>7128</v>
      </c>
    </row>
    <row r="5864" spans="1:5" x14ac:dyDescent="0.3">
      <c r="A5864" s="17" t="str">
        <f>"D9420"</f>
        <v>D9420</v>
      </c>
      <c r="B5864" s="5" t="s">
        <v>5870</v>
      </c>
      <c r="C5864" s="17">
        <v>20050401</v>
      </c>
      <c r="D5864" s="17">
        <v>22991231</v>
      </c>
      <c r="E5864" s="21" t="s">
        <v>7128</v>
      </c>
    </row>
    <row r="5865" spans="1:5" ht="26" x14ac:dyDescent="0.3">
      <c r="A5865" s="17" t="str">
        <f>"G0104"</f>
        <v>G0104</v>
      </c>
      <c r="B5865" s="5" t="s">
        <v>5871</v>
      </c>
      <c r="C5865" s="17">
        <v>20230101</v>
      </c>
      <c r="D5865" s="17">
        <v>22991231</v>
      </c>
      <c r="E5865" s="25">
        <v>144.81</v>
      </c>
    </row>
    <row r="5866" spans="1:5" ht="26" x14ac:dyDescent="0.3">
      <c r="A5866" s="17" t="str">
        <f>"G0105"</f>
        <v>G0105</v>
      </c>
      <c r="B5866" s="5" t="s">
        <v>5872</v>
      </c>
      <c r="C5866" s="17">
        <v>20040101</v>
      </c>
      <c r="D5866" s="17">
        <v>22991231</v>
      </c>
      <c r="E5866" s="25">
        <v>452.84</v>
      </c>
    </row>
    <row r="5867" spans="1:5" ht="26" x14ac:dyDescent="0.3">
      <c r="A5867" s="17" t="str">
        <f>"G0121"</f>
        <v>G0121</v>
      </c>
      <c r="B5867" s="5" t="s">
        <v>5873</v>
      </c>
      <c r="C5867" s="17">
        <v>20040101</v>
      </c>
      <c r="D5867" s="17">
        <v>22991231</v>
      </c>
      <c r="E5867" s="25">
        <v>452.84</v>
      </c>
    </row>
    <row r="5868" spans="1:5" ht="39" x14ac:dyDescent="0.3">
      <c r="A5868" s="17" t="str">
        <f>"G0130"</f>
        <v>G0130</v>
      </c>
      <c r="B5868" s="5" t="s">
        <v>5874</v>
      </c>
      <c r="C5868" s="17">
        <v>20230101</v>
      </c>
      <c r="D5868" s="17">
        <v>22991231</v>
      </c>
      <c r="E5868" s="25">
        <v>26.9</v>
      </c>
    </row>
    <row r="5869" spans="1:5" ht="52" x14ac:dyDescent="0.3">
      <c r="A5869" s="17" t="str">
        <f>"G0186"</f>
        <v>G0186</v>
      </c>
      <c r="B5869" s="5" t="s">
        <v>5875</v>
      </c>
      <c r="C5869" s="17">
        <v>20230101</v>
      </c>
      <c r="D5869" s="17">
        <v>22991231</v>
      </c>
      <c r="E5869" s="25">
        <v>288</v>
      </c>
    </row>
    <row r="5870" spans="1:5" x14ac:dyDescent="0.3">
      <c r="A5870" s="17" t="str">
        <f>"G0235"</f>
        <v>G0235</v>
      </c>
      <c r="B5870" s="5" t="s">
        <v>5876</v>
      </c>
      <c r="C5870" s="17">
        <v>20230101</v>
      </c>
      <c r="D5870" s="17">
        <v>22991231</v>
      </c>
      <c r="E5870" s="25">
        <v>204.35</v>
      </c>
    </row>
    <row r="5871" spans="1:5" ht="39" x14ac:dyDescent="0.3">
      <c r="A5871" s="17" t="str">
        <f>"G0260"</f>
        <v>G0260</v>
      </c>
      <c r="B5871" s="5" t="s">
        <v>5877</v>
      </c>
      <c r="C5871" s="17">
        <v>20050101</v>
      </c>
      <c r="D5871" s="17">
        <v>22991231</v>
      </c>
      <c r="E5871" s="25">
        <v>342.64</v>
      </c>
    </row>
    <row r="5872" spans="1:5" ht="65" x14ac:dyDescent="0.3">
      <c r="A5872" s="17" t="str">
        <f>"G0276"</f>
        <v>G0276</v>
      </c>
      <c r="B5872" s="5" t="s">
        <v>5878</v>
      </c>
      <c r="C5872" s="17">
        <v>20230101</v>
      </c>
      <c r="D5872" s="17">
        <v>22991231</v>
      </c>
      <c r="E5872" s="25">
        <v>3240.75</v>
      </c>
    </row>
    <row r="5873" spans="1:5" ht="130" x14ac:dyDescent="0.3">
      <c r="A5873" s="17" t="str">
        <f>"G0278"</f>
        <v>G0278</v>
      </c>
      <c r="B5873" s="5" t="s">
        <v>5879</v>
      </c>
      <c r="C5873" s="17">
        <v>20230101</v>
      </c>
      <c r="D5873" s="17">
        <v>22991231</v>
      </c>
      <c r="E5873" s="25">
        <v>0</v>
      </c>
    </row>
    <row r="5874" spans="1:5" ht="78" x14ac:dyDescent="0.3">
      <c r="A5874" s="17" t="str">
        <f>"G0329"</f>
        <v>G0329</v>
      </c>
      <c r="B5874" s="5" t="s">
        <v>5880</v>
      </c>
      <c r="C5874" s="17">
        <v>20050101</v>
      </c>
      <c r="D5874" s="17">
        <v>22991231</v>
      </c>
      <c r="E5874" s="24" t="s">
        <v>7128</v>
      </c>
    </row>
    <row r="5875" spans="1:5" ht="65" x14ac:dyDescent="0.3">
      <c r="A5875" s="17" t="str">
        <f>"G0330"</f>
        <v>G0330</v>
      </c>
      <c r="B5875" s="5" t="s">
        <v>5881</v>
      </c>
      <c r="C5875" s="17">
        <v>20240101</v>
      </c>
      <c r="D5875" s="17">
        <v>22991231</v>
      </c>
      <c r="E5875" s="25">
        <v>1259.74</v>
      </c>
    </row>
    <row r="5876" spans="1:5" x14ac:dyDescent="0.3">
      <c r="A5876" s="17" t="str">
        <f>"G0378"</f>
        <v>G0378</v>
      </c>
      <c r="B5876" s="5" t="s">
        <v>5882</v>
      </c>
      <c r="C5876" s="17">
        <v>20060101</v>
      </c>
      <c r="D5876" s="17">
        <v>22991231</v>
      </c>
      <c r="E5876" s="24" t="s">
        <v>7128</v>
      </c>
    </row>
    <row r="5877" spans="1:5" ht="39" x14ac:dyDescent="0.3">
      <c r="A5877" s="17" t="str">
        <f>"G0429"</f>
        <v>G0429</v>
      </c>
      <c r="B5877" s="5" t="s">
        <v>5883</v>
      </c>
      <c r="C5877" s="17">
        <v>20230101</v>
      </c>
      <c r="D5877" s="17">
        <v>22991231</v>
      </c>
      <c r="E5877" s="25">
        <v>51.92</v>
      </c>
    </row>
    <row r="5878" spans="1:5" ht="39" x14ac:dyDescent="0.3">
      <c r="A5878" s="17" t="str">
        <f>"G0516"</f>
        <v>G0516</v>
      </c>
      <c r="B5878" s="5" t="s">
        <v>5884</v>
      </c>
      <c r="C5878" s="17">
        <v>20230101</v>
      </c>
      <c r="D5878" s="17">
        <v>22991231</v>
      </c>
      <c r="E5878" s="25">
        <v>0</v>
      </c>
    </row>
    <row r="5879" spans="1:5" ht="39" x14ac:dyDescent="0.3">
      <c r="A5879" s="17" t="str">
        <f>"G0517"</f>
        <v>G0517</v>
      </c>
      <c r="B5879" s="5" t="s">
        <v>5885</v>
      </c>
      <c r="C5879" s="17">
        <v>20230101</v>
      </c>
      <c r="D5879" s="17">
        <v>22991231</v>
      </c>
      <c r="E5879" s="25">
        <v>0</v>
      </c>
    </row>
    <row r="5880" spans="1:5" ht="39" x14ac:dyDescent="0.3">
      <c r="A5880" s="17" t="str">
        <f>"G0518"</f>
        <v>G0518</v>
      </c>
      <c r="B5880" s="5" t="s">
        <v>5886</v>
      </c>
      <c r="C5880" s="17">
        <v>20230101</v>
      </c>
      <c r="D5880" s="17">
        <v>22991231</v>
      </c>
      <c r="E5880" s="25">
        <v>0</v>
      </c>
    </row>
    <row r="5881" spans="1:5" x14ac:dyDescent="0.3">
      <c r="A5881" s="17" t="str">
        <f>"J0120"</f>
        <v>J0120</v>
      </c>
      <c r="B5881" s="5" t="s">
        <v>5887</v>
      </c>
      <c r="C5881" s="17">
        <v>20230101</v>
      </c>
      <c r="D5881" s="17">
        <v>22991231</v>
      </c>
      <c r="E5881" s="25">
        <v>0</v>
      </c>
    </row>
    <row r="5882" spans="1:5" x14ac:dyDescent="0.3">
      <c r="A5882" s="17" t="str">
        <f>"J0121"</f>
        <v>J0121</v>
      </c>
      <c r="B5882" s="5" t="s">
        <v>5888</v>
      </c>
      <c r="C5882" s="17">
        <v>20230101</v>
      </c>
      <c r="D5882" s="17">
        <v>22991231</v>
      </c>
      <c r="E5882" s="25">
        <v>3.5</v>
      </c>
    </row>
    <row r="5883" spans="1:5" x14ac:dyDescent="0.3">
      <c r="A5883" s="17" t="str">
        <f>"J0122"</f>
        <v>J0122</v>
      </c>
      <c r="B5883" s="5" t="s">
        <v>5889</v>
      </c>
      <c r="C5883" s="17">
        <v>20230101</v>
      </c>
      <c r="D5883" s="17">
        <v>22991231</v>
      </c>
      <c r="E5883" s="25">
        <v>1.08</v>
      </c>
    </row>
    <row r="5884" spans="1:5" ht="52" x14ac:dyDescent="0.3">
      <c r="A5884" s="17" t="str">
        <f>"J0129"</f>
        <v>J0129</v>
      </c>
      <c r="B5884" s="5" t="s">
        <v>5890</v>
      </c>
      <c r="C5884" s="17">
        <v>20230101</v>
      </c>
      <c r="D5884" s="17">
        <v>22991231</v>
      </c>
      <c r="E5884" s="25">
        <v>41.22</v>
      </c>
    </row>
    <row r="5885" spans="1:5" x14ac:dyDescent="0.3">
      <c r="A5885" s="17" t="str">
        <f>"J0130"</f>
        <v>J0130</v>
      </c>
      <c r="B5885" s="5" t="s">
        <v>5891</v>
      </c>
      <c r="C5885" s="17">
        <v>20230101</v>
      </c>
      <c r="D5885" s="17">
        <v>22991231</v>
      </c>
      <c r="E5885" s="25">
        <v>0</v>
      </c>
    </row>
    <row r="5886" spans="1:5" ht="26" x14ac:dyDescent="0.3">
      <c r="A5886" s="17" t="str">
        <f>"J0131"</f>
        <v>J0131</v>
      </c>
      <c r="B5886" s="5" t="s">
        <v>5892</v>
      </c>
      <c r="C5886" s="17">
        <v>20230101</v>
      </c>
      <c r="D5886" s="17">
        <v>22991231</v>
      </c>
      <c r="E5886" s="25">
        <v>0</v>
      </c>
    </row>
    <row r="5887" spans="1:5" x14ac:dyDescent="0.3">
      <c r="A5887" s="17" t="str">
        <f>"J0132"</f>
        <v>J0132</v>
      </c>
      <c r="B5887" s="5" t="s">
        <v>5893</v>
      </c>
      <c r="C5887" s="17">
        <v>20060101</v>
      </c>
      <c r="D5887" s="17">
        <v>22991231</v>
      </c>
      <c r="E5887" s="25">
        <v>0</v>
      </c>
    </row>
    <row r="5888" spans="1:5" x14ac:dyDescent="0.3">
      <c r="A5888" s="17" t="str">
        <f>"J0133"</f>
        <v>J0133</v>
      </c>
      <c r="B5888" s="5" t="s">
        <v>5894</v>
      </c>
      <c r="C5888" s="17">
        <v>20060101</v>
      </c>
      <c r="D5888" s="17">
        <v>22991231</v>
      </c>
      <c r="E5888" s="25">
        <v>0</v>
      </c>
    </row>
    <row r="5889" spans="1:5" ht="26" x14ac:dyDescent="0.3">
      <c r="A5889" s="17" t="str">
        <f>"J0134"</f>
        <v>J0134</v>
      </c>
      <c r="B5889" s="5" t="s">
        <v>5895</v>
      </c>
      <c r="C5889" s="17">
        <v>20240101</v>
      </c>
      <c r="D5889" s="17">
        <v>22991231</v>
      </c>
      <c r="E5889" s="25">
        <v>0.05</v>
      </c>
    </row>
    <row r="5890" spans="1:5" x14ac:dyDescent="0.3">
      <c r="A5890" s="17" t="str">
        <f>"J0135"</f>
        <v>J0135</v>
      </c>
      <c r="B5890" s="5" t="s">
        <v>5896</v>
      </c>
      <c r="C5890" s="17">
        <v>20050101</v>
      </c>
      <c r="D5890" s="17">
        <v>22991231</v>
      </c>
      <c r="E5890" s="25">
        <v>1752.21</v>
      </c>
    </row>
    <row r="5891" spans="1:5" ht="26" x14ac:dyDescent="0.3">
      <c r="A5891" s="17" t="str">
        <f>"J0136"</f>
        <v>J0136</v>
      </c>
      <c r="B5891" s="5" t="s">
        <v>5897</v>
      </c>
      <c r="C5891" s="17">
        <v>20240101</v>
      </c>
      <c r="D5891" s="17">
        <v>22991231</v>
      </c>
      <c r="E5891" s="25">
        <v>0.06</v>
      </c>
    </row>
    <row r="5892" spans="1:5" ht="26" x14ac:dyDescent="0.3">
      <c r="A5892" s="17" t="str">
        <f>"J0137"</f>
        <v>J0137</v>
      </c>
      <c r="B5892" s="5" t="s">
        <v>5898</v>
      </c>
      <c r="C5892" s="17">
        <v>20240101</v>
      </c>
      <c r="D5892" s="17">
        <v>22991231</v>
      </c>
      <c r="E5892" s="25">
        <v>0.05</v>
      </c>
    </row>
    <row r="5893" spans="1:5" ht="26" x14ac:dyDescent="0.3">
      <c r="A5893" s="17" t="str">
        <f>"J0153"</f>
        <v>J0153</v>
      </c>
      <c r="B5893" s="5" t="s">
        <v>5899</v>
      </c>
      <c r="C5893" s="17">
        <v>20230101</v>
      </c>
      <c r="D5893" s="17">
        <v>22991231</v>
      </c>
      <c r="E5893" s="25">
        <v>0</v>
      </c>
    </row>
    <row r="5894" spans="1:5" x14ac:dyDescent="0.3">
      <c r="A5894" s="17" t="str">
        <f>"J0171"</f>
        <v>J0171</v>
      </c>
      <c r="B5894" s="5" t="s">
        <v>5900</v>
      </c>
      <c r="C5894" s="17">
        <v>20230101</v>
      </c>
      <c r="D5894" s="17">
        <v>22991231</v>
      </c>
      <c r="E5894" s="25">
        <v>0</v>
      </c>
    </row>
    <row r="5895" spans="1:5" x14ac:dyDescent="0.3">
      <c r="A5895" s="17" t="str">
        <f>"J0172"</f>
        <v>J0172</v>
      </c>
      <c r="B5895" s="5" t="s">
        <v>5901</v>
      </c>
      <c r="C5895" s="17">
        <v>20230101</v>
      </c>
      <c r="D5895" s="17">
        <v>22991231</v>
      </c>
      <c r="E5895" s="25">
        <v>5.71</v>
      </c>
    </row>
    <row r="5896" spans="1:5" ht="26" x14ac:dyDescent="0.3">
      <c r="A5896" s="17" t="str">
        <f>"J0173"</f>
        <v>J0173</v>
      </c>
      <c r="B5896" s="5" t="s">
        <v>5902</v>
      </c>
      <c r="C5896" s="17">
        <v>20240101</v>
      </c>
      <c r="D5896" s="17">
        <v>22991231</v>
      </c>
      <c r="E5896" s="25">
        <v>1.71</v>
      </c>
    </row>
    <row r="5897" spans="1:5" x14ac:dyDescent="0.3">
      <c r="A5897" s="17" t="str">
        <f>"J0174"</f>
        <v>J0174</v>
      </c>
      <c r="B5897" s="5" t="s">
        <v>5903</v>
      </c>
      <c r="C5897" s="17">
        <v>20240101</v>
      </c>
      <c r="D5897" s="17">
        <v>22991231</v>
      </c>
      <c r="E5897" s="25">
        <v>1.29</v>
      </c>
    </row>
    <row r="5898" spans="1:5" x14ac:dyDescent="0.3">
      <c r="A5898" s="17" t="str">
        <f>"J0178"</f>
        <v>J0178</v>
      </c>
      <c r="B5898" s="5" t="s">
        <v>5904</v>
      </c>
      <c r="C5898" s="17">
        <v>20230101</v>
      </c>
      <c r="D5898" s="17">
        <v>22991231</v>
      </c>
      <c r="E5898" s="25">
        <v>823.61</v>
      </c>
    </row>
    <row r="5899" spans="1:5" x14ac:dyDescent="0.3">
      <c r="A5899" s="17" t="str">
        <f>"J0179"</f>
        <v>J0179</v>
      </c>
      <c r="B5899" s="5" t="s">
        <v>5905</v>
      </c>
      <c r="C5899" s="17">
        <v>20230101</v>
      </c>
      <c r="D5899" s="17">
        <v>22991231</v>
      </c>
      <c r="E5899" s="25">
        <v>310.64999999999998</v>
      </c>
    </row>
    <row r="5900" spans="1:5" x14ac:dyDescent="0.3">
      <c r="A5900" s="17" t="str">
        <f>"J0180"</f>
        <v>J0180</v>
      </c>
      <c r="B5900" s="5" t="s">
        <v>5906</v>
      </c>
      <c r="C5900" s="17">
        <v>20050101</v>
      </c>
      <c r="D5900" s="17">
        <v>22991231</v>
      </c>
      <c r="E5900" s="25">
        <v>208.55</v>
      </c>
    </row>
    <row r="5901" spans="1:5" x14ac:dyDescent="0.3">
      <c r="A5901" s="17" t="str">
        <f>"J0184"</f>
        <v>J0184</v>
      </c>
      <c r="B5901" s="5" t="s">
        <v>5907</v>
      </c>
      <c r="C5901" s="17">
        <v>20240101</v>
      </c>
      <c r="D5901" s="17">
        <v>22991231</v>
      </c>
      <c r="E5901" s="25">
        <v>8.67</v>
      </c>
    </row>
    <row r="5902" spans="1:5" x14ac:dyDescent="0.3">
      <c r="A5902" s="17" t="str">
        <f>"J0185"</f>
        <v>J0185</v>
      </c>
      <c r="B5902" s="5" t="s">
        <v>5908</v>
      </c>
      <c r="C5902" s="17">
        <v>20230101</v>
      </c>
      <c r="D5902" s="17">
        <v>22991231</v>
      </c>
      <c r="E5902" s="25">
        <v>1.65</v>
      </c>
    </row>
    <row r="5903" spans="1:5" x14ac:dyDescent="0.3">
      <c r="A5903" s="17" t="str">
        <f>"J0190"</f>
        <v>J0190</v>
      </c>
      <c r="B5903" s="5" t="s">
        <v>5909</v>
      </c>
      <c r="C5903" s="17">
        <v>20230101</v>
      </c>
      <c r="D5903" s="17">
        <v>22991231</v>
      </c>
      <c r="E5903" s="25">
        <v>0</v>
      </c>
    </row>
    <row r="5904" spans="1:5" x14ac:dyDescent="0.3">
      <c r="A5904" s="17" t="str">
        <f>"J0200"</f>
        <v>J0200</v>
      </c>
      <c r="B5904" s="5" t="s">
        <v>5910</v>
      </c>
      <c r="C5904" s="17">
        <v>20230101</v>
      </c>
      <c r="D5904" s="17">
        <v>22991231</v>
      </c>
      <c r="E5904" s="25">
        <v>0</v>
      </c>
    </row>
    <row r="5905" spans="1:5" x14ac:dyDescent="0.3">
      <c r="A5905" s="17" t="str">
        <f>"J0202"</f>
        <v>J0202</v>
      </c>
      <c r="B5905" s="5" t="s">
        <v>5911</v>
      </c>
      <c r="C5905" s="17">
        <v>20230101</v>
      </c>
      <c r="D5905" s="17">
        <v>22991231</v>
      </c>
      <c r="E5905" s="25">
        <v>2220.09</v>
      </c>
    </row>
    <row r="5906" spans="1:5" x14ac:dyDescent="0.3">
      <c r="A5906" s="17" t="str">
        <f>"J0205"</f>
        <v>J0205</v>
      </c>
      <c r="B5906" s="5" t="s">
        <v>5912</v>
      </c>
      <c r="C5906" s="17">
        <v>20230101</v>
      </c>
      <c r="D5906" s="17">
        <v>22991231</v>
      </c>
      <c r="E5906" s="25">
        <v>0</v>
      </c>
    </row>
    <row r="5907" spans="1:5" x14ac:dyDescent="0.3">
      <c r="A5907" s="17" t="str">
        <f>"J0206"</f>
        <v>J0206</v>
      </c>
      <c r="B5907" s="5" t="s">
        <v>5913</v>
      </c>
      <c r="C5907" s="17">
        <v>20240101</v>
      </c>
      <c r="D5907" s="17">
        <v>22991231</v>
      </c>
      <c r="E5907" s="25">
        <v>5.3</v>
      </c>
    </row>
    <row r="5908" spans="1:5" x14ac:dyDescent="0.3">
      <c r="A5908" s="17" t="str">
        <f>"J0207"</f>
        <v>J0207</v>
      </c>
      <c r="B5908" s="5" t="s">
        <v>5914</v>
      </c>
      <c r="C5908" s="17">
        <v>20230101</v>
      </c>
      <c r="D5908" s="17">
        <v>22991231</v>
      </c>
      <c r="E5908" s="25">
        <v>0</v>
      </c>
    </row>
    <row r="5909" spans="1:5" x14ac:dyDescent="0.3">
      <c r="A5909" s="17" t="str">
        <f>"J0208"</f>
        <v>J0208</v>
      </c>
      <c r="B5909" s="5" t="s">
        <v>5915</v>
      </c>
      <c r="C5909" s="17">
        <v>20240101</v>
      </c>
      <c r="D5909" s="17">
        <v>22991231</v>
      </c>
      <c r="E5909" s="25">
        <v>91.88</v>
      </c>
    </row>
    <row r="5910" spans="1:5" x14ac:dyDescent="0.3">
      <c r="A5910" s="17" t="str">
        <f>"J0210"</f>
        <v>J0210</v>
      </c>
      <c r="B5910" s="5" t="s">
        <v>5916</v>
      </c>
      <c r="C5910" s="17">
        <v>20230101</v>
      </c>
      <c r="D5910" s="17">
        <v>22991231</v>
      </c>
      <c r="E5910" s="25">
        <v>0</v>
      </c>
    </row>
    <row r="5911" spans="1:5" x14ac:dyDescent="0.3">
      <c r="A5911" s="17" t="str">
        <f>"J0215"</f>
        <v>J0215</v>
      </c>
      <c r="B5911" s="5" t="s">
        <v>5917</v>
      </c>
      <c r="C5911" s="17">
        <v>20230101</v>
      </c>
      <c r="D5911" s="17">
        <v>22991231</v>
      </c>
      <c r="E5911" s="25">
        <v>0</v>
      </c>
    </row>
    <row r="5912" spans="1:5" ht="26" x14ac:dyDescent="0.3">
      <c r="A5912" s="17" t="str">
        <f>"J0216"</f>
        <v>J0216</v>
      </c>
      <c r="B5912" s="5" t="s">
        <v>5918</v>
      </c>
      <c r="C5912" s="17">
        <v>20240101</v>
      </c>
      <c r="D5912" s="17">
        <v>22991231</v>
      </c>
      <c r="E5912" s="25">
        <v>0</v>
      </c>
    </row>
    <row r="5913" spans="1:5" x14ac:dyDescent="0.3">
      <c r="A5913" s="17" t="str">
        <f>"J0217"</f>
        <v>J0217</v>
      </c>
      <c r="B5913" s="5" t="s">
        <v>5919</v>
      </c>
      <c r="C5913" s="17">
        <v>20240101</v>
      </c>
      <c r="D5913" s="17">
        <v>22991231</v>
      </c>
      <c r="E5913" s="25">
        <v>404.98</v>
      </c>
    </row>
    <row r="5914" spans="1:5" x14ac:dyDescent="0.3">
      <c r="A5914" s="17" t="str">
        <f>"J0218"</f>
        <v>J0218</v>
      </c>
      <c r="B5914" s="5" t="s">
        <v>5920</v>
      </c>
      <c r="C5914" s="17">
        <v>20240101</v>
      </c>
      <c r="D5914" s="17">
        <v>22991231</v>
      </c>
      <c r="E5914" s="25">
        <v>360.06</v>
      </c>
    </row>
    <row r="5915" spans="1:5" x14ac:dyDescent="0.3">
      <c r="A5915" s="17" t="str">
        <f>"J0219"</f>
        <v>J0219</v>
      </c>
      <c r="B5915" s="5" t="s">
        <v>5921</v>
      </c>
      <c r="C5915" s="17">
        <v>20230101</v>
      </c>
      <c r="D5915" s="17">
        <v>22991231</v>
      </c>
      <c r="E5915" s="25">
        <v>72.61</v>
      </c>
    </row>
    <row r="5916" spans="1:5" ht="26" x14ac:dyDescent="0.3">
      <c r="A5916" s="17" t="str">
        <f>"J0220"</f>
        <v>J0220</v>
      </c>
      <c r="B5916" s="5" t="s">
        <v>5922</v>
      </c>
      <c r="C5916" s="17">
        <v>20230101</v>
      </c>
      <c r="D5916" s="17">
        <v>22991231</v>
      </c>
      <c r="E5916" s="25">
        <v>142.18</v>
      </c>
    </row>
    <row r="5917" spans="1:5" x14ac:dyDescent="0.3">
      <c r="A5917" s="17" t="str">
        <f>"J0221"</f>
        <v>J0221</v>
      </c>
      <c r="B5917" s="5" t="s">
        <v>5923</v>
      </c>
      <c r="C5917" s="17">
        <v>20230101</v>
      </c>
      <c r="D5917" s="17">
        <v>22991231</v>
      </c>
      <c r="E5917" s="25">
        <v>188.43</v>
      </c>
    </row>
    <row r="5918" spans="1:5" x14ac:dyDescent="0.3">
      <c r="A5918" s="17" t="str">
        <f>"J0222"</f>
        <v>J0222</v>
      </c>
      <c r="B5918" s="5" t="s">
        <v>5924</v>
      </c>
      <c r="C5918" s="17">
        <v>20230101</v>
      </c>
      <c r="D5918" s="17">
        <v>22991231</v>
      </c>
      <c r="E5918" s="25">
        <v>95.5</v>
      </c>
    </row>
    <row r="5919" spans="1:5" x14ac:dyDescent="0.3">
      <c r="A5919" s="17" t="str">
        <f>"J0223"</f>
        <v>J0223</v>
      </c>
      <c r="B5919" s="5" t="s">
        <v>5925</v>
      </c>
      <c r="C5919" s="17">
        <v>20230101</v>
      </c>
      <c r="D5919" s="17">
        <v>22991231</v>
      </c>
      <c r="E5919" s="25">
        <v>107.05</v>
      </c>
    </row>
    <row r="5920" spans="1:5" x14ac:dyDescent="0.3">
      <c r="A5920" s="17" t="str">
        <f>"J0224"</f>
        <v>J0224</v>
      </c>
      <c r="B5920" s="5" t="s">
        <v>5926</v>
      </c>
      <c r="C5920" s="17">
        <v>20230101</v>
      </c>
      <c r="D5920" s="17">
        <v>22991231</v>
      </c>
      <c r="E5920" s="25">
        <v>305.23</v>
      </c>
    </row>
    <row r="5921" spans="1:5" x14ac:dyDescent="0.3">
      <c r="A5921" s="17" t="str">
        <f>"J0225"</f>
        <v>J0225</v>
      </c>
      <c r="B5921" s="5" t="s">
        <v>5927</v>
      </c>
      <c r="C5921" s="17">
        <v>20230101</v>
      </c>
      <c r="D5921" s="17">
        <v>22991231</v>
      </c>
      <c r="E5921" s="25">
        <v>4725.49</v>
      </c>
    </row>
    <row r="5922" spans="1:5" ht="26" x14ac:dyDescent="0.3">
      <c r="A5922" s="17" t="str">
        <f>"J0256"</f>
        <v>J0256</v>
      </c>
      <c r="B5922" s="5" t="s">
        <v>5928</v>
      </c>
      <c r="C5922" s="17">
        <v>20230101</v>
      </c>
      <c r="D5922" s="17">
        <v>22991231</v>
      </c>
      <c r="E5922" s="25">
        <v>4.66</v>
      </c>
    </row>
    <row r="5923" spans="1:5" ht="26" x14ac:dyDescent="0.3">
      <c r="A5923" s="17" t="str">
        <f>"J0257"</f>
        <v>J0257</v>
      </c>
      <c r="B5923" s="5" t="s">
        <v>5929</v>
      </c>
      <c r="C5923" s="17">
        <v>20230101</v>
      </c>
      <c r="D5923" s="17">
        <v>22991231</v>
      </c>
      <c r="E5923" s="25">
        <v>5.1100000000000003</v>
      </c>
    </row>
    <row r="5924" spans="1:5" x14ac:dyDescent="0.3">
      <c r="A5924" s="17" t="str">
        <f>"J0278"</f>
        <v>J0278</v>
      </c>
      <c r="B5924" s="5" t="s">
        <v>5930</v>
      </c>
      <c r="C5924" s="17">
        <v>20060101</v>
      </c>
      <c r="D5924" s="17">
        <v>22991231</v>
      </c>
      <c r="E5924" s="25">
        <v>0</v>
      </c>
    </row>
    <row r="5925" spans="1:5" x14ac:dyDescent="0.3">
      <c r="A5925" s="17" t="str">
        <f>"J0280"</f>
        <v>J0280</v>
      </c>
      <c r="B5925" s="5" t="s">
        <v>5931</v>
      </c>
      <c r="C5925" s="17">
        <v>20230101</v>
      </c>
      <c r="D5925" s="17">
        <v>22991231</v>
      </c>
      <c r="E5925" s="25">
        <v>0</v>
      </c>
    </row>
    <row r="5926" spans="1:5" x14ac:dyDescent="0.3">
      <c r="A5926" s="17" t="str">
        <f>"J0282"</f>
        <v>J0282</v>
      </c>
      <c r="B5926" s="5" t="s">
        <v>5932</v>
      </c>
      <c r="C5926" s="17">
        <v>20230101</v>
      </c>
      <c r="D5926" s="17">
        <v>22991231</v>
      </c>
      <c r="E5926" s="25">
        <v>0</v>
      </c>
    </row>
    <row r="5927" spans="1:5" ht="26" x14ac:dyDescent="0.3">
      <c r="A5927" s="17" t="str">
        <f>"J0283"</f>
        <v>J0283</v>
      </c>
      <c r="B5927" s="5" t="s">
        <v>5933</v>
      </c>
      <c r="C5927" s="17">
        <v>20240101</v>
      </c>
      <c r="D5927" s="17">
        <v>22991231</v>
      </c>
      <c r="E5927" s="25">
        <v>0</v>
      </c>
    </row>
    <row r="5928" spans="1:5" x14ac:dyDescent="0.3">
      <c r="A5928" s="17" t="str">
        <f>"J0285"</f>
        <v>J0285</v>
      </c>
      <c r="B5928" s="5" t="s">
        <v>5934</v>
      </c>
      <c r="C5928" s="17">
        <v>20230101</v>
      </c>
      <c r="D5928" s="17">
        <v>22991231</v>
      </c>
      <c r="E5928" s="25">
        <v>0</v>
      </c>
    </row>
    <row r="5929" spans="1:5" x14ac:dyDescent="0.3">
      <c r="A5929" s="17" t="str">
        <f>"J0287"</f>
        <v>J0287</v>
      </c>
      <c r="B5929" s="5" t="s">
        <v>5935</v>
      </c>
      <c r="C5929" s="17">
        <v>20230101</v>
      </c>
      <c r="D5929" s="17">
        <v>22991231</v>
      </c>
      <c r="E5929" s="25">
        <v>10.63</v>
      </c>
    </row>
    <row r="5930" spans="1:5" ht="26" x14ac:dyDescent="0.3">
      <c r="A5930" s="17" t="str">
        <f>"J0288"</f>
        <v>J0288</v>
      </c>
      <c r="B5930" s="5" t="s">
        <v>5936</v>
      </c>
      <c r="C5930" s="17">
        <v>20230101</v>
      </c>
      <c r="D5930" s="17">
        <v>22991231</v>
      </c>
      <c r="E5930" s="25">
        <v>0</v>
      </c>
    </row>
    <row r="5931" spans="1:5" x14ac:dyDescent="0.3">
      <c r="A5931" s="17" t="str">
        <f>"J0289"</f>
        <v>J0289</v>
      </c>
      <c r="B5931" s="5" t="s">
        <v>5937</v>
      </c>
      <c r="C5931" s="17">
        <v>20230101</v>
      </c>
      <c r="D5931" s="17">
        <v>22991231</v>
      </c>
      <c r="E5931" s="25">
        <v>25.46</v>
      </c>
    </row>
    <row r="5932" spans="1:5" x14ac:dyDescent="0.3">
      <c r="A5932" s="17" t="str">
        <f>"J0290"</f>
        <v>J0290</v>
      </c>
      <c r="B5932" s="5" t="s">
        <v>5938</v>
      </c>
      <c r="C5932" s="17">
        <v>20230101</v>
      </c>
      <c r="D5932" s="17">
        <v>22991231</v>
      </c>
      <c r="E5932" s="25">
        <v>0</v>
      </c>
    </row>
    <row r="5933" spans="1:5" x14ac:dyDescent="0.3">
      <c r="A5933" s="17" t="str">
        <f>"J0291"</f>
        <v>J0291</v>
      </c>
      <c r="B5933" s="5" t="s">
        <v>5939</v>
      </c>
      <c r="C5933" s="17">
        <v>20230101</v>
      </c>
      <c r="D5933" s="17">
        <v>22991231</v>
      </c>
      <c r="E5933" s="25">
        <v>3.44</v>
      </c>
    </row>
    <row r="5934" spans="1:5" ht="26" x14ac:dyDescent="0.3">
      <c r="A5934" s="17" t="str">
        <f>"J0295"</f>
        <v>J0295</v>
      </c>
      <c r="B5934" s="5" t="s">
        <v>5940</v>
      </c>
      <c r="C5934" s="17">
        <v>20230101</v>
      </c>
      <c r="D5934" s="17">
        <v>22991231</v>
      </c>
      <c r="E5934" s="25">
        <v>0</v>
      </c>
    </row>
    <row r="5935" spans="1:5" x14ac:dyDescent="0.3">
      <c r="A5935" s="17" t="str">
        <f>"J0300"</f>
        <v>J0300</v>
      </c>
      <c r="B5935" s="5" t="s">
        <v>5941</v>
      </c>
      <c r="C5935" s="17">
        <v>20230101</v>
      </c>
      <c r="D5935" s="17">
        <v>22991231</v>
      </c>
      <c r="E5935" s="25">
        <v>109.12</v>
      </c>
    </row>
    <row r="5936" spans="1:5" x14ac:dyDescent="0.3">
      <c r="A5936" s="17" t="str">
        <f>"J0330"</f>
        <v>J0330</v>
      </c>
      <c r="B5936" s="5" t="s">
        <v>5942</v>
      </c>
      <c r="C5936" s="17">
        <v>20230101</v>
      </c>
      <c r="D5936" s="17">
        <v>22991231</v>
      </c>
      <c r="E5936" s="25">
        <v>0</v>
      </c>
    </row>
    <row r="5937" spans="1:5" x14ac:dyDescent="0.3">
      <c r="A5937" s="17" t="str">
        <f>"J0348"</f>
        <v>J0348</v>
      </c>
      <c r="B5937" s="5" t="s">
        <v>5943</v>
      </c>
      <c r="C5937" s="17">
        <v>20230101</v>
      </c>
      <c r="D5937" s="17">
        <v>22991231</v>
      </c>
      <c r="E5937" s="25">
        <v>0</v>
      </c>
    </row>
    <row r="5938" spans="1:5" x14ac:dyDescent="0.3">
      <c r="A5938" s="17" t="str">
        <f>"J0349"</f>
        <v>J0349</v>
      </c>
      <c r="B5938" s="5" t="s">
        <v>5944</v>
      </c>
      <c r="C5938" s="17">
        <v>20240101</v>
      </c>
      <c r="D5938" s="17">
        <v>22991231</v>
      </c>
      <c r="E5938" s="25">
        <v>9.59</v>
      </c>
    </row>
    <row r="5939" spans="1:5" x14ac:dyDescent="0.3">
      <c r="A5939" s="17" t="str">
        <f>"J0350"</f>
        <v>J0350</v>
      </c>
      <c r="B5939" s="5" t="s">
        <v>5945</v>
      </c>
      <c r="C5939" s="17">
        <v>20230101</v>
      </c>
      <c r="D5939" s="17">
        <v>22991231</v>
      </c>
      <c r="E5939" s="25">
        <v>0</v>
      </c>
    </row>
    <row r="5940" spans="1:5" x14ac:dyDescent="0.3">
      <c r="A5940" s="17" t="str">
        <f>"J0360"</f>
        <v>J0360</v>
      </c>
      <c r="B5940" s="5" t="s">
        <v>5946</v>
      </c>
      <c r="C5940" s="17">
        <v>20230101</v>
      </c>
      <c r="D5940" s="17">
        <v>22991231</v>
      </c>
      <c r="E5940" s="25">
        <v>0</v>
      </c>
    </row>
    <row r="5941" spans="1:5" x14ac:dyDescent="0.3">
      <c r="A5941" s="17" t="str">
        <f>"J0364"</f>
        <v>J0364</v>
      </c>
      <c r="B5941" s="5" t="s">
        <v>5947</v>
      </c>
      <c r="C5941" s="17">
        <v>20230101</v>
      </c>
      <c r="D5941" s="17">
        <v>22991231</v>
      </c>
      <c r="E5941" s="25">
        <v>0</v>
      </c>
    </row>
    <row r="5942" spans="1:5" x14ac:dyDescent="0.3">
      <c r="A5942" s="17" t="str">
        <f>"J0365"</f>
        <v>J0365</v>
      </c>
      <c r="B5942" s="5" t="s">
        <v>5948</v>
      </c>
      <c r="C5942" s="17">
        <v>20230101</v>
      </c>
      <c r="D5942" s="17">
        <v>22991231</v>
      </c>
      <c r="E5942" s="25">
        <v>0</v>
      </c>
    </row>
    <row r="5943" spans="1:5" x14ac:dyDescent="0.3">
      <c r="A5943" s="17" t="str">
        <f>"J0380"</f>
        <v>J0380</v>
      </c>
      <c r="B5943" s="5" t="s">
        <v>5949</v>
      </c>
      <c r="C5943" s="17">
        <v>20230101</v>
      </c>
      <c r="D5943" s="17">
        <v>22991231</v>
      </c>
      <c r="E5943" s="25">
        <v>0</v>
      </c>
    </row>
    <row r="5944" spans="1:5" ht="26" x14ac:dyDescent="0.3">
      <c r="A5944" s="17" t="str">
        <f>"J0390"</f>
        <v>J0390</v>
      </c>
      <c r="B5944" s="5" t="s">
        <v>5950</v>
      </c>
      <c r="C5944" s="17">
        <v>20230101</v>
      </c>
      <c r="D5944" s="17">
        <v>22991231</v>
      </c>
      <c r="E5944" s="25">
        <v>0</v>
      </c>
    </row>
    <row r="5945" spans="1:5" x14ac:dyDescent="0.3">
      <c r="A5945" s="17" t="str">
        <f>"J0391"</f>
        <v>J0391</v>
      </c>
      <c r="B5945" s="5" t="s">
        <v>5951</v>
      </c>
      <c r="C5945" s="17">
        <v>20240101</v>
      </c>
      <c r="D5945" s="17">
        <v>22991231</v>
      </c>
      <c r="E5945" s="25">
        <v>45.48</v>
      </c>
    </row>
    <row r="5946" spans="1:5" x14ac:dyDescent="0.3">
      <c r="A5946" s="17" t="str">
        <f>"J0395"</f>
        <v>J0395</v>
      </c>
      <c r="B5946" s="5" t="s">
        <v>5952</v>
      </c>
      <c r="C5946" s="17">
        <v>20230101</v>
      </c>
      <c r="D5946" s="17">
        <v>22991231</v>
      </c>
      <c r="E5946" s="25">
        <v>0</v>
      </c>
    </row>
    <row r="5947" spans="1:5" x14ac:dyDescent="0.3">
      <c r="A5947" s="17" t="str">
        <f>"J0400"</f>
        <v>J0400</v>
      </c>
      <c r="B5947" s="5" t="s">
        <v>5953</v>
      </c>
      <c r="C5947" s="17">
        <v>20230101</v>
      </c>
      <c r="D5947" s="17">
        <v>22991231</v>
      </c>
      <c r="E5947" s="25">
        <v>0</v>
      </c>
    </row>
    <row r="5948" spans="1:5" x14ac:dyDescent="0.3">
      <c r="A5948" s="17" t="str">
        <f>"J0401"</f>
        <v>J0401</v>
      </c>
      <c r="B5948" s="5" t="s">
        <v>5954</v>
      </c>
      <c r="C5948" s="17">
        <v>20230101</v>
      </c>
      <c r="D5948" s="17">
        <v>22991231</v>
      </c>
      <c r="E5948" s="25">
        <v>6.5</v>
      </c>
    </row>
    <row r="5949" spans="1:5" x14ac:dyDescent="0.3">
      <c r="A5949" s="17" t="str">
        <f>"J0402"</f>
        <v>J0402</v>
      </c>
      <c r="B5949" s="5" t="s">
        <v>5955</v>
      </c>
      <c r="C5949" s="17">
        <v>20240101</v>
      </c>
      <c r="D5949" s="17">
        <v>22991231</v>
      </c>
      <c r="E5949" s="25">
        <v>5.62</v>
      </c>
    </row>
    <row r="5950" spans="1:5" x14ac:dyDescent="0.3">
      <c r="A5950" s="17" t="str">
        <f>"J0456"</f>
        <v>J0456</v>
      </c>
      <c r="B5950" s="5" t="s">
        <v>5956</v>
      </c>
      <c r="C5950" s="17">
        <v>20230101</v>
      </c>
      <c r="D5950" s="17">
        <v>22991231</v>
      </c>
      <c r="E5950" s="25">
        <v>0</v>
      </c>
    </row>
    <row r="5951" spans="1:5" x14ac:dyDescent="0.3">
      <c r="A5951" s="17" t="str">
        <f>"J0457"</f>
        <v>J0457</v>
      </c>
      <c r="B5951" s="5" t="s">
        <v>5957</v>
      </c>
      <c r="C5951" s="17">
        <v>20240101</v>
      </c>
      <c r="D5951" s="17">
        <v>22991231</v>
      </c>
      <c r="E5951" s="25">
        <v>2.4300000000000002</v>
      </c>
    </row>
    <row r="5952" spans="1:5" x14ac:dyDescent="0.3">
      <c r="A5952" s="17" t="str">
        <f>"J0461"</f>
        <v>J0461</v>
      </c>
      <c r="B5952" s="5" t="s">
        <v>5958</v>
      </c>
      <c r="C5952" s="17">
        <v>20100101</v>
      </c>
      <c r="D5952" s="17">
        <v>22991231</v>
      </c>
      <c r="E5952" s="25">
        <v>0</v>
      </c>
    </row>
    <row r="5953" spans="1:5" x14ac:dyDescent="0.3">
      <c r="A5953" s="17" t="str">
        <f>"J0470"</f>
        <v>J0470</v>
      </c>
      <c r="B5953" s="5" t="s">
        <v>5959</v>
      </c>
      <c r="C5953" s="17">
        <v>20230101</v>
      </c>
      <c r="D5953" s="17">
        <v>22991231</v>
      </c>
      <c r="E5953" s="25">
        <v>57.13</v>
      </c>
    </row>
    <row r="5954" spans="1:5" x14ac:dyDescent="0.3">
      <c r="A5954" s="17" t="str">
        <f>"J0475"</f>
        <v>J0475</v>
      </c>
      <c r="B5954" s="5" t="s">
        <v>5960</v>
      </c>
      <c r="C5954" s="17">
        <v>20230101</v>
      </c>
      <c r="D5954" s="17">
        <v>22991231</v>
      </c>
      <c r="E5954" s="25">
        <v>169.83</v>
      </c>
    </row>
    <row r="5955" spans="1:5" x14ac:dyDescent="0.3">
      <c r="A5955" s="17" t="str">
        <f>"J0476"</f>
        <v>J0476</v>
      </c>
      <c r="B5955" s="5" t="s">
        <v>5961</v>
      </c>
      <c r="C5955" s="17">
        <v>20230101</v>
      </c>
      <c r="D5955" s="17">
        <v>22991231</v>
      </c>
      <c r="E5955" s="25">
        <v>0</v>
      </c>
    </row>
    <row r="5956" spans="1:5" x14ac:dyDescent="0.3">
      <c r="A5956" s="17" t="str">
        <f>"J0480"</f>
        <v>J0480</v>
      </c>
      <c r="B5956" s="5" t="s">
        <v>5962</v>
      </c>
      <c r="C5956" s="17">
        <v>20230101</v>
      </c>
      <c r="D5956" s="17">
        <v>22991231</v>
      </c>
      <c r="E5956" s="25">
        <v>4275.51</v>
      </c>
    </row>
    <row r="5957" spans="1:5" x14ac:dyDescent="0.3">
      <c r="A5957" s="17" t="str">
        <f>"J0485"</f>
        <v>J0485</v>
      </c>
      <c r="B5957" s="5" t="s">
        <v>5963</v>
      </c>
      <c r="C5957" s="17">
        <v>20230101</v>
      </c>
      <c r="D5957" s="17">
        <v>22991231</v>
      </c>
      <c r="E5957" s="25">
        <v>3.7</v>
      </c>
    </row>
    <row r="5958" spans="1:5" x14ac:dyDescent="0.3">
      <c r="A5958" s="17" t="str">
        <f>"J0490"</f>
        <v>J0490</v>
      </c>
      <c r="B5958" s="5" t="s">
        <v>5964</v>
      </c>
      <c r="C5958" s="17">
        <v>20230101</v>
      </c>
      <c r="D5958" s="17">
        <v>22991231</v>
      </c>
      <c r="E5958" s="25">
        <v>49.67</v>
      </c>
    </row>
    <row r="5959" spans="1:5" x14ac:dyDescent="0.3">
      <c r="A5959" s="17" t="str">
        <f>"J0491"</f>
        <v>J0491</v>
      </c>
      <c r="B5959" s="5" t="s">
        <v>5965</v>
      </c>
      <c r="C5959" s="17">
        <v>20230101</v>
      </c>
      <c r="D5959" s="17">
        <v>22991231</v>
      </c>
      <c r="E5959" s="25">
        <v>16.41</v>
      </c>
    </row>
    <row r="5960" spans="1:5" x14ac:dyDescent="0.3">
      <c r="A5960" s="17" t="str">
        <f>"J0500"</f>
        <v>J0500</v>
      </c>
      <c r="B5960" s="5" t="s">
        <v>5966</v>
      </c>
      <c r="C5960" s="17">
        <v>20230101</v>
      </c>
      <c r="D5960" s="17">
        <v>22991231</v>
      </c>
      <c r="E5960" s="25">
        <v>0</v>
      </c>
    </row>
    <row r="5961" spans="1:5" x14ac:dyDescent="0.3">
      <c r="A5961" s="17" t="str">
        <f>"J0515"</f>
        <v>J0515</v>
      </c>
      <c r="B5961" s="5" t="s">
        <v>5967</v>
      </c>
      <c r="C5961" s="17">
        <v>20230101</v>
      </c>
      <c r="D5961" s="17">
        <v>22991231</v>
      </c>
      <c r="E5961" s="25">
        <v>0</v>
      </c>
    </row>
    <row r="5962" spans="1:5" x14ac:dyDescent="0.3">
      <c r="A5962" s="17" t="str">
        <f>"J0517"</f>
        <v>J0517</v>
      </c>
      <c r="B5962" s="5" t="s">
        <v>5968</v>
      </c>
      <c r="C5962" s="17">
        <v>20230101</v>
      </c>
      <c r="D5962" s="17">
        <v>22991231</v>
      </c>
      <c r="E5962" s="25">
        <v>161.9</v>
      </c>
    </row>
    <row r="5963" spans="1:5" ht="26" x14ac:dyDescent="0.3">
      <c r="A5963" s="17" t="str">
        <f>"J0520"</f>
        <v>J0520</v>
      </c>
      <c r="B5963" s="5" t="s">
        <v>5969</v>
      </c>
      <c r="C5963" s="17">
        <v>20230101</v>
      </c>
      <c r="D5963" s="17">
        <v>22991231</v>
      </c>
      <c r="E5963" s="25">
        <v>0</v>
      </c>
    </row>
    <row r="5964" spans="1:5" ht="26" x14ac:dyDescent="0.3">
      <c r="A5964" s="17" t="str">
        <f>"J0558"</f>
        <v>J0558</v>
      </c>
      <c r="B5964" s="5" t="s">
        <v>5970</v>
      </c>
      <c r="C5964" s="17">
        <v>20230101</v>
      </c>
      <c r="D5964" s="17">
        <v>22991231</v>
      </c>
      <c r="E5964" s="25">
        <v>16.79</v>
      </c>
    </row>
    <row r="5965" spans="1:5" x14ac:dyDescent="0.3">
      <c r="A5965" s="17" t="str">
        <f>"J0561"</f>
        <v>J0561</v>
      </c>
      <c r="B5965" s="5" t="s">
        <v>5971</v>
      </c>
      <c r="C5965" s="17">
        <v>20230101</v>
      </c>
      <c r="D5965" s="17">
        <v>22991231</v>
      </c>
      <c r="E5965" s="25">
        <v>20.76</v>
      </c>
    </row>
    <row r="5966" spans="1:5" x14ac:dyDescent="0.3">
      <c r="A5966" s="17" t="str">
        <f>"J0565"</f>
        <v>J0565</v>
      </c>
      <c r="B5966" s="5" t="s">
        <v>5972</v>
      </c>
      <c r="C5966" s="17">
        <v>20230101</v>
      </c>
      <c r="D5966" s="17">
        <v>22991231</v>
      </c>
      <c r="E5966" s="25">
        <v>38.07</v>
      </c>
    </row>
    <row r="5967" spans="1:5" x14ac:dyDescent="0.3">
      <c r="A5967" s="17" t="str">
        <f>"J0567"</f>
        <v>J0567</v>
      </c>
      <c r="B5967" s="5" t="s">
        <v>5973</v>
      </c>
      <c r="C5967" s="17">
        <v>20230101</v>
      </c>
      <c r="D5967" s="17">
        <v>22991231</v>
      </c>
      <c r="E5967" s="25">
        <v>0</v>
      </c>
    </row>
    <row r="5968" spans="1:5" x14ac:dyDescent="0.3">
      <c r="A5968" s="17" t="str">
        <f>"J0570"</f>
        <v>J0570</v>
      </c>
      <c r="B5968" s="5" t="s">
        <v>5974</v>
      </c>
      <c r="C5968" s="17">
        <v>20230101</v>
      </c>
      <c r="D5968" s="17">
        <v>22991231</v>
      </c>
      <c r="E5968" s="25">
        <v>1252.92</v>
      </c>
    </row>
    <row r="5969" spans="1:5" ht="26" x14ac:dyDescent="0.3">
      <c r="A5969" s="17" t="str">
        <f>"J0576"</f>
        <v>J0576</v>
      </c>
      <c r="B5969" s="5" t="s">
        <v>5975</v>
      </c>
      <c r="C5969" s="17">
        <v>20240101</v>
      </c>
      <c r="D5969" s="17">
        <v>20240331</v>
      </c>
      <c r="E5969" s="25">
        <v>12.26</v>
      </c>
    </row>
    <row r="5970" spans="1:5" x14ac:dyDescent="0.3">
      <c r="A5970" s="17" t="str">
        <f>"J0583"</f>
        <v>J0583</v>
      </c>
      <c r="B5970" s="5" t="s">
        <v>5976</v>
      </c>
      <c r="C5970" s="17">
        <v>20230101</v>
      </c>
      <c r="D5970" s="17">
        <v>22991231</v>
      </c>
      <c r="E5970" s="25">
        <v>0</v>
      </c>
    </row>
    <row r="5971" spans="1:5" x14ac:dyDescent="0.3">
      <c r="A5971" s="17" t="str">
        <f>"J0584"</f>
        <v>J0584</v>
      </c>
      <c r="B5971" s="5" t="s">
        <v>5977</v>
      </c>
      <c r="C5971" s="17">
        <v>20230101</v>
      </c>
      <c r="D5971" s="17">
        <v>22991231</v>
      </c>
      <c r="E5971" s="25">
        <v>423.61</v>
      </c>
    </row>
    <row r="5972" spans="1:5" x14ac:dyDescent="0.3">
      <c r="A5972" s="17" t="str">
        <f>"J0585"</f>
        <v>J0585</v>
      </c>
      <c r="B5972" s="5" t="s">
        <v>5978</v>
      </c>
      <c r="C5972" s="17">
        <v>20230101</v>
      </c>
      <c r="D5972" s="17">
        <v>22991231</v>
      </c>
      <c r="E5972" s="25">
        <v>6.05</v>
      </c>
    </row>
    <row r="5973" spans="1:5" x14ac:dyDescent="0.3">
      <c r="A5973" s="17" t="str">
        <f>"J0586"</f>
        <v>J0586</v>
      </c>
      <c r="B5973" s="5" t="s">
        <v>5979</v>
      </c>
      <c r="C5973" s="17">
        <v>20151001</v>
      </c>
      <c r="D5973" s="17">
        <v>22991231</v>
      </c>
      <c r="E5973" s="25">
        <v>8.41</v>
      </c>
    </row>
    <row r="5974" spans="1:5" x14ac:dyDescent="0.3">
      <c r="A5974" s="17" t="str">
        <f>"J0587"</f>
        <v>J0587</v>
      </c>
      <c r="B5974" s="5" t="s">
        <v>5980</v>
      </c>
      <c r="C5974" s="17">
        <v>20230101</v>
      </c>
      <c r="D5974" s="17">
        <v>22991231</v>
      </c>
      <c r="E5974" s="25">
        <v>12.45</v>
      </c>
    </row>
    <row r="5975" spans="1:5" x14ac:dyDescent="0.3">
      <c r="A5975" s="17" t="str">
        <f>"J0588"</f>
        <v>J0588</v>
      </c>
      <c r="B5975" s="5" t="s">
        <v>5981</v>
      </c>
      <c r="C5975" s="17">
        <v>20230101</v>
      </c>
      <c r="D5975" s="17">
        <v>22991231</v>
      </c>
      <c r="E5975" s="25">
        <v>4.96</v>
      </c>
    </row>
    <row r="5976" spans="1:5" x14ac:dyDescent="0.3">
      <c r="A5976" s="17" t="str">
        <f>"J0592"</f>
        <v>J0592</v>
      </c>
      <c r="B5976" s="5" t="s">
        <v>5982</v>
      </c>
      <c r="C5976" s="17">
        <v>20230101</v>
      </c>
      <c r="D5976" s="17">
        <v>22991231</v>
      </c>
      <c r="E5976" s="25">
        <v>0</v>
      </c>
    </row>
    <row r="5977" spans="1:5" ht="52" x14ac:dyDescent="0.3">
      <c r="A5977" s="17" t="str">
        <f>"J0593"</f>
        <v>J0593</v>
      </c>
      <c r="B5977" s="5" t="s">
        <v>5983</v>
      </c>
      <c r="C5977" s="17">
        <v>20230101</v>
      </c>
      <c r="D5977" s="17">
        <v>22991231</v>
      </c>
      <c r="E5977" s="25">
        <v>0</v>
      </c>
    </row>
    <row r="5978" spans="1:5" x14ac:dyDescent="0.3">
      <c r="A5978" s="17" t="str">
        <f>"J0594"</f>
        <v>J0594</v>
      </c>
      <c r="B5978" s="5" t="s">
        <v>5984</v>
      </c>
      <c r="C5978" s="17">
        <v>20230101</v>
      </c>
      <c r="D5978" s="17">
        <v>22991231</v>
      </c>
      <c r="E5978" s="25">
        <v>1.35</v>
      </c>
    </row>
    <row r="5979" spans="1:5" x14ac:dyDescent="0.3">
      <c r="A5979" s="17" t="str">
        <f>"J0595"</f>
        <v>J0595</v>
      </c>
      <c r="B5979" s="5" t="s">
        <v>5985</v>
      </c>
      <c r="C5979" s="17">
        <v>20230101</v>
      </c>
      <c r="D5979" s="17">
        <v>22991231</v>
      </c>
      <c r="E5979" s="25">
        <v>0</v>
      </c>
    </row>
    <row r="5980" spans="1:5" ht="26" x14ac:dyDescent="0.3">
      <c r="A5980" s="17" t="str">
        <f>"J0596"</f>
        <v>J0596</v>
      </c>
      <c r="B5980" s="5" t="s">
        <v>5986</v>
      </c>
      <c r="C5980" s="17">
        <v>20230101</v>
      </c>
      <c r="D5980" s="17">
        <v>22991231</v>
      </c>
      <c r="E5980" s="25">
        <v>32.01</v>
      </c>
    </row>
    <row r="5981" spans="1:5" ht="26" x14ac:dyDescent="0.3">
      <c r="A5981" s="17" t="str">
        <f>"J0597"</f>
        <v>J0597</v>
      </c>
      <c r="B5981" s="5" t="s">
        <v>5987</v>
      </c>
      <c r="C5981" s="17">
        <v>20230101</v>
      </c>
      <c r="D5981" s="17">
        <v>22991231</v>
      </c>
      <c r="E5981" s="25">
        <v>61.47</v>
      </c>
    </row>
    <row r="5982" spans="1:5" ht="26" x14ac:dyDescent="0.3">
      <c r="A5982" s="17" t="str">
        <f>"J0598"</f>
        <v>J0598</v>
      </c>
      <c r="B5982" s="5" t="s">
        <v>5988</v>
      </c>
      <c r="C5982" s="17">
        <v>20230101</v>
      </c>
      <c r="D5982" s="17">
        <v>22991231</v>
      </c>
      <c r="E5982" s="25">
        <v>59.75</v>
      </c>
    </row>
    <row r="5983" spans="1:5" ht="26" x14ac:dyDescent="0.3">
      <c r="A5983" s="17" t="str">
        <f>"J0599"</f>
        <v>J0599</v>
      </c>
      <c r="B5983" s="5" t="s">
        <v>5989</v>
      </c>
      <c r="C5983" s="17">
        <v>20230101</v>
      </c>
      <c r="D5983" s="17">
        <v>22991231</v>
      </c>
      <c r="E5983" s="25">
        <v>0</v>
      </c>
    </row>
    <row r="5984" spans="1:5" ht="26" x14ac:dyDescent="0.3">
      <c r="A5984" s="17" t="str">
        <f>"J0600"</f>
        <v>J0600</v>
      </c>
      <c r="B5984" s="5" t="s">
        <v>5990</v>
      </c>
      <c r="C5984" s="17">
        <v>20230101</v>
      </c>
      <c r="D5984" s="17">
        <v>22991231</v>
      </c>
      <c r="E5984" s="25">
        <v>6163.11</v>
      </c>
    </row>
    <row r="5985" spans="1:5" x14ac:dyDescent="0.3">
      <c r="A5985" s="17" t="str">
        <f>"J0606"</f>
        <v>J0606</v>
      </c>
      <c r="B5985" s="5" t="s">
        <v>5991</v>
      </c>
      <c r="C5985" s="17">
        <v>20230101</v>
      </c>
      <c r="D5985" s="17">
        <v>22991231</v>
      </c>
      <c r="E5985" s="25">
        <v>2.4900000000000002</v>
      </c>
    </row>
    <row r="5986" spans="1:5" ht="26" x14ac:dyDescent="0.3">
      <c r="A5986" s="17" t="str">
        <f>"J0612"</f>
        <v>J0612</v>
      </c>
      <c r="B5986" s="5" t="s">
        <v>5992</v>
      </c>
      <c r="C5986" s="17">
        <v>20240101</v>
      </c>
      <c r="D5986" s="17">
        <v>22991231</v>
      </c>
      <c r="E5986" s="25">
        <v>0.05</v>
      </c>
    </row>
    <row r="5987" spans="1:5" ht="26" x14ac:dyDescent="0.3">
      <c r="A5987" s="17" t="str">
        <f>"J0613"</f>
        <v>J0613</v>
      </c>
      <c r="B5987" s="5" t="s">
        <v>5993</v>
      </c>
      <c r="C5987" s="17">
        <v>20240101</v>
      </c>
      <c r="D5987" s="17">
        <v>22991231</v>
      </c>
      <c r="E5987" s="25">
        <v>0.09</v>
      </c>
    </row>
    <row r="5988" spans="1:5" ht="26" x14ac:dyDescent="0.3">
      <c r="A5988" s="17" t="str">
        <f>"J0620"</f>
        <v>J0620</v>
      </c>
      <c r="B5988" s="5" t="s">
        <v>5994</v>
      </c>
      <c r="C5988" s="17">
        <v>20230101</v>
      </c>
      <c r="D5988" s="17">
        <v>22991231</v>
      </c>
      <c r="E5988" s="25">
        <v>0</v>
      </c>
    </row>
    <row r="5989" spans="1:5" x14ac:dyDescent="0.3">
      <c r="A5989" s="17" t="str">
        <f>"J0630"</f>
        <v>J0630</v>
      </c>
      <c r="B5989" s="5" t="s">
        <v>5995</v>
      </c>
      <c r="C5989" s="17">
        <v>20230101</v>
      </c>
      <c r="D5989" s="17">
        <v>22991231</v>
      </c>
      <c r="E5989" s="25">
        <v>1021.53</v>
      </c>
    </row>
    <row r="5990" spans="1:5" x14ac:dyDescent="0.3">
      <c r="A5990" s="17" t="str">
        <f>"J0636"</f>
        <v>J0636</v>
      </c>
      <c r="B5990" s="5" t="s">
        <v>5996</v>
      </c>
      <c r="C5990" s="17">
        <v>20230101</v>
      </c>
      <c r="D5990" s="17">
        <v>22991231</v>
      </c>
      <c r="E5990" s="25">
        <v>0</v>
      </c>
    </row>
    <row r="5991" spans="1:5" x14ac:dyDescent="0.3">
      <c r="A5991" s="17" t="str">
        <f>"J0637"</f>
        <v>J0637</v>
      </c>
      <c r="B5991" s="5" t="s">
        <v>5997</v>
      </c>
      <c r="C5991" s="17">
        <v>20230101</v>
      </c>
      <c r="D5991" s="17">
        <v>22991231</v>
      </c>
      <c r="E5991" s="25">
        <v>0</v>
      </c>
    </row>
    <row r="5992" spans="1:5" x14ac:dyDescent="0.3">
      <c r="A5992" s="17" t="str">
        <f>"J0638"</f>
        <v>J0638</v>
      </c>
      <c r="B5992" s="5" t="s">
        <v>5998</v>
      </c>
      <c r="C5992" s="17">
        <v>20230101</v>
      </c>
      <c r="D5992" s="17">
        <v>22991231</v>
      </c>
      <c r="E5992" s="25">
        <v>118.75</v>
      </c>
    </row>
    <row r="5993" spans="1:5" x14ac:dyDescent="0.3">
      <c r="A5993" s="17" t="str">
        <f>"J0640"</f>
        <v>J0640</v>
      </c>
      <c r="B5993" s="5" t="s">
        <v>5999</v>
      </c>
      <c r="C5993" s="17">
        <v>20230101</v>
      </c>
      <c r="D5993" s="17">
        <v>22991231</v>
      </c>
      <c r="E5993" s="25">
        <v>0</v>
      </c>
    </row>
    <row r="5994" spans="1:5" ht="26" x14ac:dyDescent="0.3">
      <c r="A5994" s="17" t="str">
        <f>"J0641"</f>
        <v>J0641</v>
      </c>
      <c r="B5994" s="5" t="s">
        <v>6000</v>
      </c>
      <c r="C5994" s="17">
        <v>20090101</v>
      </c>
      <c r="D5994" s="17">
        <v>22991231</v>
      </c>
      <c r="E5994" s="25">
        <v>7.0000000000000007E-2</v>
      </c>
    </row>
    <row r="5995" spans="1:5" x14ac:dyDescent="0.3">
      <c r="A5995" s="17" t="str">
        <f>"J0642"</f>
        <v>J0642</v>
      </c>
      <c r="B5995" s="5" t="s">
        <v>6001</v>
      </c>
      <c r="C5995" s="17">
        <v>20230101</v>
      </c>
      <c r="D5995" s="17">
        <v>22991231</v>
      </c>
      <c r="E5995" s="25">
        <v>1.46</v>
      </c>
    </row>
    <row r="5996" spans="1:5" ht="26" x14ac:dyDescent="0.3">
      <c r="A5996" s="17" t="str">
        <f>"J0665"</f>
        <v>J0665</v>
      </c>
      <c r="B5996" s="5" t="s">
        <v>6002</v>
      </c>
      <c r="C5996" s="17">
        <v>20240101</v>
      </c>
      <c r="D5996" s="17">
        <v>22991231</v>
      </c>
      <c r="E5996" s="25">
        <v>0.01</v>
      </c>
    </row>
    <row r="5997" spans="1:5" x14ac:dyDescent="0.3">
      <c r="A5997" s="17" t="str">
        <f>"J0670"</f>
        <v>J0670</v>
      </c>
      <c r="B5997" s="5" t="s">
        <v>6003</v>
      </c>
      <c r="C5997" s="17">
        <v>20230101</v>
      </c>
      <c r="D5997" s="17">
        <v>22991231</v>
      </c>
      <c r="E5997" s="25">
        <v>0</v>
      </c>
    </row>
    <row r="5998" spans="1:5" ht="26" x14ac:dyDescent="0.3">
      <c r="A5998" s="17" t="str">
        <f>"J0688"</f>
        <v>J0688</v>
      </c>
      <c r="B5998" s="5" t="s">
        <v>6004</v>
      </c>
      <c r="C5998" s="17">
        <v>20240101</v>
      </c>
      <c r="D5998" s="17">
        <v>22991231</v>
      </c>
      <c r="E5998" s="25">
        <v>0</v>
      </c>
    </row>
    <row r="5999" spans="1:5" ht="26" x14ac:dyDescent="0.3">
      <c r="A5999" s="17" t="str">
        <f>"J0689"</f>
        <v>J0689</v>
      </c>
      <c r="B5999" s="5" t="s">
        <v>6005</v>
      </c>
      <c r="C5999" s="17">
        <v>20240101</v>
      </c>
      <c r="D5999" s="17">
        <v>22991231</v>
      </c>
      <c r="E5999" s="25">
        <v>1.17</v>
      </c>
    </row>
    <row r="6000" spans="1:5" x14ac:dyDescent="0.3">
      <c r="A6000" s="17" t="str">
        <f>"J0690"</f>
        <v>J0690</v>
      </c>
      <c r="B6000" s="5" t="s">
        <v>6006</v>
      </c>
      <c r="C6000" s="17">
        <v>20230101</v>
      </c>
      <c r="D6000" s="17">
        <v>22991231</v>
      </c>
      <c r="E6000" s="25">
        <v>0</v>
      </c>
    </row>
    <row r="6001" spans="1:5" x14ac:dyDescent="0.3">
      <c r="A6001" s="17" t="str">
        <f>"J0691"</f>
        <v>J0691</v>
      </c>
      <c r="B6001" s="5" t="s">
        <v>6007</v>
      </c>
      <c r="C6001" s="17">
        <v>20230101</v>
      </c>
      <c r="D6001" s="17">
        <v>22991231</v>
      </c>
      <c r="E6001" s="25">
        <v>0.69</v>
      </c>
    </row>
    <row r="6002" spans="1:5" x14ac:dyDescent="0.3">
      <c r="A6002" s="17" t="str">
        <f>"J0692"</f>
        <v>J0692</v>
      </c>
      <c r="B6002" s="5" t="s">
        <v>6008</v>
      </c>
      <c r="C6002" s="17">
        <v>20230101</v>
      </c>
      <c r="D6002" s="17">
        <v>22991231</v>
      </c>
      <c r="E6002" s="25">
        <v>0</v>
      </c>
    </row>
    <row r="6003" spans="1:5" x14ac:dyDescent="0.3">
      <c r="A6003" s="17" t="str">
        <f>"J0694"</f>
        <v>J0694</v>
      </c>
      <c r="B6003" s="5" t="s">
        <v>6009</v>
      </c>
      <c r="C6003" s="17">
        <v>20230101</v>
      </c>
      <c r="D6003" s="17">
        <v>22991231</v>
      </c>
      <c r="E6003" s="25">
        <v>0</v>
      </c>
    </row>
    <row r="6004" spans="1:5" ht="26" x14ac:dyDescent="0.3">
      <c r="A6004" s="17" t="str">
        <f>"J0695"</f>
        <v>J0695</v>
      </c>
      <c r="B6004" s="5" t="s">
        <v>6010</v>
      </c>
      <c r="C6004" s="17">
        <v>20230101</v>
      </c>
      <c r="D6004" s="17">
        <v>22991231</v>
      </c>
      <c r="E6004" s="25">
        <v>7.04</v>
      </c>
    </row>
    <row r="6005" spans="1:5" x14ac:dyDescent="0.3">
      <c r="A6005" s="17" t="str">
        <f>"J0696"</f>
        <v>J0696</v>
      </c>
      <c r="B6005" s="5" t="s">
        <v>6011</v>
      </c>
      <c r="C6005" s="17">
        <v>20230101</v>
      </c>
      <c r="D6005" s="17">
        <v>22991231</v>
      </c>
      <c r="E6005" s="25">
        <v>0</v>
      </c>
    </row>
    <row r="6006" spans="1:5" x14ac:dyDescent="0.3">
      <c r="A6006" s="17" t="str">
        <f>"J0697"</f>
        <v>J0697</v>
      </c>
      <c r="B6006" s="5" t="s">
        <v>6012</v>
      </c>
      <c r="C6006" s="17">
        <v>20230101</v>
      </c>
      <c r="D6006" s="17">
        <v>22991231</v>
      </c>
      <c r="E6006" s="25">
        <v>0</v>
      </c>
    </row>
    <row r="6007" spans="1:5" x14ac:dyDescent="0.3">
      <c r="A6007" s="17" t="str">
        <f>"J0698"</f>
        <v>J0698</v>
      </c>
      <c r="B6007" s="5" t="s">
        <v>6013</v>
      </c>
      <c r="C6007" s="17">
        <v>20230101</v>
      </c>
      <c r="D6007" s="17">
        <v>22991231</v>
      </c>
      <c r="E6007" s="25">
        <v>0</v>
      </c>
    </row>
    <row r="6008" spans="1:5" x14ac:dyDescent="0.3">
      <c r="A6008" s="17" t="str">
        <f>"J0699"</f>
        <v>J0699</v>
      </c>
      <c r="B6008" s="5" t="s">
        <v>6014</v>
      </c>
      <c r="C6008" s="17">
        <v>20230101</v>
      </c>
      <c r="D6008" s="17">
        <v>22991231</v>
      </c>
      <c r="E6008" s="25">
        <v>2.0699999999999998</v>
      </c>
    </row>
    <row r="6009" spans="1:5" ht="26" x14ac:dyDescent="0.3">
      <c r="A6009" s="17" t="str">
        <f>"J0701"</f>
        <v>J0701</v>
      </c>
      <c r="B6009" s="5" t="s">
        <v>6015</v>
      </c>
      <c r="C6009" s="17">
        <v>20240101</v>
      </c>
      <c r="D6009" s="17">
        <v>22991231</v>
      </c>
      <c r="E6009" s="25">
        <v>5.39</v>
      </c>
    </row>
    <row r="6010" spans="1:5" ht="26" x14ac:dyDescent="0.3">
      <c r="A6010" s="17" t="str">
        <f>"J0702"</f>
        <v>J0702</v>
      </c>
      <c r="B6010" s="5" t="s">
        <v>6016</v>
      </c>
      <c r="C6010" s="17">
        <v>20230101</v>
      </c>
      <c r="D6010" s="17">
        <v>22991231</v>
      </c>
      <c r="E6010" s="25">
        <v>0</v>
      </c>
    </row>
    <row r="6011" spans="1:5" ht="26" x14ac:dyDescent="0.3">
      <c r="A6011" s="17" t="str">
        <f>"J0703"</f>
        <v>J0703</v>
      </c>
      <c r="B6011" s="5" t="s">
        <v>6017</v>
      </c>
      <c r="C6011" s="17">
        <v>20240101</v>
      </c>
      <c r="D6011" s="17">
        <v>22991231</v>
      </c>
      <c r="E6011" s="25">
        <v>5.03</v>
      </c>
    </row>
    <row r="6012" spans="1:5" x14ac:dyDescent="0.3">
      <c r="A6012" s="17" t="str">
        <f>"J0706"</f>
        <v>J0706</v>
      </c>
      <c r="B6012" s="5" t="s">
        <v>6018</v>
      </c>
      <c r="C6012" s="17">
        <v>20230101</v>
      </c>
      <c r="D6012" s="17">
        <v>22991231</v>
      </c>
      <c r="E6012" s="25">
        <v>0</v>
      </c>
    </row>
    <row r="6013" spans="1:5" x14ac:dyDescent="0.3">
      <c r="A6013" s="17" t="str">
        <f>"J0710"</f>
        <v>J0710</v>
      </c>
      <c r="B6013" s="5" t="s">
        <v>6019</v>
      </c>
      <c r="C6013" s="17">
        <v>20230101</v>
      </c>
      <c r="D6013" s="17">
        <v>22991231</v>
      </c>
      <c r="E6013" s="25">
        <v>0</v>
      </c>
    </row>
    <row r="6014" spans="1:5" x14ac:dyDescent="0.3">
      <c r="A6014" s="17" t="str">
        <f>"J0712"</f>
        <v>J0712</v>
      </c>
      <c r="B6014" s="5" t="s">
        <v>6020</v>
      </c>
      <c r="C6014" s="17">
        <v>20230101</v>
      </c>
      <c r="D6014" s="17">
        <v>22991231</v>
      </c>
      <c r="E6014" s="25">
        <v>3.67</v>
      </c>
    </row>
    <row r="6015" spans="1:5" x14ac:dyDescent="0.3">
      <c r="A6015" s="17" t="str">
        <f>"J0713"</f>
        <v>J0713</v>
      </c>
      <c r="B6015" s="5" t="s">
        <v>6021</v>
      </c>
      <c r="C6015" s="17">
        <v>20230101</v>
      </c>
      <c r="D6015" s="17">
        <v>22991231</v>
      </c>
      <c r="E6015" s="25">
        <v>0</v>
      </c>
    </row>
    <row r="6016" spans="1:5" ht="26" x14ac:dyDescent="0.3">
      <c r="A6016" s="17" t="str">
        <f>"J0714"</f>
        <v>J0714</v>
      </c>
      <c r="B6016" s="5" t="s">
        <v>6022</v>
      </c>
      <c r="C6016" s="17">
        <v>20230101</v>
      </c>
      <c r="D6016" s="17">
        <v>22991231</v>
      </c>
      <c r="E6016" s="25">
        <v>91.17</v>
      </c>
    </row>
    <row r="6017" spans="1:5" x14ac:dyDescent="0.3">
      <c r="A6017" s="17" t="str">
        <f>"J0715"</f>
        <v>J0715</v>
      </c>
      <c r="B6017" s="5" t="s">
        <v>6023</v>
      </c>
      <c r="C6017" s="17">
        <v>20230101</v>
      </c>
      <c r="D6017" s="17">
        <v>22991231</v>
      </c>
      <c r="E6017" s="25">
        <v>0</v>
      </c>
    </row>
    <row r="6018" spans="1:5" ht="26" x14ac:dyDescent="0.3">
      <c r="A6018" s="17" t="str">
        <f>"J0716"</f>
        <v>J0716</v>
      </c>
      <c r="B6018" s="5" t="s">
        <v>6024</v>
      </c>
      <c r="C6018" s="17">
        <v>20230101</v>
      </c>
      <c r="D6018" s="17">
        <v>22991231</v>
      </c>
      <c r="E6018" s="25">
        <v>4649.6499999999996</v>
      </c>
    </row>
    <row r="6019" spans="1:5" ht="52" x14ac:dyDescent="0.3">
      <c r="A6019" s="17" t="str">
        <f>"J0717"</f>
        <v>J0717</v>
      </c>
      <c r="B6019" s="5" t="s">
        <v>6025</v>
      </c>
      <c r="C6019" s="17">
        <v>20230101</v>
      </c>
      <c r="D6019" s="17">
        <v>22991231</v>
      </c>
      <c r="E6019" s="25">
        <v>4.5999999999999996</v>
      </c>
    </row>
    <row r="6020" spans="1:5" ht="26" x14ac:dyDescent="0.3">
      <c r="A6020" s="17" t="str">
        <f>"J0720"</f>
        <v>J0720</v>
      </c>
      <c r="B6020" s="5" t="s">
        <v>6026</v>
      </c>
      <c r="C6020" s="17">
        <v>20230101</v>
      </c>
      <c r="D6020" s="17">
        <v>22991231</v>
      </c>
      <c r="E6020" s="25">
        <v>0</v>
      </c>
    </row>
    <row r="6021" spans="1:5" ht="26" x14ac:dyDescent="0.3">
      <c r="A6021" s="17" t="str">
        <f>"J0725"</f>
        <v>J0725</v>
      </c>
      <c r="B6021" s="5" t="s">
        <v>6027</v>
      </c>
      <c r="C6021" s="17">
        <v>20230101</v>
      </c>
      <c r="D6021" s="17">
        <v>22991231</v>
      </c>
      <c r="E6021" s="25">
        <v>0</v>
      </c>
    </row>
    <row r="6022" spans="1:5" x14ac:dyDescent="0.3">
      <c r="A6022" s="17" t="str">
        <f>"J0735"</f>
        <v>J0735</v>
      </c>
      <c r="B6022" s="5" t="s">
        <v>6028</v>
      </c>
      <c r="C6022" s="17">
        <v>20230101</v>
      </c>
      <c r="D6022" s="17">
        <v>22991231</v>
      </c>
      <c r="E6022" s="25">
        <v>0</v>
      </c>
    </row>
    <row r="6023" spans="1:5" x14ac:dyDescent="0.3">
      <c r="A6023" s="17" t="str">
        <f>"J0736"</f>
        <v>J0736</v>
      </c>
      <c r="B6023" s="5" t="s">
        <v>6029</v>
      </c>
      <c r="C6023" s="17">
        <v>20240101</v>
      </c>
      <c r="D6023" s="17">
        <v>22991231</v>
      </c>
      <c r="E6023" s="25">
        <v>1.81</v>
      </c>
    </row>
    <row r="6024" spans="1:5" ht="26" x14ac:dyDescent="0.3">
      <c r="A6024" s="17" t="str">
        <f>"J0737"</f>
        <v>J0737</v>
      </c>
      <c r="B6024" s="5" t="s">
        <v>6030</v>
      </c>
      <c r="C6024" s="17">
        <v>20240101</v>
      </c>
      <c r="D6024" s="17">
        <v>22991231</v>
      </c>
      <c r="E6024" s="25">
        <v>1.67</v>
      </c>
    </row>
    <row r="6025" spans="1:5" x14ac:dyDescent="0.3">
      <c r="A6025" s="17" t="str">
        <f>"J0740"</f>
        <v>J0740</v>
      </c>
      <c r="B6025" s="5" t="s">
        <v>6031</v>
      </c>
      <c r="C6025" s="17">
        <v>20230101</v>
      </c>
      <c r="D6025" s="17">
        <v>22991231</v>
      </c>
      <c r="E6025" s="25">
        <v>529.33000000000004</v>
      </c>
    </row>
    <row r="6026" spans="1:5" x14ac:dyDescent="0.3">
      <c r="A6026" s="17" t="str">
        <f>"J0741"</f>
        <v>J0741</v>
      </c>
      <c r="B6026" s="5" t="s">
        <v>6032</v>
      </c>
      <c r="C6026" s="17">
        <v>20230101</v>
      </c>
      <c r="D6026" s="17">
        <v>22991231</v>
      </c>
      <c r="E6026" s="25">
        <v>21.59</v>
      </c>
    </row>
    <row r="6027" spans="1:5" ht="26" x14ac:dyDescent="0.3">
      <c r="A6027" s="17" t="str">
        <f>"J0742"</f>
        <v>J0742</v>
      </c>
      <c r="B6027" s="5" t="s">
        <v>6033</v>
      </c>
      <c r="C6027" s="17">
        <v>20230101</v>
      </c>
      <c r="D6027" s="17">
        <v>22991231</v>
      </c>
      <c r="E6027" s="25">
        <v>2.35</v>
      </c>
    </row>
    <row r="6028" spans="1:5" ht="26" x14ac:dyDescent="0.3">
      <c r="A6028" s="17" t="str">
        <f>"J0743"</f>
        <v>J0743</v>
      </c>
      <c r="B6028" s="5" t="s">
        <v>6034</v>
      </c>
      <c r="C6028" s="17">
        <v>20230101</v>
      </c>
      <c r="D6028" s="17">
        <v>22991231</v>
      </c>
      <c r="E6028" s="25">
        <v>0</v>
      </c>
    </row>
    <row r="6029" spans="1:5" ht="26" x14ac:dyDescent="0.3">
      <c r="A6029" s="17" t="str">
        <f>"J0744"</f>
        <v>J0744</v>
      </c>
      <c r="B6029" s="5" t="s">
        <v>6035</v>
      </c>
      <c r="C6029" s="17">
        <v>20230101</v>
      </c>
      <c r="D6029" s="17">
        <v>22991231</v>
      </c>
      <c r="E6029" s="25">
        <v>0</v>
      </c>
    </row>
    <row r="6030" spans="1:5" x14ac:dyDescent="0.3">
      <c r="A6030" s="17" t="str">
        <f>"J0745"</f>
        <v>J0745</v>
      </c>
      <c r="B6030" s="5" t="s">
        <v>6036</v>
      </c>
      <c r="C6030" s="17">
        <v>20230101</v>
      </c>
      <c r="D6030" s="17">
        <v>22991231</v>
      </c>
      <c r="E6030" s="25">
        <v>0</v>
      </c>
    </row>
    <row r="6031" spans="1:5" x14ac:dyDescent="0.3">
      <c r="A6031" s="17" t="str">
        <f>"J0770"</f>
        <v>J0770</v>
      </c>
      <c r="B6031" s="5" t="s">
        <v>6037</v>
      </c>
      <c r="C6031" s="17">
        <v>20230101</v>
      </c>
      <c r="D6031" s="17">
        <v>22991231</v>
      </c>
      <c r="E6031" s="25">
        <v>0</v>
      </c>
    </row>
    <row r="6032" spans="1:5" ht="26" x14ac:dyDescent="0.3">
      <c r="A6032" s="17" t="str">
        <f>"J0775"</f>
        <v>J0775</v>
      </c>
      <c r="B6032" s="5" t="s">
        <v>6038</v>
      </c>
      <c r="C6032" s="17">
        <v>20230101</v>
      </c>
      <c r="D6032" s="17">
        <v>22991231</v>
      </c>
      <c r="E6032" s="25">
        <v>63.3</v>
      </c>
    </row>
    <row r="6033" spans="1:5" x14ac:dyDescent="0.3">
      <c r="A6033" s="17" t="str">
        <f>"J0780"</f>
        <v>J0780</v>
      </c>
      <c r="B6033" s="5" t="s">
        <v>6039</v>
      </c>
      <c r="C6033" s="17">
        <v>20230101</v>
      </c>
      <c r="D6033" s="17">
        <v>22991231</v>
      </c>
      <c r="E6033" s="25">
        <v>0</v>
      </c>
    </row>
    <row r="6034" spans="1:5" x14ac:dyDescent="0.3">
      <c r="A6034" s="17" t="str">
        <f>"J0791"</f>
        <v>J0791</v>
      </c>
      <c r="B6034" s="5" t="s">
        <v>6040</v>
      </c>
      <c r="C6034" s="17">
        <v>20230101</v>
      </c>
      <c r="D6034" s="17">
        <v>22991231</v>
      </c>
      <c r="E6034" s="25">
        <v>121.4</v>
      </c>
    </row>
    <row r="6035" spans="1:5" ht="26" x14ac:dyDescent="0.3">
      <c r="A6035" s="17" t="str">
        <f>"J0795"</f>
        <v>J0795</v>
      </c>
      <c r="B6035" s="5" t="s">
        <v>6041</v>
      </c>
      <c r="C6035" s="17">
        <v>20230101</v>
      </c>
      <c r="D6035" s="17">
        <v>22991231</v>
      </c>
      <c r="E6035" s="25">
        <v>0</v>
      </c>
    </row>
    <row r="6036" spans="1:5" ht="26" x14ac:dyDescent="0.3">
      <c r="A6036" s="17" t="str">
        <f>"J0801"</f>
        <v>J0801</v>
      </c>
      <c r="B6036" s="5" t="s">
        <v>6042</v>
      </c>
      <c r="C6036" s="17">
        <v>20240101</v>
      </c>
      <c r="D6036" s="17">
        <v>22991231</v>
      </c>
      <c r="E6036" s="25">
        <v>3911.64</v>
      </c>
    </row>
    <row r="6037" spans="1:5" x14ac:dyDescent="0.3">
      <c r="A6037" s="17" t="str">
        <f>"J0802"</f>
        <v>J0802</v>
      </c>
      <c r="B6037" s="5" t="s">
        <v>6043</v>
      </c>
      <c r="C6037" s="17">
        <v>20240101</v>
      </c>
      <c r="D6037" s="17">
        <v>22991231</v>
      </c>
      <c r="E6037" s="25">
        <v>3198.79</v>
      </c>
    </row>
    <row r="6038" spans="1:5" x14ac:dyDescent="0.3">
      <c r="A6038" s="17" t="str">
        <f>"J0834"</f>
        <v>J0834</v>
      </c>
      <c r="B6038" s="5" t="s">
        <v>6044</v>
      </c>
      <c r="C6038" s="17">
        <v>20230101</v>
      </c>
      <c r="D6038" s="17">
        <v>22991231</v>
      </c>
      <c r="E6038" s="25">
        <v>0</v>
      </c>
    </row>
    <row r="6039" spans="1:5" ht="26" x14ac:dyDescent="0.3">
      <c r="A6039" s="17" t="str">
        <f>"J0840"</f>
        <v>J0840</v>
      </c>
      <c r="B6039" s="5" t="s">
        <v>6045</v>
      </c>
      <c r="C6039" s="17">
        <v>20230101</v>
      </c>
      <c r="D6039" s="17">
        <v>22991231</v>
      </c>
      <c r="E6039" s="25">
        <v>1862.47</v>
      </c>
    </row>
    <row r="6040" spans="1:5" ht="26" x14ac:dyDescent="0.3">
      <c r="A6040" s="17" t="str">
        <f>"J0841"</f>
        <v>J0841</v>
      </c>
      <c r="B6040" s="5" t="s">
        <v>6046</v>
      </c>
      <c r="C6040" s="17">
        <v>20230101</v>
      </c>
      <c r="D6040" s="17">
        <v>22991231</v>
      </c>
      <c r="E6040" s="25">
        <v>871.17</v>
      </c>
    </row>
    <row r="6041" spans="1:5" ht="26" x14ac:dyDescent="0.3">
      <c r="A6041" s="17" t="str">
        <f>"J0850"</f>
        <v>J0850</v>
      </c>
      <c r="B6041" s="5" t="s">
        <v>6047</v>
      </c>
      <c r="C6041" s="17">
        <v>20230101</v>
      </c>
      <c r="D6041" s="17">
        <v>22991231</v>
      </c>
      <c r="E6041" s="25">
        <v>1726.79</v>
      </c>
    </row>
    <row r="6042" spans="1:5" ht="39" x14ac:dyDescent="0.3">
      <c r="A6042" s="17" t="str">
        <f>"J0873"</f>
        <v>J0873</v>
      </c>
      <c r="B6042" s="5" t="s">
        <v>6048</v>
      </c>
      <c r="C6042" s="17">
        <v>20240101</v>
      </c>
      <c r="D6042" s="17">
        <v>22991231</v>
      </c>
      <c r="E6042" s="25">
        <v>0</v>
      </c>
    </row>
    <row r="6043" spans="1:5" ht="26" x14ac:dyDescent="0.3">
      <c r="A6043" s="17" t="str">
        <f>"J0874"</f>
        <v>J0874</v>
      </c>
      <c r="B6043" s="5" t="s">
        <v>6049</v>
      </c>
      <c r="C6043" s="17">
        <v>20240101</v>
      </c>
      <c r="D6043" s="17">
        <v>22991231</v>
      </c>
      <c r="E6043" s="25">
        <v>0</v>
      </c>
    </row>
    <row r="6044" spans="1:5" x14ac:dyDescent="0.3">
      <c r="A6044" s="17" t="str">
        <f>"J0875"</f>
        <v>J0875</v>
      </c>
      <c r="B6044" s="5" t="s">
        <v>6050</v>
      </c>
      <c r="C6044" s="17">
        <v>20230101</v>
      </c>
      <c r="D6044" s="17">
        <v>22991231</v>
      </c>
      <c r="E6044" s="25">
        <v>14.6</v>
      </c>
    </row>
    <row r="6045" spans="1:5" ht="26" x14ac:dyDescent="0.3">
      <c r="A6045" s="17" t="str">
        <f>"J0877"</f>
        <v>J0877</v>
      </c>
      <c r="B6045" s="5" t="s">
        <v>6051</v>
      </c>
      <c r="C6045" s="17">
        <v>20240101</v>
      </c>
      <c r="D6045" s="17">
        <v>22991231</v>
      </c>
      <c r="E6045" s="25">
        <v>7.0000000000000007E-2</v>
      </c>
    </row>
    <row r="6046" spans="1:5" x14ac:dyDescent="0.3">
      <c r="A6046" s="17" t="str">
        <f>"J0878"</f>
        <v>J0878</v>
      </c>
      <c r="B6046" s="5" t="s">
        <v>6052</v>
      </c>
      <c r="C6046" s="17">
        <v>20050101</v>
      </c>
      <c r="D6046" s="17">
        <v>22991231</v>
      </c>
      <c r="E6046" s="25">
        <v>0</v>
      </c>
    </row>
    <row r="6047" spans="1:5" ht="26" x14ac:dyDescent="0.3">
      <c r="A6047" s="17" t="str">
        <f>"J0879"</f>
        <v>J0879</v>
      </c>
      <c r="B6047" s="5" t="s">
        <v>6053</v>
      </c>
      <c r="C6047" s="17">
        <v>20230101</v>
      </c>
      <c r="D6047" s="17">
        <v>22991231</v>
      </c>
      <c r="E6047" s="25">
        <v>0</v>
      </c>
    </row>
    <row r="6048" spans="1:5" ht="26" x14ac:dyDescent="0.3">
      <c r="A6048" s="17" t="str">
        <f>"J0881"</f>
        <v>J0881</v>
      </c>
      <c r="B6048" s="5" t="s">
        <v>6054</v>
      </c>
      <c r="C6048" s="17">
        <v>20060101</v>
      </c>
      <c r="D6048" s="17">
        <v>22991231</v>
      </c>
      <c r="E6048" s="25">
        <v>2.8</v>
      </c>
    </row>
    <row r="6049" spans="1:5" ht="26" x14ac:dyDescent="0.3">
      <c r="A6049" s="17" t="str">
        <f>"J0882"</f>
        <v>J0882</v>
      </c>
      <c r="B6049" s="5" t="s">
        <v>6055</v>
      </c>
      <c r="C6049" s="17">
        <v>20060101</v>
      </c>
      <c r="D6049" s="17">
        <v>22991231</v>
      </c>
      <c r="E6049" s="25">
        <v>2.8</v>
      </c>
    </row>
    <row r="6050" spans="1:5" x14ac:dyDescent="0.3">
      <c r="A6050" s="17" t="str">
        <f>"J0883"</f>
        <v>J0883</v>
      </c>
      <c r="B6050" s="5" t="s">
        <v>6056</v>
      </c>
      <c r="C6050" s="17">
        <v>20230101</v>
      </c>
      <c r="D6050" s="17">
        <v>22991231</v>
      </c>
      <c r="E6050" s="25">
        <v>1.17</v>
      </c>
    </row>
    <row r="6051" spans="1:5" x14ac:dyDescent="0.3">
      <c r="A6051" s="17" t="str">
        <f>"J0884"</f>
        <v>J0884</v>
      </c>
      <c r="B6051" s="5" t="s">
        <v>6057</v>
      </c>
      <c r="C6051" s="17">
        <v>20230101</v>
      </c>
      <c r="D6051" s="17">
        <v>22991231</v>
      </c>
      <c r="E6051" s="25">
        <v>1.17</v>
      </c>
    </row>
    <row r="6052" spans="1:5" ht="26" x14ac:dyDescent="0.3">
      <c r="A6052" s="17" t="str">
        <f>"J0885"</f>
        <v>J0885</v>
      </c>
      <c r="B6052" s="5" t="s">
        <v>6058</v>
      </c>
      <c r="C6052" s="17">
        <v>20060101</v>
      </c>
      <c r="D6052" s="17">
        <v>22991231</v>
      </c>
      <c r="E6052" s="25">
        <v>8.49</v>
      </c>
    </row>
    <row r="6053" spans="1:5" ht="26" x14ac:dyDescent="0.3">
      <c r="A6053" s="17" t="str">
        <f>"J0887"</f>
        <v>J0887</v>
      </c>
      <c r="B6053" s="5" t="s">
        <v>6059</v>
      </c>
      <c r="C6053" s="17">
        <v>20230101</v>
      </c>
      <c r="D6053" s="17">
        <v>22991231</v>
      </c>
      <c r="E6053" s="25">
        <v>1.55</v>
      </c>
    </row>
    <row r="6054" spans="1:5" ht="26" x14ac:dyDescent="0.3">
      <c r="A6054" s="17" t="str">
        <f>"J0888"</f>
        <v>J0888</v>
      </c>
      <c r="B6054" s="5" t="s">
        <v>6060</v>
      </c>
      <c r="C6054" s="17">
        <v>20230101</v>
      </c>
      <c r="D6054" s="17">
        <v>22991231</v>
      </c>
      <c r="E6054" s="25">
        <v>1.55</v>
      </c>
    </row>
    <row r="6055" spans="1:5" x14ac:dyDescent="0.3">
      <c r="A6055" s="17" t="str">
        <f>"J0889"</f>
        <v>J0889</v>
      </c>
      <c r="B6055" s="5" t="s">
        <v>6061</v>
      </c>
      <c r="C6055" s="17">
        <v>20240101</v>
      </c>
      <c r="D6055" s="17">
        <v>22991231</v>
      </c>
      <c r="E6055" s="25">
        <v>0</v>
      </c>
    </row>
    <row r="6056" spans="1:5" ht="39" x14ac:dyDescent="0.3">
      <c r="A6056" s="17" t="str">
        <f>"J0891"</f>
        <v>J0891</v>
      </c>
      <c r="B6056" s="5" t="s">
        <v>6062</v>
      </c>
      <c r="C6056" s="17">
        <v>20230101</v>
      </c>
      <c r="D6056" s="17">
        <v>22991231</v>
      </c>
      <c r="E6056" s="25">
        <v>1.74</v>
      </c>
    </row>
    <row r="6057" spans="1:5" ht="39" x14ac:dyDescent="0.3">
      <c r="A6057" s="17" t="str">
        <f>"J0892"</f>
        <v>J0892</v>
      </c>
      <c r="B6057" s="5" t="s">
        <v>6063</v>
      </c>
      <c r="C6057" s="17">
        <v>20230101</v>
      </c>
      <c r="D6057" s="17">
        <v>22991231</v>
      </c>
      <c r="E6057" s="25">
        <v>1.74</v>
      </c>
    </row>
    <row r="6058" spans="1:5" ht="26" x14ac:dyDescent="0.3">
      <c r="A6058" s="17" t="str">
        <f>"J0893"</f>
        <v>J0893</v>
      </c>
      <c r="B6058" s="5" t="s">
        <v>6064</v>
      </c>
      <c r="C6058" s="17">
        <v>20240101</v>
      </c>
      <c r="D6058" s="17">
        <v>22991231</v>
      </c>
      <c r="E6058" s="25">
        <v>0.75</v>
      </c>
    </row>
    <row r="6059" spans="1:5" x14ac:dyDescent="0.3">
      <c r="A6059" s="17" t="str">
        <f>"J0894"</f>
        <v>J0894</v>
      </c>
      <c r="B6059" s="5" t="s">
        <v>6065</v>
      </c>
      <c r="C6059" s="17">
        <v>20230101</v>
      </c>
      <c r="D6059" s="17">
        <v>22991231</v>
      </c>
      <c r="E6059" s="25">
        <v>0</v>
      </c>
    </row>
    <row r="6060" spans="1:5" x14ac:dyDescent="0.3">
      <c r="A6060" s="17" t="str">
        <f>"J0895"</f>
        <v>J0895</v>
      </c>
      <c r="B6060" s="5" t="s">
        <v>6066</v>
      </c>
      <c r="C6060" s="17">
        <v>20230101</v>
      </c>
      <c r="D6060" s="17">
        <v>22991231</v>
      </c>
      <c r="E6060" s="25">
        <v>0</v>
      </c>
    </row>
    <row r="6061" spans="1:5" x14ac:dyDescent="0.3">
      <c r="A6061" s="17" t="str">
        <f>"J0896"</f>
        <v>J0896</v>
      </c>
      <c r="B6061" s="5" t="s">
        <v>6067</v>
      </c>
      <c r="C6061" s="17">
        <v>20230101</v>
      </c>
      <c r="D6061" s="17">
        <v>22991231</v>
      </c>
      <c r="E6061" s="25">
        <v>38.18</v>
      </c>
    </row>
    <row r="6062" spans="1:5" x14ac:dyDescent="0.3">
      <c r="A6062" s="17" t="str">
        <f>"J0897"</f>
        <v>J0897</v>
      </c>
      <c r="B6062" s="5" t="s">
        <v>6068</v>
      </c>
      <c r="C6062" s="17">
        <v>20230101</v>
      </c>
      <c r="D6062" s="17">
        <v>22991231</v>
      </c>
      <c r="E6062" s="25">
        <v>24.07</v>
      </c>
    </row>
    <row r="6063" spans="1:5" ht="39" x14ac:dyDescent="0.3">
      <c r="A6063" s="17" t="str">
        <f>"J0898"</f>
        <v>J0898</v>
      </c>
      <c r="B6063" s="5" t="s">
        <v>6069</v>
      </c>
      <c r="C6063" s="17">
        <v>20230101</v>
      </c>
      <c r="D6063" s="17">
        <v>22991231</v>
      </c>
      <c r="E6063" s="25">
        <v>3.94</v>
      </c>
    </row>
    <row r="6064" spans="1:5" ht="39" x14ac:dyDescent="0.3">
      <c r="A6064" s="17" t="str">
        <f>"J0899"</f>
        <v>J0899</v>
      </c>
      <c r="B6064" s="5" t="s">
        <v>6070</v>
      </c>
      <c r="C6064" s="17">
        <v>20230101</v>
      </c>
      <c r="D6064" s="17">
        <v>22991231</v>
      </c>
      <c r="E6064" s="25">
        <v>3.94</v>
      </c>
    </row>
    <row r="6065" spans="1:5" x14ac:dyDescent="0.3">
      <c r="A6065" s="17" t="str">
        <f>"J0945"</f>
        <v>J0945</v>
      </c>
      <c r="B6065" s="5" t="s">
        <v>6071</v>
      </c>
      <c r="C6065" s="17">
        <v>20230101</v>
      </c>
      <c r="D6065" s="17">
        <v>22991231</v>
      </c>
      <c r="E6065" s="25">
        <v>0</v>
      </c>
    </row>
    <row r="6066" spans="1:5" x14ac:dyDescent="0.3">
      <c r="A6066" s="17" t="str">
        <f>"J1000"</f>
        <v>J1000</v>
      </c>
      <c r="B6066" s="5" t="s">
        <v>6072</v>
      </c>
      <c r="C6066" s="17">
        <v>20230101</v>
      </c>
      <c r="D6066" s="17">
        <v>22991231</v>
      </c>
      <c r="E6066" s="25">
        <v>0</v>
      </c>
    </row>
    <row r="6067" spans="1:5" ht="26" x14ac:dyDescent="0.3">
      <c r="A6067" s="17" t="str">
        <f>"J1020"</f>
        <v>J1020</v>
      </c>
      <c r="B6067" s="5" t="s">
        <v>6073</v>
      </c>
      <c r="C6067" s="17">
        <v>20230101</v>
      </c>
      <c r="D6067" s="17">
        <v>20240331</v>
      </c>
      <c r="E6067" s="25">
        <v>0</v>
      </c>
    </row>
    <row r="6068" spans="1:5" ht="26" x14ac:dyDescent="0.3">
      <c r="A6068" s="17" t="str">
        <f>"J1030"</f>
        <v>J1030</v>
      </c>
      <c r="B6068" s="5" t="s">
        <v>6074</v>
      </c>
      <c r="C6068" s="17">
        <v>20230101</v>
      </c>
      <c r="D6068" s="17">
        <v>20240331</v>
      </c>
      <c r="E6068" s="25">
        <v>0</v>
      </c>
    </row>
    <row r="6069" spans="1:5" ht="26" x14ac:dyDescent="0.3">
      <c r="A6069" s="17" t="str">
        <f>"J1040"</f>
        <v>J1040</v>
      </c>
      <c r="B6069" s="5" t="s">
        <v>6075</v>
      </c>
      <c r="C6069" s="17">
        <v>20230101</v>
      </c>
      <c r="D6069" s="17">
        <v>20240331</v>
      </c>
      <c r="E6069" s="25">
        <v>0</v>
      </c>
    </row>
    <row r="6070" spans="1:5" x14ac:dyDescent="0.3">
      <c r="A6070" s="17" t="str">
        <f>"J1050"</f>
        <v>J1050</v>
      </c>
      <c r="B6070" s="5" t="s">
        <v>6076</v>
      </c>
      <c r="C6070" s="17">
        <v>20230101</v>
      </c>
      <c r="D6070" s="17">
        <v>22991231</v>
      </c>
      <c r="E6070" s="25">
        <v>0</v>
      </c>
    </row>
    <row r="6071" spans="1:5" x14ac:dyDescent="0.3">
      <c r="A6071" s="17" t="str">
        <f>"J1071"</f>
        <v>J1071</v>
      </c>
      <c r="B6071" s="5" t="s">
        <v>6077</v>
      </c>
      <c r="C6071" s="17">
        <v>20230101</v>
      </c>
      <c r="D6071" s="17">
        <v>22991231</v>
      </c>
      <c r="E6071" s="25">
        <v>0</v>
      </c>
    </row>
    <row r="6072" spans="1:5" x14ac:dyDescent="0.3">
      <c r="A6072" s="17" t="str">
        <f>"J1094"</f>
        <v>J1094</v>
      </c>
      <c r="B6072" s="5" t="s">
        <v>6078</v>
      </c>
      <c r="C6072" s="17">
        <v>20230101</v>
      </c>
      <c r="D6072" s="17">
        <v>22991231</v>
      </c>
      <c r="E6072" s="25">
        <v>0</v>
      </c>
    </row>
    <row r="6073" spans="1:5" ht="26" x14ac:dyDescent="0.3">
      <c r="A6073" s="17" t="str">
        <f>"J1095"</f>
        <v>J1095</v>
      </c>
      <c r="B6073" s="5" t="s">
        <v>6079</v>
      </c>
      <c r="C6073" s="17">
        <v>20230101</v>
      </c>
      <c r="D6073" s="17">
        <v>22991231</v>
      </c>
      <c r="E6073" s="25">
        <v>0</v>
      </c>
    </row>
    <row r="6074" spans="1:5" ht="26" x14ac:dyDescent="0.3">
      <c r="A6074" s="17" t="str">
        <f>"J1096"</f>
        <v>J1096</v>
      </c>
      <c r="B6074" s="5" t="s">
        <v>6080</v>
      </c>
      <c r="C6074" s="17">
        <v>20230101</v>
      </c>
      <c r="D6074" s="17">
        <v>22991231</v>
      </c>
      <c r="E6074" s="25">
        <v>116.05</v>
      </c>
    </row>
    <row r="6075" spans="1:5" ht="26" x14ac:dyDescent="0.3">
      <c r="A6075" s="17" t="str">
        <f>"J1097"</f>
        <v>J1097</v>
      </c>
      <c r="B6075" s="5" t="s">
        <v>6081</v>
      </c>
      <c r="C6075" s="17">
        <v>20230101</v>
      </c>
      <c r="D6075" s="17">
        <v>22991231</v>
      </c>
      <c r="E6075" s="25">
        <v>93.23</v>
      </c>
    </row>
    <row r="6076" spans="1:5" ht="26" x14ac:dyDescent="0.3">
      <c r="A6076" s="17" t="str">
        <f>"J1100"</f>
        <v>J1100</v>
      </c>
      <c r="B6076" s="5" t="s">
        <v>6082</v>
      </c>
      <c r="C6076" s="17">
        <v>20230101</v>
      </c>
      <c r="D6076" s="17">
        <v>22991231</v>
      </c>
      <c r="E6076" s="25">
        <v>0</v>
      </c>
    </row>
    <row r="6077" spans="1:5" x14ac:dyDescent="0.3">
      <c r="A6077" s="17" t="str">
        <f>"J1105"</f>
        <v>J1105</v>
      </c>
      <c r="B6077" s="5" t="s">
        <v>6083</v>
      </c>
      <c r="C6077" s="17">
        <v>20240101</v>
      </c>
      <c r="D6077" s="17">
        <v>22991231</v>
      </c>
      <c r="E6077" s="25">
        <v>0.69</v>
      </c>
    </row>
    <row r="6078" spans="1:5" x14ac:dyDescent="0.3">
      <c r="A6078" s="17" t="str">
        <f>"J1110"</f>
        <v>J1110</v>
      </c>
      <c r="B6078" s="5" t="s">
        <v>6084</v>
      </c>
      <c r="C6078" s="17">
        <v>20230101</v>
      </c>
      <c r="D6078" s="17">
        <v>22991231</v>
      </c>
      <c r="E6078" s="25">
        <v>0</v>
      </c>
    </row>
    <row r="6079" spans="1:5" x14ac:dyDescent="0.3">
      <c r="A6079" s="17" t="str">
        <f>"J1120"</f>
        <v>J1120</v>
      </c>
      <c r="B6079" s="5" t="s">
        <v>6085</v>
      </c>
      <c r="C6079" s="17">
        <v>20230101</v>
      </c>
      <c r="D6079" s="17">
        <v>22991231</v>
      </c>
      <c r="E6079" s="25">
        <v>0</v>
      </c>
    </row>
    <row r="6080" spans="1:5" x14ac:dyDescent="0.3">
      <c r="A6080" s="17" t="str">
        <f>"J1130"</f>
        <v>J1130</v>
      </c>
      <c r="B6080" s="5" t="s">
        <v>6086</v>
      </c>
      <c r="C6080" s="17">
        <v>20230101</v>
      </c>
      <c r="D6080" s="17">
        <v>22991231</v>
      </c>
      <c r="E6080" s="25">
        <v>0</v>
      </c>
    </row>
    <row r="6081" spans="1:5" x14ac:dyDescent="0.3">
      <c r="A6081" s="17" t="str">
        <f>"J1160"</f>
        <v>J1160</v>
      </c>
      <c r="B6081" s="5" t="s">
        <v>6087</v>
      </c>
      <c r="C6081" s="17">
        <v>20230101</v>
      </c>
      <c r="D6081" s="17">
        <v>22991231</v>
      </c>
      <c r="E6081" s="25">
        <v>0</v>
      </c>
    </row>
    <row r="6082" spans="1:5" x14ac:dyDescent="0.3">
      <c r="A6082" s="17" t="str">
        <f>"J1162"</f>
        <v>J1162</v>
      </c>
      <c r="B6082" s="5" t="s">
        <v>6088</v>
      </c>
      <c r="C6082" s="17">
        <v>20060101</v>
      </c>
      <c r="D6082" s="17">
        <v>22991231</v>
      </c>
      <c r="E6082" s="25">
        <v>4563.17</v>
      </c>
    </row>
    <row r="6083" spans="1:5" x14ac:dyDescent="0.3">
      <c r="A6083" s="17" t="str">
        <f>"J1165"</f>
        <v>J1165</v>
      </c>
      <c r="B6083" s="5" t="s">
        <v>6089</v>
      </c>
      <c r="C6083" s="17">
        <v>20230101</v>
      </c>
      <c r="D6083" s="17">
        <v>22991231</v>
      </c>
      <c r="E6083" s="25">
        <v>0</v>
      </c>
    </row>
    <row r="6084" spans="1:5" x14ac:dyDescent="0.3">
      <c r="A6084" s="17" t="str">
        <f>"J1170"</f>
        <v>J1170</v>
      </c>
      <c r="B6084" s="5" t="s">
        <v>6090</v>
      </c>
      <c r="C6084" s="17">
        <v>20230101</v>
      </c>
      <c r="D6084" s="17">
        <v>22991231</v>
      </c>
      <c r="E6084" s="25">
        <v>0</v>
      </c>
    </row>
    <row r="6085" spans="1:5" x14ac:dyDescent="0.3">
      <c r="A6085" s="17" t="str">
        <f>"J1180"</f>
        <v>J1180</v>
      </c>
      <c r="B6085" s="5" t="s">
        <v>6091</v>
      </c>
      <c r="C6085" s="17">
        <v>20230101</v>
      </c>
      <c r="D6085" s="17">
        <v>22991231</v>
      </c>
      <c r="E6085" s="25">
        <v>0</v>
      </c>
    </row>
    <row r="6086" spans="1:5" ht="26" x14ac:dyDescent="0.3">
      <c r="A6086" s="17" t="str">
        <f>"J1190"</f>
        <v>J1190</v>
      </c>
      <c r="B6086" s="5" t="s">
        <v>6092</v>
      </c>
      <c r="C6086" s="17">
        <v>20230101</v>
      </c>
      <c r="D6086" s="17">
        <v>22991231</v>
      </c>
      <c r="E6086" s="25">
        <v>103.17</v>
      </c>
    </row>
    <row r="6087" spans="1:5" x14ac:dyDescent="0.3">
      <c r="A6087" s="17" t="str">
        <f>"J1200"</f>
        <v>J1200</v>
      </c>
      <c r="B6087" s="5" t="s">
        <v>6093</v>
      </c>
      <c r="C6087" s="17">
        <v>20230101</v>
      </c>
      <c r="D6087" s="17">
        <v>22991231</v>
      </c>
      <c r="E6087" s="25">
        <v>0</v>
      </c>
    </row>
    <row r="6088" spans="1:5" x14ac:dyDescent="0.3">
      <c r="A6088" s="17" t="str">
        <f>"J1201"</f>
        <v>J1201</v>
      </c>
      <c r="B6088" s="5" t="s">
        <v>6094</v>
      </c>
      <c r="C6088" s="17">
        <v>20230101</v>
      </c>
      <c r="D6088" s="17">
        <v>22991231</v>
      </c>
      <c r="E6088" s="25">
        <v>14.39</v>
      </c>
    </row>
    <row r="6089" spans="1:5" x14ac:dyDescent="0.3">
      <c r="A6089" s="17" t="str">
        <f>"J1205"</f>
        <v>J1205</v>
      </c>
      <c r="B6089" s="5" t="s">
        <v>6095</v>
      </c>
      <c r="C6089" s="17">
        <v>20230101</v>
      </c>
      <c r="D6089" s="17">
        <v>22991231</v>
      </c>
      <c r="E6089" s="25">
        <v>0</v>
      </c>
    </row>
    <row r="6090" spans="1:5" x14ac:dyDescent="0.3">
      <c r="A6090" s="17" t="str">
        <f>"J1212"</f>
        <v>J1212</v>
      </c>
      <c r="B6090" s="5" t="s">
        <v>6096</v>
      </c>
      <c r="C6090" s="17">
        <v>20230101</v>
      </c>
      <c r="D6090" s="17">
        <v>22991231</v>
      </c>
      <c r="E6090" s="25">
        <v>650.29</v>
      </c>
    </row>
    <row r="6091" spans="1:5" x14ac:dyDescent="0.3">
      <c r="A6091" s="17" t="str">
        <f>"J1230"</f>
        <v>J1230</v>
      </c>
      <c r="B6091" s="5" t="s">
        <v>6097</v>
      </c>
      <c r="C6091" s="17">
        <v>20230101</v>
      </c>
      <c r="D6091" s="17">
        <v>22991231</v>
      </c>
      <c r="E6091" s="25">
        <v>0</v>
      </c>
    </row>
    <row r="6092" spans="1:5" x14ac:dyDescent="0.3">
      <c r="A6092" s="17" t="str">
        <f>"J1240"</f>
        <v>J1240</v>
      </c>
      <c r="B6092" s="5" t="s">
        <v>6098</v>
      </c>
      <c r="C6092" s="17">
        <v>20230101</v>
      </c>
      <c r="D6092" s="17">
        <v>22991231</v>
      </c>
      <c r="E6092" s="25">
        <v>0</v>
      </c>
    </row>
    <row r="6093" spans="1:5" x14ac:dyDescent="0.3">
      <c r="A6093" s="17" t="str">
        <f>"J1245"</f>
        <v>J1245</v>
      </c>
      <c r="B6093" s="5" t="s">
        <v>6099</v>
      </c>
      <c r="C6093" s="17">
        <v>20230101</v>
      </c>
      <c r="D6093" s="17">
        <v>22991231</v>
      </c>
      <c r="E6093" s="25">
        <v>0</v>
      </c>
    </row>
    <row r="6094" spans="1:5" x14ac:dyDescent="0.3">
      <c r="A6094" s="17" t="str">
        <f>"J1250"</f>
        <v>J1250</v>
      </c>
      <c r="B6094" s="5" t="s">
        <v>6100</v>
      </c>
      <c r="C6094" s="17">
        <v>20230101</v>
      </c>
      <c r="D6094" s="17">
        <v>22991231</v>
      </c>
      <c r="E6094" s="25">
        <v>0</v>
      </c>
    </row>
    <row r="6095" spans="1:5" x14ac:dyDescent="0.3">
      <c r="A6095" s="17" t="str">
        <f>"J1260"</f>
        <v>J1260</v>
      </c>
      <c r="B6095" s="5" t="s">
        <v>6101</v>
      </c>
      <c r="C6095" s="17">
        <v>20230101</v>
      </c>
      <c r="D6095" s="17">
        <v>22991231</v>
      </c>
      <c r="E6095" s="25">
        <v>0</v>
      </c>
    </row>
    <row r="6096" spans="1:5" x14ac:dyDescent="0.3">
      <c r="A6096" s="17" t="str">
        <f>"J1265"</f>
        <v>J1265</v>
      </c>
      <c r="B6096" s="5" t="s">
        <v>6102</v>
      </c>
      <c r="C6096" s="17">
        <v>20060101</v>
      </c>
      <c r="D6096" s="17">
        <v>22991231</v>
      </c>
      <c r="E6096" s="25">
        <v>0</v>
      </c>
    </row>
    <row r="6097" spans="1:5" x14ac:dyDescent="0.3">
      <c r="A6097" s="17" t="str">
        <f>"J1267"</f>
        <v>J1267</v>
      </c>
      <c r="B6097" s="5" t="s">
        <v>6103</v>
      </c>
      <c r="C6097" s="17">
        <v>20090101</v>
      </c>
      <c r="D6097" s="17">
        <v>22991231</v>
      </c>
      <c r="E6097" s="25">
        <v>0</v>
      </c>
    </row>
    <row r="6098" spans="1:5" x14ac:dyDescent="0.3">
      <c r="A6098" s="17" t="str">
        <f>"J1270"</f>
        <v>J1270</v>
      </c>
      <c r="B6098" s="5" t="s">
        <v>6104</v>
      </c>
      <c r="C6098" s="17">
        <v>20230101</v>
      </c>
      <c r="D6098" s="17">
        <v>22991231</v>
      </c>
      <c r="E6098" s="25">
        <v>0</v>
      </c>
    </row>
    <row r="6099" spans="1:5" x14ac:dyDescent="0.3">
      <c r="A6099" s="17" t="str">
        <f>"J1290"</f>
        <v>J1290</v>
      </c>
      <c r="B6099" s="5" t="s">
        <v>6105</v>
      </c>
      <c r="C6099" s="17">
        <v>20230101</v>
      </c>
      <c r="D6099" s="17">
        <v>22991231</v>
      </c>
      <c r="E6099" s="25">
        <v>515.14</v>
      </c>
    </row>
    <row r="6100" spans="1:5" x14ac:dyDescent="0.3">
      <c r="A6100" s="17" t="str">
        <f>"J1300"</f>
        <v>J1300</v>
      </c>
      <c r="B6100" s="5" t="s">
        <v>6106</v>
      </c>
      <c r="C6100" s="17">
        <v>20230101</v>
      </c>
      <c r="D6100" s="17">
        <v>22991231</v>
      </c>
      <c r="E6100" s="25">
        <v>215.57</v>
      </c>
    </row>
    <row r="6101" spans="1:5" x14ac:dyDescent="0.3">
      <c r="A6101" s="17" t="str">
        <f>"J1301"</f>
        <v>J1301</v>
      </c>
      <c r="B6101" s="5" t="s">
        <v>6107</v>
      </c>
      <c r="C6101" s="17">
        <v>20230101</v>
      </c>
      <c r="D6101" s="17">
        <v>22991231</v>
      </c>
      <c r="E6101" s="25">
        <v>20.84</v>
      </c>
    </row>
    <row r="6102" spans="1:5" x14ac:dyDescent="0.3">
      <c r="A6102" s="17" t="str">
        <f>"J1302"</f>
        <v>J1302</v>
      </c>
      <c r="B6102" s="5" t="s">
        <v>6108</v>
      </c>
      <c r="C6102" s="17">
        <v>20230101</v>
      </c>
      <c r="D6102" s="17">
        <v>22991231</v>
      </c>
      <c r="E6102" s="25">
        <v>16.97</v>
      </c>
    </row>
    <row r="6103" spans="1:5" x14ac:dyDescent="0.3">
      <c r="A6103" s="17" t="str">
        <f>"J1303"</f>
        <v>J1303</v>
      </c>
      <c r="B6103" s="5" t="s">
        <v>6109</v>
      </c>
      <c r="C6103" s="17">
        <v>20230101</v>
      </c>
      <c r="D6103" s="17">
        <v>22991231</v>
      </c>
      <c r="E6103" s="25">
        <v>211.82</v>
      </c>
    </row>
    <row r="6104" spans="1:5" x14ac:dyDescent="0.3">
      <c r="A6104" s="17" t="str">
        <f>"J1304"</f>
        <v>J1304</v>
      </c>
      <c r="B6104" s="5" t="s">
        <v>6110</v>
      </c>
      <c r="C6104" s="17">
        <v>20240101</v>
      </c>
      <c r="D6104" s="17">
        <v>22991231</v>
      </c>
      <c r="E6104" s="25">
        <v>144.07</v>
      </c>
    </row>
    <row r="6105" spans="1:5" x14ac:dyDescent="0.3">
      <c r="A6105" s="17" t="str">
        <f>"J1305"</f>
        <v>J1305</v>
      </c>
      <c r="B6105" s="5" t="s">
        <v>6111</v>
      </c>
      <c r="C6105" s="17">
        <v>20230101</v>
      </c>
      <c r="D6105" s="17">
        <v>22991231</v>
      </c>
      <c r="E6105" s="25">
        <v>171.11</v>
      </c>
    </row>
    <row r="6106" spans="1:5" x14ac:dyDescent="0.3">
      <c r="A6106" s="17" t="str">
        <f>"J1306"</f>
        <v>J1306</v>
      </c>
      <c r="B6106" s="5" t="s">
        <v>6112</v>
      </c>
      <c r="C6106" s="17">
        <v>20230101</v>
      </c>
      <c r="D6106" s="17">
        <v>22991231</v>
      </c>
      <c r="E6106" s="25">
        <v>11.59</v>
      </c>
    </row>
    <row r="6107" spans="1:5" x14ac:dyDescent="0.3">
      <c r="A6107" s="17" t="str">
        <f>"J1320"</f>
        <v>J1320</v>
      </c>
      <c r="B6107" s="5" t="s">
        <v>6113</v>
      </c>
      <c r="C6107" s="17">
        <v>20230101</v>
      </c>
      <c r="D6107" s="17">
        <v>22991231</v>
      </c>
      <c r="E6107" s="25">
        <v>0</v>
      </c>
    </row>
    <row r="6108" spans="1:5" x14ac:dyDescent="0.3">
      <c r="A6108" s="17" t="str">
        <f>"J1322"</f>
        <v>J1322</v>
      </c>
      <c r="B6108" s="5" t="s">
        <v>6114</v>
      </c>
      <c r="C6108" s="17">
        <v>20230101</v>
      </c>
      <c r="D6108" s="17">
        <v>22991231</v>
      </c>
      <c r="E6108" s="25">
        <v>268.31</v>
      </c>
    </row>
    <row r="6109" spans="1:5" x14ac:dyDescent="0.3">
      <c r="A6109" s="17" t="str">
        <f>"J1324"</f>
        <v>J1324</v>
      </c>
      <c r="B6109" s="5" t="s">
        <v>6115</v>
      </c>
      <c r="C6109" s="17">
        <v>20230101</v>
      </c>
      <c r="D6109" s="17">
        <v>22991231</v>
      </c>
      <c r="E6109" s="25">
        <v>0</v>
      </c>
    </row>
    <row r="6110" spans="1:5" x14ac:dyDescent="0.3">
      <c r="A6110" s="17" t="str">
        <f>"J1325"</f>
        <v>J1325</v>
      </c>
      <c r="B6110" s="5" t="s">
        <v>6116</v>
      </c>
      <c r="C6110" s="17">
        <v>20230101</v>
      </c>
      <c r="D6110" s="17">
        <v>22991231</v>
      </c>
      <c r="E6110" s="25">
        <v>0</v>
      </c>
    </row>
    <row r="6111" spans="1:5" x14ac:dyDescent="0.3">
      <c r="A6111" s="17" t="str">
        <f>"J1327"</f>
        <v>J1327</v>
      </c>
      <c r="B6111" s="5" t="s">
        <v>6117</v>
      </c>
      <c r="C6111" s="17">
        <v>20230101</v>
      </c>
      <c r="D6111" s="17">
        <v>22991231</v>
      </c>
      <c r="E6111" s="25">
        <v>3.2</v>
      </c>
    </row>
    <row r="6112" spans="1:5" x14ac:dyDescent="0.3">
      <c r="A6112" s="17" t="str">
        <f>"J1330"</f>
        <v>J1330</v>
      </c>
      <c r="B6112" s="5" t="s">
        <v>6118</v>
      </c>
      <c r="C6112" s="17">
        <v>20230101</v>
      </c>
      <c r="D6112" s="17">
        <v>22991231</v>
      </c>
      <c r="E6112" s="25">
        <v>0</v>
      </c>
    </row>
    <row r="6113" spans="1:5" x14ac:dyDescent="0.3">
      <c r="A6113" s="17" t="str">
        <f>"J1335"</f>
        <v>J1335</v>
      </c>
      <c r="B6113" s="5" t="s">
        <v>6119</v>
      </c>
      <c r="C6113" s="17">
        <v>20230101</v>
      </c>
      <c r="D6113" s="17">
        <v>22991231</v>
      </c>
      <c r="E6113" s="25">
        <v>0</v>
      </c>
    </row>
    <row r="6114" spans="1:5" x14ac:dyDescent="0.3">
      <c r="A6114" s="17" t="str">
        <f>"J1364"</f>
        <v>J1364</v>
      </c>
      <c r="B6114" s="5" t="s">
        <v>6120</v>
      </c>
      <c r="C6114" s="17">
        <v>20230101</v>
      </c>
      <c r="D6114" s="17">
        <v>22991231</v>
      </c>
      <c r="E6114" s="25">
        <v>77.16</v>
      </c>
    </row>
    <row r="6115" spans="1:5" x14ac:dyDescent="0.3">
      <c r="A6115" s="17" t="str">
        <f>"J1380"</f>
        <v>J1380</v>
      </c>
      <c r="B6115" s="5" t="s">
        <v>6121</v>
      </c>
      <c r="C6115" s="17">
        <v>20230101</v>
      </c>
      <c r="D6115" s="17">
        <v>22991231</v>
      </c>
      <c r="E6115" s="25">
        <v>0</v>
      </c>
    </row>
    <row r="6116" spans="1:5" x14ac:dyDescent="0.3">
      <c r="A6116" s="17" t="str">
        <f>"J1410"</f>
        <v>J1410</v>
      </c>
      <c r="B6116" s="5" t="s">
        <v>6122</v>
      </c>
      <c r="C6116" s="17">
        <v>20230101</v>
      </c>
      <c r="D6116" s="17">
        <v>22991231</v>
      </c>
      <c r="E6116" s="25">
        <v>355.46</v>
      </c>
    </row>
    <row r="6117" spans="1:5" x14ac:dyDescent="0.3">
      <c r="A6117" s="17" t="str">
        <f>"J1426"</f>
        <v>J1426</v>
      </c>
      <c r="B6117" s="5" t="s">
        <v>6123</v>
      </c>
      <c r="C6117" s="17">
        <v>20230101</v>
      </c>
      <c r="D6117" s="17">
        <v>22991231</v>
      </c>
      <c r="E6117" s="25">
        <v>158.77000000000001</v>
      </c>
    </row>
    <row r="6118" spans="1:5" x14ac:dyDescent="0.3">
      <c r="A6118" s="17" t="str">
        <f>"J1427"</f>
        <v>J1427</v>
      </c>
      <c r="B6118" s="5" t="s">
        <v>6124</v>
      </c>
      <c r="C6118" s="17">
        <v>20230101</v>
      </c>
      <c r="D6118" s="17">
        <v>22991231</v>
      </c>
      <c r="E6118" s="25">
        <v>56.19</v>
      </c>
    </row>
    <row r="6119" spans="1:5" x14ac:dyDescent="0.3">
      <c r="A6119" s="17" t="str">
        <f>"J1428"</f>
        <v>J1428</v>
      </c>
      <c r="B6119" s="5" t="s">
        <v>6125</v>
      </c>
      <c r="C6119" s="17">
        <v>20230101</v>
      </c>
      <c r="D6119" s="17">
        <v>22991231</v>
      </c>
      <c r="E6119" s="25">
        <v>0</v>
      </c>
    </row>
    <row r="6120" spans="1:5" x14ac:dyDescent="0.3">
      <c r="A6120" s="17" t="str">
        <f>"J1429"</f>
        <v>J1429</v>
      </c>
      <c r="B6120" s="5" t="s">
        <v>6126</v>
      </c>
      <c r="C6120" s="17">
        <v>20230101</v>
      </c>
      <c r="D6120" s="17">
        <v>22991231</v>
      </c>
      <c r="E6120" s="25">
        <v>158.75</v>
      </c>
    </row>
    <row r="6121" spans="1:5" x14ac:dyDescent="0.3">
      <c r="A6121" s="17" t="str">
        <f>"J1430"</f>
        <v>J1430</v>
      </c>
      <c r="B6121" s="5" t="s">
        <v>6127</v>
      </c>
      <c r="C6121" s="17">
        <v>20060101</v>
      </c>
      <c r="D6121" s="17">
        <v>22991231</v>
      </c>
      <c r="E6121" s="25">
        <v>452.67</v>
      </c>
    </row>
    <row r="6122" spans="1:5" x14ac:dyDescent="0.3">
      <c r="A6122" s="17" t="str">
        <f>"J1435"</f>
        <v>J1435</v>
      </c>
      <c r="B6122" s="5" t="s">
        <v>6128</v>
      </c>
      <c r="C6122" s="17">
        <v>20230101</v>
      </c>
      <c r="D6122" s="17">
        <v>22991231</v>
      </c>
      <c r="E6122" s="25">
        <v>0</v>
      </c>
    </row>
    <row r="6123" spans="1:5" x14ac:dyDescent="0.3">
      <c r="A6123" s="17" t="str">
        <f>"J1437"</f>
        <v>J1437</v>
      </c>
      <c r="B6123" s="5" t="s">
        <v>6129</v>
      </c>
      <c r="C6123" s="17">
        <v>20230101</v>
      </c>
      <c r="D6123" s="17">
        <v>22991231</v>
      </c>
      <c r="E6123" s="25">
        <v>18.010000000000002</v>
      </c>
    </row>
    <row r="6124" spans="1:5" ht="52" x14ac:dyDescent="0.3">
      <c r="A6124" s="17" t="str">
        <f>"J1438"</f>
        <v>J1438</v>
      </c>
      <c r="B6124" s="5" t="s">
        <v>6130</v>
      </c>
      <c r="C6124" s="17">
        <v>20230101</v>
      </c>
      <c r="D6124" s="17">
        <v>22991231</v>
      </c>
      <c r="E6124" s="25">
        <v>755.31</v>
      </c>
    </row>
    <row r="6125" spans="1:5" x14ac:dyDescent="0.3">
      <c r="A6125" s="17" t="str">
        <f>"J1439"</f>
        <v>J1439</v>
      </c>
      <c r="B6125" s="5" t="s">
        <v>6131</v>
      </c>
      <c r="C6125" s="17">
        <v>20230101</v>
      </c>
      <c r="D6125" s="17">
        <v>22991231</v>
      </c>
      <c r="E6125" s="25">
        <v>1.1000000000000001</v>
      </c>
    </row>
    <row r="6126" spans="1:5" x14ac:dyDescent="0.3">
      <c r="A6126" s="17" t="str">
        <f>"J1440"</f>
        <v>J1440</v>
      </c>
      <c r="B6126" s="5" t="s">
        <v>6132</v>
      </c>
      <c r="C6126" s="17">
        <v>20240101</v>
      </c>
      <c r="D6126" s="17">
        <v>22991231</v>
      </c>
      <c r="E6126" s="25">
        <v>60.16</v>
      </c>
    </row>
    <row r="6127" spans="1:5" ht="26" x14ac:dyDescent="0.3">
      <c r="A6127" s="17" t="str">
        <f>"J1442"</f>
        <v>J1442</v>
      </c>
      <c r="B6127" s="5" t="s">
        <v>6133</v>
      </c>
      <c r="C6127" s="17">
        <v>20230101</v>
      </c>
      <c r="D6127" s="17">
        <v>22991231</v>
      </c>
      <c r="E6127" s="25">
        <v>0.95</v>
      </c>
    </row>
    <row r="6128" spans="1:5" ht="26" x14ac:dyDescent="0.3">
      <c r="A6128" s="17" t="str">
        <f>"J1443"</f>
        <v>J1443</v>
      </c>
      <c r="B6128" s="5" t="s">
        <v>6134</v>
      </c>
      <c r="C6128" s="17">
        <v>20230101</v>
      </c>
      <c r="D6128" s="17">
        <v>22991231</v>
      </c>
      <c r="E6128" s="25">
        <v>0</v>
      </c>
    </row>
    <row r="6129" spans="1:5" ht="26" x14ac:dyDescent="0.3">
      <c r="A6129" s="17" t="str">
        <f>"J1444"</f>
        <v>J1444</v>
      </c>
      <c r="B6129" s="5" t="s">
        <v>6135</v>
      </c>
      <c r="C6129" s="17">
        <v>20230101</v>
      </c>
      <c r="D6129" s="17">
        <v>22991231</v>
      </c>
      <c r="E6129" s="25">
        <v>0</v>
      </c>
    </row>
    <row r="6130" spans="1:5" ht="26" x14ac:dyDescent="0.3">
      <c r="A6130" s="17" t="str">
        <f>"J1445"</f>
        <v>J1445</v>
      </c>
      <c r="B6130" s="5" t="s">
        <v>6136</v>
      </c>
      <c r="C6130" s="17">
        <v>20230101</v>
      </c>
      <c r="D6130" s="17">
        <v>22991231</v>
      </c>
      <c r="E6130" s="25">
        <v>0</v>
      </c>
    </row>
    <row r="6131" spans="1:5" x14ac:dyDescent="0.3">
      <c r="A6131" s="17" t="str">
        <f>"J1447"</f>
        <v>J1447</v>
      </c>
      <c r="B6131" s="5" t="s">
        <v>6137</v>
      </c>
      <c r="C6131" s="17">
        <v>20230101</v>
      </c>
      <c r="D6131" s="17">
        <v>22991231</v>
      </c>
      <c r="E6131" s="25">
        <v>0.42</v>
      </c>
    </row>
    <row r="6132" spans="1:5" x14ac:dyDescent="0.3">
      <c r="A6132" s="17" t="str">
        <f>"J1448"</f>
        <v>J1448</v>
      </c>
      <c r="B6132" s="5" t="s">
        <v>6138</v>
      </c>
      <c r="C6132" s="17">
        <v>20230101</v>
      </c>
      <c r="D6132" s="17">
        <v>22991231</v>
      </c>
      <c r="E6132" s="25">
        <v>4.97</v>
      </c>
    </row>
    <row r="6133" spans="1:5" x14ac:dyDescent="0.3">
      <c r="A6133" s="17" t="str">
        <f>"J1449"</f>
        <v>J1449</v>
      </c>
      <c r="B6133" s="5" t="s">
        <v>6139</v>
      </c>
      <c r="C6133" s="17">
        <v>20240101</v>
      </c>
      <c r="D6133" s="17">
        <v>22991231</v>
      </c>
      <c r="E6133" s="25">
        <v>28.35</v>
      </c>
    </row>
    <row r="6134" spans="1:5" x14ac:dyDescent="0.3">
      <c r="A6134" s="17" t="str">
        <f>"J1450"</f>
        <v>J1450</v>
      </c>
      <c r="B6134" s="5" t="s">
        <v>6140</v>
      </c>
      <c r="C6134" s="17">
        <v>20230101</v>
      </c>
      <c r="D6134" s="17">
        <v>22991231</v>
      </c>
      <c r="E6134" s="25">
        <v>0</v>
      </c>
    </row>
    <row r="6135" spans="1:5" x14ac:dyDescent="0.3">
      <c r="A6135" s="17" t="str">
        <f>"J1451"</f>
        <v>J1451</v>
      </c>
      <c r="B6135" s="5" t="s">
        <v>6141</v>
      </c>
      <c r="C6135" s="17">
        <v>20230101</v>
      </c>
      <c r="D6135" s="17">
        <v>22991231</v>
      </c>
      <c r="E6135" s="25">
        <v>5.79</v>
      </c>
    </row>
    <row r="6136" spans="1:5" ht="26" x14ac:dyDescent="0.3">
      <c r="A6136" s="17" t="str">
        <f>"J1452"</f>
        <v>J1452</v>
      </c>
      <c r="B6136" s="5" t="s">
        <v>6142</v>
      </c>
      <c r="C6136" s="17">
        <v>20230101</v>
      </c>
      <c r="D6136" s="17">
        <v>22991231</v>
      </c>
      <c r="E6136" s="25">
        <v>0</v>
      </c>
    </row>
    <row r="6137" spans="1:5" x14ac:dyDescent="0.3">
      <c r="A6137" s="17" t="str">
        <f>"J1453"</f>
        <v>J1453</v>
      </c>
      <c r="B6137" s="5" t="s">
        <v>6143</v>
      </c>
      <c r="C6137" s="17">
        <v>20090101</v>
      </c>
      <c r="D6137" s="17">
        <v>22991231</v>
      </c>
      <c r="E6137" s="25">
        <v>0</v>
      </c>
    </row>
    <row r="6138" spans="1:5" ht="26" x14ac:dyDescent="0.3">
      <c r="A6138" s="17" t="str">
        <f>"J1454"</f>
        <v>J1454</v>
      </c>
      <c r="B6138" s="5" t="s">
        <v>6144</v>
      </c>
      <c r="C6138" s="17">
        <v>20230101</v>
      </c>
      <c r="D6138" s="17">
        <v>22991231</v>
      </c>
      <c r="E6138" s="25">
        <v>663.05</v>
      </c>
    </row>
    <row r="6139" spans="1:5" x14ac:dyDescent="0.3">
      <c r="A6139" s="17" t="str">
        <f>"J1455"</f>
        <v>J1455</v>
      </c>
      <c r="B6139" s="5" t="s">
        <v>6145</v>
      </c>
      <c r="C6139" s="17">
        <v>20230101</v>
      </c>
      <c r="D6139" s="17">
        <v>22991231</v>
      </c>
      <c r="E6139" s="25">
        <v>56.71</v>
      </c>
    </row>
    <row r="6140" spans="1:5" ht="26" x14ac:dyDescent="0.3">
      <c r="A6140" s="17" t="str">
        <f>"J1456"</f>
        <v>J1456</v>
      </c>
      <c r="B6140" s="5" t="s">
        <v>6146</v>
      </c>
      <c r="C6140" s="17">
        <v>20240101</v>
      </c>
      <c r="D6140" s="17">
        <v>22991231</v>
      </c>
      <c r="E6140" s="25">
        <v>0.42</v>
      </c>
    </row>
    <row r="6141" spans="1:5" x14ac:dyDescent="0.3">
      <c r="A6141" s="17" t="str">
        <f>"J1457"</f>
        <v>J1457</v>
      </c>
      <c r="B6141" s="5" t="s">
        <v>6147</v>
      </c>
      <c r="C6141" s="17">
        <v>20050101</v>
      </c>
      <c r="D6141" s="17">
        <v>22991231</v>
      </c>
      <c r="E6141" s="25">
        <v>0</v>
      </c>
    </row>
    <row r="6142" spans="1:5" x14ac:dyDescent="0.3">
      <c r="A6142" s="17" t="str">
        <f>"J1458"</f>
        <v>J1458</v>
      </c>
      <c r="B6142" s="5" t="s">
        <v>6148</v>
      </c>
      <c r="C6142" s="17">
        <v>20230101</v>
      </c>
      <c r="D6142" s="17">
        <v>22991231</v>
      </c>
      <c r="E6142" s="25">
        <v>442.22</v>
      </c>
    </row>
    <row r="6143" spans="1:5" ht="39" x14ac:dyDescent="0.3">
      <c r="A6143" s="17" t="str">
        <f>"J1459"</f>
        <v>J1459</v>
      </c>
      <c r="B6143" s="5" t="s">
        <v>6149</v>
      </c>
      <c r="C6143" s="17">
        <v>20090101</v>
      </c>
      <c r="D6143" s="17">
        <v>22991231</v>
      </c>
      <c r="E6143" s="25">
        <v>46.12</v>
      </c>
    </row>
    <row r="6144" spans="1:5" x14ac:dyDescent="0.3">
      <c r="A6144" s="17" t="str">
        <f>"J1460"</f>
        <v>J1460</v>
      </c>
      <c r="B6144" s="5" t="s">
        <v>6150</v>
      </c>
      <c r="C6144" s="17">
        <v>20230101</v>
      </c>
      <c r="D6144" s="17">
        <v>22991231</v>
      </c>
      <c r="E6144" s="25">
        <v>48.45</v>
      </c>
    </row>
    <row r="6145" spans="1:5" x14ac:dyDescent="0.3">
      <c r="A6145" s="17" t="str">
        <f>"J1551"</f>
        <v>J1551</v>
      </c>
      <c r="B6145" s="5" t="s">
        <v>6151</v>
      </c>
      <c r="C6145" s="17">
        <v>20230101</v>
      </c>
      <c r="D6145" s="17">
        <v>22991231</v>
      </c>
      <c r="E6145" s="25">
        <v>13.27</v>
      </c>
    </row>
    <row r="6146" spans="1:5" x14ac:dyDescent="0.3">
      <c r="A6146" s="17" t="str">
        <f>"J1554"</f>
        <v>J1554</v>
      </c>
      <c r="B6146" s="5" t="s">
        <v>6152</v>
      </c>
      <c r="C6146" s="17">
        <v>20230101</v>
      </c>
      <c r="D6146" s="17">
        <v>22991231</v>
      </c>
      <c r="E6146" s="25">
        <v>469.37</v>
      </c>
    </row>
    <row r="6147" spans="1:5" x14ac:dyDescent="0.3">
      <c r="A6147" s="17" t="str">
        <f>"J1555"</f>
        <v>J1555</v>
      </c>
      <c r="B6147" s="5" t="s">
        <v>6153</v>
      </c>
      <c r="C6147" s="17">
        <v>20230101</v>
      </c>
      <c r="D6147" s="17">
        <v>22991231</v>
      </c>
      <c r="E6147" s="25">
        <v>15.21</v>
      </c>
    </row>
    <row r="6148" spans="1:5" x14ac:dyDescent="0.3">
      <c r="A6148" s="17" t="str">
        <f>"J1556"</f>
        <v>J1556</v>
      </c>
      <c r="B6148" s="5" t="s">
        <v>6154</v>
      </c>
      <c r="C6148" s="17">
        <v>20230101</v>
      </c>
      <c r="D6148" s="17">
        <v>22991231</v>
      </c>
      <c r="E6148" s="25">
        <v>69.69</v>
      </c>
    </row>
    <row r="6149" spans="1:5" ht="39" x14ac:dyDescent="0.3">
      <c r="A6149" s="17" t="str">
        <f>"J1557"</f>
        <v>J1557</v>
      </c>
      <c r="B6149" s="5" t="s">
        <v>6155</v>
      </c>
      <c r="C6149" s="17">
        <v>20230101</v>
      </c>
      <c r="D6149" s="17">
        <v>22991231</v>
      </c>
      <c r="E6149" s="25">
        <v>52.68</v>
      </c>
    </row>
    <row r="6150" spans="1:5" x14ac:dyDescent="0.3">
      <c r="A6150" s="17" t="str">
        <f>"J1558"</f>
        <v>J1558</v>
      </c>
      <c r="B6150" s="5" t="s">
        <v>6156</v>
      </c>
      <c r="C6150" s="17">
        <v>20230101</v>
      </c>
      <c r="D6150" s="17">
        <v>22991231</v>
      </c>
      <c r="E6150" s="25">
        <v>13.54</v>
      </c>
    </row>
    <row r="6151" spans="1:5" x14ac:dyDescent="0.3">
      <c r="A6151" s="17" t="str">
        <f>"J1559"</f>
        <v>J1559</v>
      </c>
      <c r="B6151" s="5" t="s">
        <v>6157</v>
      </c>
      <c r="C6151" s="17">
        <v>20230101</v>
      </c>
      <c r="D6151" s="17">
        <v>22991231</v>
      </c>
      <c r="E6151" s="25">
        <v>12.37</v>
      </c>
    </row>
    <row r="6152" spans="1:5" ht="26" x14ac:dyDescent="0.3">
      <c r="A6152" s="17" t="str">
        <f>"J1560"</f>
        <v>J1560</v>
      </c>
      <c r="B6152" s="5" t="s">
        <v>6158</v>
      </c>
      <c r="C6152" s="17">
        <v>20230101</v>
      </c>
      <c r="D6152" s="17">
        <v>22991231</v>
      </c>
      <c r="E6152" s="25">
        <v>484.51</v>
      </c>
    </row>
    <row r="6153" spans="1:5" ht="39" x14ac:dyDescent="0.3">
      <c r="A6153" s="17" t="str">
        <f>"J1561"</f>
        <v>J1561</v>
      </c>
      <c r="B6153" s="5" t="s">
        <v>6159</v>
      </c>
      <c r="C6153" s="17">
        <v>20230101</v>
      </c>
      <c r="D6153" s="17">
        <v>22991231</v>
      </c>
      <c r="E6153" s="25">
        <v>47.56</v>
      </c>
    </row>
    <row r="6154" spans="1:5" x14ac:dyDescent="0.3">
      <c r="A6154" s="17" t="str">
        <f>"J1562"</f>
        <v>J1562</v>
      </c>
      <c r="B6154" s="5" t="s">
        <v>6160</v>
      </c>
      <c r="C6154" s="17">
        <v>20230101</v>
      </c>
      <c r="D6154" s="17">
        <v>22991231</v>
      </c>
      <c r="E6154" s="25">
        <v>0</v>
      </c>
    </row>
    <row r="6155" spans="1:5" ht="39" x14ac:dyDescent="0.3">
      <c r="A6155" s="17" t="str">
        <f>"J1566"</f>
        <v>J1566</v>
      </c>
      <c r="B6155" s="5" t="s">
        <v>6161</v>
      </c>
      <c r="C6155" s="17">
        <v>20060101</v>
      </c>
      <c r="D6155" s="17">
        <v>22991231</v>
      </c>
      <c r="E6155" s="25">
        <v>74.98</v>
      </c>
    </row>
    <row r="6156" spans="1:5" ht="39" x14ac:dyDescent="0.3">
      <c r="A6156" s="17" t="str">
        <f>"J1568"</f>
        <v>J1568</v>
      </c>
      <c r="B6156" s="5" t="s">
        <v>6162</v>
      </c>
      <c r="C6156" s="17">
        <v>20230101</v>
      </c>
      <c r="D6156" s="17">
        <v>22991231</v>
      </c>
      <c r="E6156" s="25">
        <v>42.96</v>
      </c>
    </row>
    <row r="6157" spans="1:5" ht="26" x14ac:dyDescent="0.3">
      <c r="A6157" s="17" t="str">
        <f>"J1569"</f>
        <v>J1569</v>
      </c>
      <c r="B6157" s="5" t="s">
        <v>6163</v>
      </c>
      <c r="C6157" s="17">
        <v>20230101</v>
      </c>
      <c r="D6157" s="17">
        <v>22991231</v>
      </c>
      <c r="E6157" s="25">
        <v>42.17</v>
      </c>
    </row>
    <row r="6158" spans="1:5" x14ac:dyDescent="0.3">
      <c r="A6158" s="17" t="str">
        <f>"J1570"</f>
        <v>J1570</v>
      </c>
      <c r="B6158" s="5" t="s">
        <v>6164</v>
      </c>
      <c r="C6158" s="17">
        <v>20230101</v>
      </c>
      <c r="D6158" s="17">
        <v>22991231</v>
      </c>
      <c r="E6158" s="25">
        <v>0</v>
      </c>
    </row>
    <row r="6159" spans="1:5" ht="26" x14ac:dyDescent="0.3">
      <c r="A6159" s="17" t="str">
        <f>"J1571"</f>
        <v>J1571</v>
      </c>
      <c r="B6159" s="5" t="s">
        <v>6165</v>
      </c>
      <c r="C6159" s="17">
        <v>20230101</v>
      </c>
      <c r="D6159" s="17">
        <v>22991231</v>
      </c>
      <c r="E6159" s="25">
        <v>56.95</v>
      </c>
    </row>
    <row r="6160" spans="1:5" ht="39" x14ac:dyDescent="0.3">
      <c r="A6160" s="17" t="str">
        <f>"J1572"</f>
        <v>J1572</v>
      </c>
      <c r="B6160" s="5" t="s">
        <v>6166</v>
      </c>
      <c r="C6160" s="17">
        <v>20230101</v>
      </c>
      <c r="D6160" s="17">
        <v>22991231</v>
      </c>
      <c r="E6160" s="25">
        <v>53.6</v>
      </c>
    </row>
    <row r="6161" spans="1:5" ht="26" x14ac:dyDescent="0.3">
      <c r="A6161" s="17" t="str">
        <f>"J1573"</f>
        <v>J1573</v>
      </c>
      <c r="B6161" s="5" t="s">
        <v>6167</v>
      </c>
      <c r="C6161" s="17">
        <v>20230101</v>
      </c>
      <c r="D6161" s="17">
        <v>22991231</v>
      </c>
      <c r="E6161" s="25">
        <v>56.95</v>
      </c>
    </row>
    <row r="6162" spans="1:5" ht="26" x14ac:dyDescent="0.3">
      <c r="A6162" s="17" t="str">
        <f>"J1574"</f>
        <v>J1574</v>
      </c>
      <c r="B6162" s="5" t="s">
        <v>6168</v>
      </c>
      <c r="C6162" s="17">
        <v>20240101</v>
      </c>
      <c r="D6162" s="17">
        <v>22991231</v>
      </c>
      <c r="E6162" s="25">
        <v>0</v>
      </c>
    </row>
    <row r="6163" spans="1:5" ht="26" x14ac:dyDescent="0.3">
      <c r="A6163" s="17" t="str">
        <f>"J1575"</f>
        <v>J1575</v>
      </c>
      <c r="B6163" s="5" t="s">
        <v>6169</v>
      </c>
      <c r="C6163" s="17">
        <v>20230101</v>
      </c>
      <c r="D6163" s="17">
        <v>22991231</v>
      </c>
      <c r="E6163" s="25">
        <v>16.32</v>
      </c>
    </row>
    <row r="6164" spans="1:5" ht="39" x14ac:dyDescent="0.3">
      <c r="A6164" s="17" t="str">
        <f>"J1576"</f>
        <v>J1576</v>
      </c>
      <c r="B6164" s="5" t="s">
        <v>6170</v>
      </c>
      <c r="C6164" s="17">
        <v>20240101</v>
      </c>
      <c r="D6164" s="17">
        <v>22991231</v>
      </c>
      <c r="E6164" s="25">
        <v>63.46</v>
      </c>
    </row>
    <row r="6165" spans="1:5" x14ac:dyDescent="0.3">
      <c r="A6165" s="17" t="str">
        <f>"J1580"</f>
        <v>J1580</v>
      </c>
      <c r="B6165" s="5" t="s">
        <v>6171</v>
      </c>
      <c r="C6165" s="17">
        <v>20230101</v>
      </c>
      <c r="D6165" s="17">
        <v>22991231</v>
      </c>
      <c r="E6165" s="25">
        <v>0</v>
      </c>
    </row>
    <row r="6166" spans="1:5" x14ac:dyDescent="0.3">
      <c r="A6166" s="17" t="str">
        <f>"J1595"</f>
        <v>J1595</v>
      </c>
      <c r="B6166" s="5" t="s">
        <v>6172</v>
      </c>
      <c r="C6166" s="17">
        <v>20230101</v>
      </c>
      <c r="D6166" s="17">
        <v>22991231</v>
      </c>
      <c r="E6166" s="25">
        <v>148.97999999999999</v>
      </c>
    </row>
    <row r="6167" spans="1:5" x14ac:dyDescent="0.3">
      <c r="A6167" s="17" t="str">
        <f>"J1596"</f>
        <v>J1596</v>
      </c>
      <c r="B6167" s="5" t="s">
        <v>6173</v>
      </c>
      <c r="C6167" s="17">
        <v>20240101</v>
      </c>
      <c r="D6167" s="17">
        <v>22991231</v>
      </c>
      <c r="E6167" s="25">
        <v>0</v>
      </c>
    </row>
    <row r="6168" spans="1:5" ht="39" x14ac:dyDescent="0.3">
      <c r="A6168" s="17" t="str">
        <f>"J1599"</f>
        <v>J1599</v>
      </c>
      <c r="B6168" s="5" t="s">
        <v>6174</v>
      </c>
      <c r="C6168" s="17">
        <v>20230101</v>
      </c>
      <c r="D6168" s="17">
        <v>22991231</v>
      </c>
      <c r="E6168" s="25">
        <v>0</v>
      </c>
    </row>
    <row r="6169" spans="1:5" x14ac:dyDescent="0.3">
      <c r="A6169" s="17" t="str">
        <f>"J1600"</f>
        <v>J1600</v>
      </c>
      <c r="B6169" s="5" t="s">
        <v>6175</v>
      </c>
      <c r="C6169" s="17">
        <v>20230101</v>
      </c>
      <c r="D6169" s="17">
        <v>22991231</v>
      </c>
      <c r="E6169" s="25">
        <v>0</v>
      </c>
    </row>
    <row r="6170" spans="1:5" x14ac:dyDescent="0.3">
      <c r="A6170" s="17" t="str">
        <f>"J1602"</f>
        <v>J1602</v>
      </c>
      <c r="B6170" s="5" t="s">
        <v>6176</v>
      </c>
      <c r="C6170" s="17">
        <v>20230101</v>
      </c>
      <c r="D6170" s="17">
        <v>22991231</v>
      </c>
      <c r="E6170" s="25">
        <v>11.79</v>
      </c>
    </row>
    <row r="6171" spans="1:5" x14ac:dyDescent="0.3">
      <c r="A6171" s="17" t="str">
        <f>"J1610"</f>
        <v>J1610</v>
      </c>
      <c r="B6171" s="5" t="s">
        <v>6177</v>
      </c>
      <c r="C6171" s="17">
        <v>20230101</v>
      </c>
      <c r="D6171" s="17">
        <v>22991231</v>
      </c>
      <c r="E6171" s="25">
        <v>179.92</v>
      </c>
    </row>
    <row r="6172" spans="1:5" ht="39" x14ac:dyDescent="0.3">
      <c r="A6172" s="17" t="str">
        <f>"J1611"</f>
        <v>J1611</v>
      </c>
      <c r="B6172" s="5" t="s">
        <v>6178</v>
      </c>
      <c r="C6172" s="17">
        <v>20230101</v>
      </c>
      <c r="D6172" s="17">
        <v>22991231</v>
      </c>
      <c r="E6172" s="25">
        <v>118.28</v>
      </c>
    </row>
    <row r="6173" spans="1:5" ht="26" x14ac:dyDescent="0.3">
      <c r="A6173" s="17" t="str">
        <f>"J1620"</f>
        <v>J1620</v>
      </c>
      <c r="B6173" s="5" t="s">
        <v>6179</v>
      </c>
      <c r="C6173" s="17">
        <v>20230101</v>
      </c>
      <c r="D6173" s="17">
        <v>22991231</v>
      </c>
      <c r="E6173" s="25">
        <v>0</v>
      </c>
    </row>
    <row r="6174" spans="1:5" x14ac:dyDescent="0.3">
      <c r="A6174" s="17" t="str">
        <f>"J1626"</f>
        <v>J1626</v>
      </c>
      <c r="B6174" s="5" t="s">
        <v>6180</v>
      </c>
      <c r="C6174" s="17">
        <v>20230101</v>
      </c>
      <c r="D6174" s="17">
        <v>22991231</v>
      </c>
      <c r="E6174" s="25">
        <v>0</v>
      </c>
    </row>
    <row r="6175" spans="1:5" x14ac:dyDescent="0.3">
      <c r="A6175" s="17" t="str">
        <f>"J1627"</f>
        <v>J1627</v>
      </c>
      <c r="B6175" s="5" t="s">
        <v>6181</v>
      </c>
      <c r="C6175" s="17">
        <v>20230101</v>
      </c>
      <c r="D6175" s="17">
        <v>22991231</v>
      </c>
      <c r="E6175" s="25">
        <v>5.42</v>
      </c>
    </row>
    <row r="6176" spans="1:5" x14ac:dyDescent="0.3">
      <c r="A6176" s="17" t="str">
        <f>"J1628"</f>
        <v>J1628</v>
      </c>
      <c r="B6176" s="5" t="s">
        <v>6182</v>
      </c>
      <c r="C6176" s="17">
        <v>20230101</v>
      </c>
      <c r="D6176" s="17">
        <v>22991231</v>
      </c>
      <c r="E6176" s="25">
        <v>69.25</v>
      </c>
    </row>
    <row r="6177" spans="1:5" x14ac:dyDescent="0.3">
      <c r="A6177" s="17" t="str">
        <f>"J1630"</f>
        <v>J1630</v>
      </c>
      <c r="B6177" s="5" t="s">
        <v>6183</v>
      </c>
      <c r="C6177" s="17">
        <v>20230101</v>
      </c>
      <c r="D6177" s="17">
        <v>22991231</v>
      </c>
      <c r="E6177" s="25">
        <v>0</v>
      </c>
    </row>
    <row r="6178" spans="1:5" x14ac:dyDescent="0.3">
      <c r="A6178" s="17" t="str">
        <f>"J1631"</f>
        <v>J1631</v>
      </c>
      <c r="B6178" s="5" t="s">
        <v>6184</v>
      </c>
      <c r="C6178" s="17">
        <v>20230101</v>
      </c>
      <c r="D6178" s="17">
        <v>22991231</v>
      </c>
      <c r="E6178" s="25">
        <v>0</v>
      </c>
    </row>
    <row r="6179" spans="1:5" x14ac:dyDescent="0.3">
      <c r="A6179" s="17" t="str">
        <f>"J1632"</f>
        <v>J1632</v>
      </c>
      <c r="B6179" s="5" t="s">
        <v>6185</v>
      </c>
      <c r="C6179" s="17">
        <v>20230101</v>
      </c>
      <c r="D6179" s="17">
        <v>22991231</v>
      </c>
      <c r="E6179" s="25">
        <v>68.87</v>
      </c>
    </row>
    <row r="6180" spans="1:5" x14ac:dyDescent="0.3">
      <c r="A6180" s="17" t="str">
        <f>"J1640"</f>
        <v>J1640</v>
      </c>
      <c r="B6180" s="5" t="s">
        <v>6186</v>
      </c>
      <c r="C6180" s="17">
        <v>20230101</v>
      </c>
      <c r="D6180" s="17">
        <v>22991231</v>
      </c>
      <c r="E6180" s="25">
        <v>29.94</v>
      </c>
    </row>
    <row r="6181" spans="1:5" ht="26" x14ac:dyDescent="0.3">
      <c r="A6181" s="17" t="str">
        <f>"J1642"</f>
        <v>J1642</v>
      </c>
      <c r="B6181" s="5" t="s">
        <v>6187</v>
      </c>
      <c r="C6181" s="17">
        <v>20230101</v>
      </c>
      <c r="D6181" s="17">
        <v>22991231</v>
      </c>
      <c r="E6181" s="25">
        <v>0</v>
      </c>
    </row>
    <row r="6182" spans="1:5" ht="39" x14ac:dyDescent="0.3">
      <c r="A6182" s="17" t="str">
        <f>"J1643"</f>
        <v>J1643</v>
      </c>
      <c r="B6182" s="5" t="s">
        <v>6188</v>
      </c>
      <c r="C6182" s="17">
        <v>20240101</v>
      </c>
      <c r="D6182" s="17">
        <v>22991231</v>
      </c>
      <c r="E6182" s="25">
        <v>4.37</v>
      </c>
    </row>
    <row r="6183" spans="1:5" x14ac:dyDescent="0.3">
      <c r="A6183" s="17" t="str">
        <f>"J1644"</f>
        <v>J1644</v>
      </c>
      <c r="B6183" s="5" t="s">
        <v>6189</v>
      </c>
      <c r="C6183" s="17">
        <v>20230101</v>
      </c>
      <c r="D6183" s="17">
        <v>22991231</v>
      </c>
      <c r="E6183" s="25">
        <v>0</v>
      </c>
    </row>
    <row r="6184" spans="1:5" x14ac:dyDescent="0.3">
      <c r="A6184" s="17" t="str">
        <f>"J1645"</f>
        <v>J1645</v>
      </c>
      <c r="B6184" s="5" t="s">
        <v>6190</v>
      </c>
      <c r="C6184" s="17">
        <v>20230101</v>
      </c>
      <c r="D6184" s="17">
        <v>22991231</v>
      </c>
      <c r="E6184" s="25">
        <v>0</v>
      </c>
    </row>
    <row r="6185" spans="1:5" x14ac:dyDescent="0.3">
      <c r="A6185" s="17" t="str">
        <f>"J1650"</f>
        <v>J1650</v>
      </c>
      <c r="B6185" s="5" t="s">
        <v>6191</v>
      </c>
      <c r="C6185" s="17">
        <v>20230101</v>
      </c>
      <c r="D6185" s="17">
        <v>22991231</v>
      </c>
      <c r="E6185" s="25">
        <v>0</v>
      </c>
    </row>
    <row r="6186" spans="1:5" x14ac:dyDescent="0.3">
      <c r="A6186" s="17" t="str">
        <f>"J1652"</f>
        <v>J1652</v>
      </c>
      <c r="B6186" s="5" t="s">
        <v>6192</v>
      </c>
      <c r="C6186" s="17">
        <v>20230101</v>
      </c>
      <c r="D6186" s="17">
        <v>22991231</v>
      </c>
      <c r="E6186" s="25">
        <v>0</v>
      </c>
    </row>
    <row r="6187" spans="1:5" x14ac:dyDescent="0.3">
      <c r="A6187" s="17" t="str">
        <f>"J1655"</f>
        <v>J1655</v>
      </c>
      <c r="B6187" s="5" t="s">
        <v>6193</v>
      </c>
      <c r="C6187" s="17">
        <v>20230101</v>
      </c>
      <c r="D6187" s="17">
        <v>22991231</v>
      </c>
      <c r="E6187" s="25">
        <v>0</v>
      </c>
    </row>
    <row r="6188" spans="1:5" ht="26" x14ac:dyDescent="0.3">
      <c r="A6188" s="17" t="str">
        <f>"J1670"</f>
        <v>J1670</v>
      </c>
      <c r="B6188" s="5" t="s">
        <v>6194</v>
      </c>
      <c r="C6188" s="17">
        <v>20230101</v>
      </c>
      <c r="D6188" s="17">
        <v>22991231</v>
      </c>
      <c r="E6188" s="25">
        <v>552.66</v>
      </c>
    </row>
    <row r="6189" spans="1:5" x14ac:dyDescent="0.3">
      <c r="A6189" s="17" t="str">
        <f>"J1700"</f>
        <v>J1700</v>
      </c>
      <c r="B6189" s="5" t="s">
        <v>6195</v>
      </c>
      <c r="C6189" s="17">
        <v>20230101</v>
      </c>
      <c r="D6189" s="17">
        <v>22991231</v>
      </c>
      <c r="E6189" s="25">
        <v>0</v>
      </c>
    </row>
    <row r="6190" spans="1:5" ht="26" x14ac:dyDescent="0.3">
      <c r="A6190" s="17" t="str">
        <f>"J1710"</f>
        <v>J1710</v>
      </c>
      <c r="B6190" s="5" t="s">
        <v>6196</v>
      </c>
      <c r="C6190" s="17">
        <v>20230101</v>
      </c>
      <c r="D6190" s="17">
        <v>22991231</v>
      </c>
      <c r="E6190" s="25">
        <v>0</v>
      </c>
    </row>
    <row r="6191" spans="1:5" ht="26" x14ac:dyDescent="0.3">
      <c r="A6191" s="17" t="str">
        <f>"J1720"</f>
        <v>J1720</v>
      </c>
      <c r="B6191" s="5" t="s">
        <v>6197</v>
      </c>
      <c r="C6191" s="17">
        <v>20230101</v>
      </c>
      <c r="D6191" s="17">
        <v>22991231</v>
      </c>
      <c r="E6191" s="25">
        <v>0</v>
      </c>
    </row>
    <row r="6192" spans="1:5" ht="26" x14ac:dyDescent="0.3">
      <c r="A6192" s="17" t="str">
        <f>"J1726"</f>
        <v>J1726</v>
      </c>
      <c r="B6192" s="5" t="s">
        <v>6198</v>
      </c>
      <c r="C6192" s="17">
        <v>20230101</v>
      </c>
      <c r="D6192" s="17">
        <v>22991231</v>
      </c>
      <c r="E6192" s="25">
        <v>11.54</v>
      </c>
    </row>
    <row r="6193" spans="1:5" ht="26" x14ac:dyDescent="0.3">
      <c r="A6193" s="17" t="str">
        <f>"J1729"</f>
        <v>J1729</v>
      </c>
      <c r="B6193" s="5" t="s">
        <v>6199</v>
      </c>
      <c r="C6193" s="17">
        <v>20230101</v>
      </c>
      <c r="D6193" s="17">
        <v>22991231</v>
      </c>
      <c r="E6193" s="25">
        <v>17.36</v>
      </c>
    </row>
    <row r="6194" spans="1:5" x14ac:dyDescent="0.3">
      <c r="A6194" s="17" t="str">
        <f>"J1730"</f>
        <v>J1730</v>
      </c>
      <c r="B6194" s="5" t="s">
        <v>6200</v>
      </c>
      <c r="C6194" s="17">
        <v>20230101</v>
      </c>
      <c r="D6194" s="17">
        <v>22991231</v>
      </c>
      <c r="E6194" s="25">
        <v>0</v>
      </c>
    </row>
    <row r="6195" spans="1:5" x14ac:dyDescent="0.3">
      <c r="A6195" s="17" t="str">
        <f>"J1738"</f>
        <v>J1738</v>
      </c>
      <c r="B6195" s="5" t="s">
        <v>6201</v>
      </c>
      <c r="C6195" s="17">
        <v>20230101</v>
      </c>
      <c r="D6195" s="17">
        <v>22991231</v>
      </c>
      <c r="E6195" s="25">
        <v>0</v>
      </c>
    </row>
    <row r="6196" spans="1:5" x14ac:dyDescent="0.3">
      <c r="A6196" s="17" t="str">
        <f>"J1740"</f>
        <v>J1740</v>
      </c>
      <c r="B6196" s="5" t="s">
        <v>6202</v>
      </c>
      <c r="C6196" s="17">
        <v>20230101</v>
      </c>
      <c r="D6196" s="17">
        <v>22991231</v>
      </c>
      <c r="E6196" s="25">
        <v>0</v>
      </c>
    </row>
    <row r="6197" spans="1:5" x14ac:dyDescent="0.3">
      <c r="A6197" s="17" t="str">
        <f>"J1741"</f>
        <v>J1741</v>
      </c>
      <c r="B6197" s="5" t="s">
        <v>6203</v>
      </c>
      <c r="C6197" s="17">
        <v>20230101</v>
      </c>
      <c r="D6197" s="17">
        <v>22991231</v>
      </c>
      <c r="E6197" s="25">
        <v>0</v>
      </c>
    </row>
    <row r="6198" spans="1:5" x14ac:dyDescent="0.3">
      <c r="A6198" s="17" t="str">
        <f>"J1742"</f>
        <v>J1742</v>
      </c>
      <c r="B6198" s="5" t="s">
        <v>6204</v>
      </c>
      <c r="C6198" s="17">
        <v>20230101</v>
      </c>
      <c r="D6198" s="17">
        <v>22991231</v>
      </c>
      <c r="E6198" s="25">
        <v>181.72</v>
      </c>
    </row>
    <row r="6199" spans="1:5" x14ac:dyDescent="0.3">
      <c r="A6199" s="17" t="str">
        <f>"J1743"</f>
        <v>J1743</v>
      </c>
      <c r="B6199" s="5" t="s">
        <v>6205</v>
      </c>
      <c r="C6199" s="17">
        <v>20230101</v>
      </c>
      <c r="D6199" s="17">
        <v>22991231</v>
      </c>
      <c r="E6199" s="25">
        <v>518.57000000000005</v>
      </c>
    </row>
    <row r="6200" spans="1:5" x14ac:dyDescent="0.3">
      <c r="A6200" s="17" t="str">
        <f>"J1744"</f>
        <v>J1744</v>
      </c>
      <c r="B6200" s="5" t="s">
        <v>6206</v>
      </c>
      <c r="C6200" s="17">
        <v>20230101</v>
      </c>
      <c r="D6200" s="17">
        <v>22991231</v>
      </c>
      <c r="E6200" s="25">
        <v>163.19</v>
      </c>
    </row>
    <row r="6201" spans="1:5" x14ac:dyDescent="0.3">
      <c r="A6201" s="17" t="str">
        <f>"J1745"</f>
        <v>J1745</v>
      </c>
      <c r="B6201" s="5" t="s">
        <v>6207</v>
      </c>
      <c r="C6201" s="17">
        <v>20230101</v>
      </c>
      <c r="D6201" s="17">
        <v>22991231</v>
      </c>
      <c r="E6201" s="25">
        <v>30.72</v>
      </c>
    </row>
    <row r="6202" spans="1:5" x14ac:dyDescent="0.3">
      <c r="A6202" s="17" t="str">
        <f>"J1746"</f>
        <v>J1746</v>
      </c>
      <c r="B6202" s="5" t="s">
        <v>6208</v>
      </c>
      <c r="C6202" s="17">
        <v>20230101</v>
      </c>
      <c r="D6202" s="17">
        <v>22991231</v>
      </c>
      <c r="E6202" s="25">
        <v>71.27</v>
      </c>
    </row>
    <row r="6203" spans="1:5" x14ac:dyDescent="0.3">
      <c r="A6203" s="17" t="str">
        <f>"J1747"</f>
        <v>J1747</v>
      </c>
      <c r="B6203" s="5" t="s">
        <v>6209</v>
      </c>
      <c r="C6203" s="17">
        <v>20240101</v>
      </c>
      <c r="D6203" s="17">
        <v>22991231</v>
      </c>
      <c r="E6203" s="25">
        <v>57.52</v>
      </c>
    </row>
    <row r="6204" spans="1:5" x14ac:dyDescent="0.3">
      <c r="A6204" s="17" t="str">
        <f>"J1750"</f>
        <v>J1750</v>
      </c>
      <c r="B6204" s="5" t="s">
        <v>6210</v>
      </c>
      <c r="C6204" s="17">
        <v>20230101</v>
      </c>
      <c r="D6204" s="17">
        <v>22991231</v>
      </c>
      <c r="E6204" s="25">
        <v>16.54</v>
      </c>
    </row>
    <row r="6205" spans="1:5" x14ac:dyDescent="0.3">
      <c r="A6205" s="17" t="str">
        <f>"J1756"</f>
        <v>J1756</v>
      </c>
      <c r="B6205" s="5" t="s">
        <v>6211</v>
      </c>
      <c r="C6205" s="17">
        <v>20230101</v>
      </c>
      <c r="D6205" s="17">
        <v>22991231</v>
      </c>
      <c r="E6205" s="25">
        <v>0</v>
      </c>
    </row>
    <row r="6206" spans="1:5" x14ac:dyDescent="0.3">
      <c r="A6206" s="17" t="str">
        <f>"J1786"</f>
        <v>J1786</v>
      </c>
      <c r="B6206" s="5" t="s">
        <v>6212</v>
      </c>
      <c r="C6206" s="17">
        <v>20230101</v>
      </c>
      <c r="D6206" s="17">
        <v>22991231</v>
      </c>
      <c r="E6206" s="25">
        <v>42.05</v>
      </c>
    </row>
    <row r="6207" spans="1:5" x14ac:dyDescent="0.3">
      <c r="A6207" s="17" t="str">
        <f>"J1790"</f>
        <v>J1790</v>
      </c>
      <c r="B6207" s="5" t="s">
        <v>6213</v>
      </c>
      <c r="C6207" s="17">
        <v>20230101</v>
      </c>
      <c r="D6207" s="17">
        <v>22991231</v>
      </c>
      <c r="E6207" s="25">
        <v>0</v>
      </c>
    </row>
    <row r="6208" spans="1:5" x14ac:dyDescent="0.3">
      <c r="A6208" s="17" t="str">
        <f>"J1800"</f>
        <v>J1800</v>
      </c>
      <c r="B6208" s="5" t="s">
        <v>6214</v>
      </c>
      <c r="C6208" s="17">
        <v>20230101</v>
      </c>
      <c r="D6208" s="17">
        <v>22991231</v>
      </c>
      <c r="E6208" s="25">
        <v>0</v>
      </c>
    </row>
    <row r="6209" spans="1:5" x14ac:dyDescent="0.3">
      <c r="A6209" s="17" t="str">
        <f>"J1805"</f>
        <v>J1805</v>
      </c>
      <c r="B6209" s="5" t="s">
        <v>6215</v>
      </c>
      <c r="C6209" s="17">
        <v>20240101</v>
      </c>
      <c r="D6209" s="17">
        <v>22991231</v>
      </c>
      <c r="E6209" s="25">
        <v>0.25</v>
      </c>
    </row>
    <row r="6210" spans="1:5" ht="39" x14ac:dyDescent="0.3">
      <c r="A6210" s="17" t="str">
        <f>"J1806"</f>
        <v>J1806</v>
      </c>
      <c r="B6210" s="5" t="s">
        <v>6216</v>
      </c>
      <c r="C6210" s="17">
        <v>20240101</v>
      </c>
      <c r="D6210" s="17">
        <v>22991231</v>
      </c>
      <c r="E6210" s="25">
        <v>0.43</v>
      </c>
    </row>
    <row r="6211" spans="1:5" ht="26" x14ac:dyDescent="0.3">
      <c r="A6211" s="17" t="str">
        <f>"J1811"</f>
        <v>J1811</v>
      </c>
      <c r="B6211" s="5" t="s">
        <v>6217</v>
      </c>
      <c r="C6211" s="17">
        <v>20240101</v>
      </c>
      <c r="D6211" s="17">
        <v>22991231</v>
      </c>
      <c r="E6211" s="25">
        <v>6.5</v>
      </c>
    </row>
    <row r="6212" spans="1:5" x14ac:dyDescent="0.3">
      <c r="A6212" s="17" t="str">
        <f>"J1812"</f>
        <v>J1812</v>
      </c>
      <c r="B6212" s="5" t="s">
        <v>6218</v>
      </c>
      <c r="C6212" s="17">
        <v>20240101</v>
      </c>
      <c r="D6212" s="17">
        <v>22991231</v>
      </c>
      <c r="E6212" s="25">
        <v>0</v>
      </c>
    </row>
    <row r="6213" spans="1:5" ht="26" x14ac:dyDescent="0.3">
      <c r="A6213" s="17" t="str">
        <f>"J1813"</f>
        <v>J1813</v>
      </c>
      <c r="B6213" s="5" t="s">
        <v>6219</v>
      </c>
      <c r="C6213" s="17">
        <v>20240101</v>
      </c>
      <c r="D6213" s="17">
        <v>22991231</v>
      </c>
      <c r="E6213" s="25">
        <v>14.87</v>
      </c>
    </row>
    <row r="6214" spans="1:5" x14ac:dyDescent="0.3">
      <c r="A6214" s="17" t="str">
        <f>"J1814"</f>
        <v>J1814</v>
      </c>
      <c r="B6214" s="5" t="s">
        <v>6220</v>
      </c>
      <c r="C6214" s="17">
        <v>20240101</v>
      </c>
      <c r="D6214" s="17">
        <v>22991231</v>
      </c>
      <c r="E6214" s="25">
        <v>0</v>
      </c>
    </row>
    <row r="6215" spans="1:5" x14ac:dyDescent="0.3">
      <c r="A6215" s="17" t="str">
        <f>"J1815"</f>
        <v>J1815</v>
      </c>
      <c r="B6215" s="5" t="s">
        <v>6221</v>
      </c>
      <c r="C6215" s="17">
        <v>20230101</v>
      </c>
      <c r="D6215" s="17">
        <v>22991231</v>
      </c>
      <c r="E6215" s="25">
        <v>0</v>
      </c>
    </row>
    <row r="6216" spans="1:5" ht="26" x14ac:dyDescent="0.3">
      <c r="A6216" s="17" t="str">
        <f>"J1817"</f>
        <v>J1817</v>
      </c>
      <c r="B6216" s="5" t="s">
        <v>6222</v>
      </c>
      <c r="C6216" s="17">
        <v>20230101</v>
      </c>
      <c r="D6216" s="17">
        <v>22991231</v>
      </c>
      <c r="E6216" s="25">
        <v>0</v>
      </c>
    </row>
    <row r="6217" spans="1:5" x14ac:dyDescent="0.3">
      <c r="A6217" s="17" t="str">
        <f>"J1823"</f>
        <v>J1823</v>
      </c>
      <c r="B6217" s="5" t="s">
        <v>6223</v>
      </c>
      <c r="C6217" s="17">
        <v>20230101</v>
      </c>
      <c r="D6217" s="17">
        <v>22991231</v>
      </c>
      <c r="E6217" s="25">
        <v>452.27</v>
      </c>
    </row>
    <row r="6218" spans="1:5" x14ac:dyDescent="0.3">
      <c r="A6218" s="17" t="str">
        <f>"J1826"</f>
        <v>J1826</v>
      </c>
      <c r="B6218" s="5" t="s">
        <v>6224</v>
      </c>
      <c r="C6218" s="17">
        <v>20230101</v>
      </c>
      <c r="D6218" s="17">
        <v>22991231</v>
      </c>
      <c r="E6218" s="25">
        <v>1825</v>
      </c>
    </row>
    <row r="6219" spans="1:5" ht="52" x14ac:dyDescent="0.3">
      <c r="A6219" s="17" t="str">
        <f>"J1830"</f>
        <v>J1830</v>
      </c>
      <c r="B6219" s="5" t="s">
        <v>6225</v>
      </c>
      <c r="C6219" s="17">
        <v>20230101</v>
      </c>
      <c r="D6219" s="17">
        <v>22991231</v>
      </c>
      <c r="E6219" s="25">
        <v>0</v>
      </c>
    </row>
    <row r="6220" spans="1:5" x14ac:dyDescent="0.3">
      <c r="A6220" s="17" t="str">
        <f>"J1833"</f>
        <v>J1833</v>
      </c>
      <c r="B6220" s="5" t="s">
        <v>6226</v>
      </c>
      <c r="C6220" s="17">
        <v>20230101</v>
      </c>
      <c r="D6220" s="17">
        <v>22991231</v>
      </c>
      <c r="E6220" s="25">
        <v>0.9</v>
      </c>
    </row>
    <row r="6221" spans="1:5" x14ac:dyDescent="0.3">
      <c r="A6221" s="17" t="str">
        <f>"J1835"</f>
        <v>J1835</v>
      </c>
      <c r="B6221" s="5" t="s">
        <v>6227</v>
      </c>
      <c r="C6221" s="17">
        <v>20230101</v>
      </c>
      <c r="D6221" s="17">
        <v>22991231</v>
      </c>
      <c r="E6221" s="25">
        <v>0</v>
      </c>
    </row>
    <row r="6222" spans="1:5" x14ac:dyDescent="0.3">
      <c r="A6222" s="17" t="str">
        <f>"J1836"</f>
        <v>J1836</v>
      </c>
      <c r="B6222" s="5" t="s">
        <v>6228</v>
      </c>
      <c r="C6222" s="17">
        <v>20240101</v>
      </c>
      <c r="D6222" s="17">
        <v>22991231</v>
      </c>
      <c r="E6222" s="25">
        <v>0.02</v>
      </c>
    </row>
    <row r="6223" spans="1:5" ht="26" x14ac:dyDescent="0.3">
      <c r="A6223" s="17" t="str">
        <f>"J1840"</f>
        <v>J1840</v>
      </c>
      <c r="B6223" s="5" t="s">
        <v>6229</v>
      </c>
      <c r="C6223" s="17">
        <v>20230101</v>
      </c>
      <c r="D6223" s="17">
        <v>20240331</v>
      </c>
      <c r="E6223" s="25">
        <v>0</v>
      </c>
    </row>
    <row r="6224" spans="1:5" ht="26" x14ac:dyDescent="0.3">
      <c r="A6224" s="17" t="str">
        <f>"J1850"</f>
        <v>J1850</v>
      </c>
      <c r="B6224" s="5" t="s">
        <v>6230</v>
      </c>
      <c r="C6224" s="17">
        <v>20230101</v>
      </c>
      <c r="D6224" s="17">
        <v>20240331</v>
      </c>
      <c r="E6224" s="25">
        <v>0</v>
      </c>
    </row>
    <row r="6225" spans="1:5" x14ac:dyDescent="0.3">
      <c r="A6225" s="17" t="str">
        <f>"J1885"</f>
        <v>J1885</v>
      </c>
      <c r="B6225" s="5" t="s">
        <v>6231</v>
      </c>
      <c r="C6225" s="17">
        <v>20230101</v>
      </c>
      <c r="D6225" s="17">
        <v>22991231</v>
      </c>
      <c r="E6225" s="25">
        <v>0</v>
      </c>
    </row>
    <row r="6226" spans="1:5" x14ac:dyDescent="0.3">
      <c r="A6226" s="17" t="str">
        <f>"J1890"</f>
        <v>J1890</v>
      </c>
      <c r="B6226" s="5" t="s">
        <v>6232</v>
      </c>
      <c r="C6226" s="17">
        <v>20230101</v>
      </c>
      <c r="D6226" s="17">
        <v>22991231</v>
      </c>
      <c r="E6226" s="25">
        <v>0</v>
      </c>
    </row>
    <row r="6227" spans="1:5" x14ac:dyDescent="0.3">
      <c r="A6227" s="17" t="str">
        <f>"J1920"</f>
        <v>J1920</v>
      </c>
      <c r="B6227" s="5" t="s">
        <v>6233</v>
      </c>
      <c r="C6227" s="17">
        <v>20240101</v>
      </c>
      <c r="D6227" s="17">
        <v>22991231</v>
      </c>
      <c r="E6227" s="25">
        <v>0.18</v>
      </c>
    </row>
    <row r="6228" spans="1:5" ht="26" x14ac:dyDescent="0.3">
      <c r="A6228" s="17" t="str">
        <f>"J1921"</f>
        <v>J1921</v>
      </c>
      <c r="B6228" s="5" t="s">
        <v>6234</v>
      </c>
      <c r="C6228" s="17">
        <v>20240101</v>
      </c>
      <c r="D6228" s="17">
        <v>22991231</v>
      </c>
      <c r="E6228" s="25">
        <v>2.4500000000000002</v>
      </c>
    </row>
    <row r="6229" spans="1:5" x14ac:dyDescent="0.3">
      <c r="A6229" s="17" t="str">
        <f>"J1930"</f>
        <v>J1930</v>
      </c>
      <c r="B6229" s="5" t="s">
        <v>6235</v>
      </c>
      <c r="C6229" s="17">
        <v>20090101</v>
      </c>
      <c r="D6229" s="17">
        <v>22991231</v>
      </c>
      <c r="E6229" s="25">
        <v>46.27</v>
      </c>
    </row>
    <row r="6230" spans="1:5" x14ac:dyDescent="0.3">
      <c r="A6230" s="17" t="str">
        <f>"J1931"</f>
        <v>J1931</v>
      </c>
      <c r="B6230" s="5" t="s">
        <v>6236</v>
      </c>
      <c r="C6230" s="17">
        <v>20050101</v>
      </c>
      <c r="D6230" s="17">
        <v>22991231</v>
      </c>
      <c r="E6230" s="25">
        <v>35.76</v>
      </c>
    </row>
    <row r="6231" spans="1:5" x14ac:dyDescent="0.3">
      <c r="A6231" s="17" t="str">
        <f>"J1932"</f>
        <v>J1932</v>
      </c>
      <c r="B6231" s="5" t="s">
        <v>6237</v>
      </c>
      <c r="C6231" s="17">
        <v>20230101</v>
      </c>
      <c r="D6231" s="17">
        <v>22991231</v>
      </c>
      <c r="E6231" s="25">
        <v>46.59</v>
      </c>
    </row>
    <row r="6232" spans="1:5" x14ac:dyDescent="0.3">
      <c r="A6232" s="17" t="str">
        <f>"J1939"</f>
        <v>J1939</v>
      </c>
      <c r="B6232" s="5" t="s">
        <v>6238</v>
      </c>
      <c r="C6232" s="17">
        <v>20240101</v>
      </c>
      <c r="D6232" s="17">
        <v>22991231</v>
      </c>
      <c r="E6232" s="25">
        <v>0</v>
      </c>
    </row>
    <row r="6233" spans="1:5" x14ac:dyDescent="0.3">
      <c r="A6233" s="17" t="str">
        <f>"J1940"</f>
        <v>J1940</v>
      </c>
      <c r="B6233" s="5" t="s">
        <v>6239</v>
      </c>
      <c r="C6233" s="17">
        <v>20230101</v>
      </c>
      <c r="D6233" s="17">
        <v>22991231</v>
      </c>
      <c r="E6233" s="25">
        <v>0</v>
      </c>
    </row>
    <row r="6234" spans="1:5" ht="26" x14ac:dyDescent="0.3">
      <c r="A6234" s="17" t="str">
        <f>"J1943"</f>
        <v>J1943</v>
      </c>
      <c r="B6234" s="5" t="s">
        <v>6240</v>
      </c>
      <c r="C6234" s="17">
        <v>20230101</v>
      </c>
      <c r="D6234" s="17">
        <v>22991231</v>
      </c>
      <c r="E6234" s="25">
        <v>2.95</v>
      </c>
    </row>
    <row r="6235" spans="1:5" x14ac:dyDescent="0.3">
      <c r="A6235" s="17" t="str">
        <f>"J1944"</f>
        <v>J1944</v>
      </c>
      <c r="B6235" s="5" t="s">
        <v>6241</v>
      </c>
      <c r="C6235" s="17">
        <v>20230101</v>
      </c>
      <c r="D6235" s="17">
        <v>22991231</v>
      </c>
      <c r="E6235" s="25">
        <v>2.97</v>
      </c>
    </row>
    <row r="6236" spans="1:5" x14ac:dyDescent="0.3">
      <c r="A6236" s="17" t="str">
        <f>"J1945"</f>
        <v>J1945</v>
      </c>
      <c r="B6236" s="5" t="s">
        <v>6242</v>
      </c>
      <c r="C6236" s="17">
        <v>20060101</v>
      </c>
      <c r="D6236" s="17">
        <v>22991231</v>
      </c>
      <c r="E6236" s="25">
        <v>0</v>
      </c>
    </row>
    <row r="6237" spans="1:5" ht="26" x14ac:dyDescent="0.3">
      <c r="A6237" s="17" t="str">
        <f>"J1950"</f>
        <v>J1950</v>
      </c>
      <c r="B6237" s="5" t="s">
        <v>6243</v>
      </c>
      <c r="C6237" s="17">
        <v>20230101</v>
      </c>
      <c r="D6237" s="17">
        <v>22991231</v>
      </c>
      <c r="E6237" s="25">
        <v>1494.43</v>
      </c>
    </row>
    <row r="6238" spans="1:5" ht="26" x14ac:dyDescent="0.3">
      <c r="A6238" s="17" t="str">
        <f>"J1951"</f>
        <v>J1951</v>
      </c>
      <c r="B6238" s="5" t="s">
        <v>6244</v>
      </c>
      <c r="C6238" s="17">
        <v>20230101</v>
      </c>
      <c r="D6238" s="17">
        <v>22991231</v>
      </c>
      <c r="E6238" s="25">
        <v>125.91</v>
      </c>
    </row>
    <row r="6239" spans="1:5" x14ac:dyDescent="0.3">
      <c r="A6239" s="17" t="str">
        <f>"J1952"</f>
        <v>J1952</v>
      </c>
      <c r="B6239" s="5" t="s">
        <v>6245</v>
      </c>
      <c r="C6239" s="17">
        <v>20230101</v>
      </c>
      <c r="D6239" s="17">
        <v>22991231</v>
      </c>
      <c r="E6239" s="25">
        <v>57.12</v>
      </c>
    </row>
    <row r="6240" spans="1:5" x14ac:dyDescent="0.3">
      <c r="A6240" s="17" t="str">
        <f>"J1953"</f>
        <v>J1953</v>
      </c>
      <c r="B6240" s="5" t="s">
        <v>6246</v>
      </c>
      <c r="C6240" s="17">
        <v>20090101</v>
      </c>
      <c r="D6240" s="17">
        <v>22991231</v>
      </c>
      <c r="E6240" s="25">
        <v>0</v>
      </c>
    </row>
    <row r="6241" spans="1:5" ht="26" x14ac:dyDescent="0.3">
      <c r="A6241" s="17" t="str">
        <f>"J1954"</f>
        <v>J1954</v>
      </c>
      <c r="B6241" s="5" t="s">
        <v>6247</v>
      </c>
      <c r="C6241" s="17">
        <v>20240101</v>
      </c>
      <c r="D6241" s="17">
        <v>22991231</v>
      </c>
      <c r="E6241" s="25">
        <v>339.35</v>
      </c>
    </row>
    <row r="6242" spans="1:5" x14ac:dyDescent="0.3">
      <c r="A6242" s="17" t="str">
        <f>"J1956"</f>
        <v>J1956</v>
      </c>
      <c r="B6242" s="5" t="s">
        <v>6248</v>
      </c>
      <c r="C6242" s="17">
        <v>20230101</v>
      </c>
      <c r="D6242" s="17">
        <v>22991231</v>
      </c>
      <c r="E6242" s="25">
        <v>0</v>
      </c>
    </row>
    <row r="6243" spans="1:5" x14ac:dyDescent="0.3">
      <c r="A6243" s="17" t="str">
        <f>"J1960"</f>
        <v>J1960</v>
      </c>
      <c r="B6243" s="5" t="s">
        <v>6249</v>
      </c>
      <c r="C6243" s="17">
        <v>20230101</v>
      </c>
      <c r="D6243" s="17">
        <v>22991231</v>
      </c>
      <c r="E6243" s="25">
        <v>0</v>
      </c>
    </row>
    <row r="6244" spans="1:5" x14ac:dyDescent="0.3">
      <c r="A6244" s="17" t="str">
        <f>"J1961"</f>
        <v>J1961</v>
      </c>
      <c r="B6244" s="5" t="s">
        <v>6250</v>
      </c>
      <c r="C6244" s="17">
        <v>20240101</v>
      </c>
      <c r="D6244" s="17">
        <v>22991231</v>
      </c>
      <c r="E6244" s="25">
        <v>20.95</v>
      </c>
    </row>
    <row r="6245" spans="1:5" x14ac:dyDescent="0.3">
      <c r="A6245" s="17" t="str">
        <f>"J1980"</f>
        <v>J1980</v>
      </c>
      <c r="B6245" s="5" t="s">
        <v>6251</v>
      </c>
      <c r="C6245" s="17">
        <v>20230101</v>
      </c>
      <c r="D6245" s="17">
        <v>22991231</v>
      </c>
      <c r="E6245" s="25">
        <v>0</v>
      </c>
    </row>
    <row r="6246" spans="1:5" x14ac:dyDescent="0.3">
      <c r="A6246" s="17" t="str">
        <f>"J1990"</f>
        <v>J1990</v>
      </c>
      <c r="B6246" s="5" t="s">
        <v>6252</v>
      </c>
      <c r="C6246" s="17">
        <v>20230101</v>
      </c>
      <c r="D6246" s="17">
        <v>22991231</v>
      </c>
      <c r="E6246" s="25">
        <v>0</v>
      </c>
    </row>
    <row r="6247" spans="1:5" ht="26" x14ac:dyDescent="0.3">
      <c r="A6247" s="17" t="str">
        <f>"J2001"</f>
        <v>J2001</v>
      </c>
      <c r="B6247" s="5" t="s">
        <v>6253</v>
      </c>
      <c r="C6247" s="17">
        <v>20230101</v>
      </c>
      <c r="D6247" s="17">
        <v>22991231</v>
      </c>
      <c r="E6247" s="25">
        <v>0</v>
      </c>
    </row>
    <row r="6248" spans="1:5" x14ac:dyDescent="0.3">
      <c r="A6248" s="17" t="str">
        <f>"J2010"</f>
        <v>J2010</v>
      </c>
      <c r="B6248" s="5" t="s">
        <v>6254</v>
      </c>
      <c r="C6248" s="17">
        <v>20230101</v>
      </c>
      <c r="D6248" s="17">
        <v>22991231</v>
      </c>
      <c r="E6248" s="25">
        <v>0</v>
      </c>
    </row>
    <row r="6249" spans="1:5" x14ac:dyDescent="0.3">
      <c r="A6249" s="17" t="str">
        <f>"J2020"</f>
        <v>J2020</v>
      </c>
      <c r="B6249" s="5" t="s">
        <v>6255</v>
      </c>
      <c r="C6249" s="17">
        <v>20230101</v>
      </c>
      <c r="D6249" s="17">
        <v>22991231</v>
      </c>
      <c r="E6249" s="25">
        <v>0</v>
      </c>
    </row>
    <row r="6250" spans="1:5" ht="26" x14ac:dyDescent="0.3">
      <c r="A6250" s="17" t="str">
        <f>"J2021"</f>
        <v>J2021</v>
      </c>
      <c r="B6250" s="5" t="s">
        <v>6256</v>
      </c>
      <c r="C6250" s="17">
        <v>20240101</v>
      </c>
      <c r="D6250" s="17">
        <v>22991231</v>
      </c>
      <c r="E6250" s="25">
        <v>19.16</v>
      </c>
    </row>
    <row r="6251" spans="1:5" x14ac:dyDescent="0.3">
      <c r="A6251" s="17" t="str">
        <f>"J2060"</f>
        <v>J2060</v>
      </c>
      <c r="B6251" s="5" t="s">
        <v>6257</v>
      </c>
      <c r="C6251" s="17">
        <v>20230101</v>
      </c>
      <c r="D6251" s="17">
        <v>22991231</v>
      </c>
      <c r="E6251" s="25">
        <v>0</v>
      </c>
    </row>
    <row r="6252" spans="1:5" x14ac:dyDescent="0.3">
      <c r="A6252" s="17" t="str">
        <f>"J2062"</f>
        <v>J2062</v>
      </c>
      <c r="B6252" s="5" t="s">
        <v>6258</v>
      </c>
      <c r="C6252" s="17">
        <v>20230101</v>
      </c>
      <c r="D6252" s="17">
        <v>22991231</v>
      </c>
      <c r="E6252" s="25">
        <v>0</v>
      </c>
    </row>
    <row r="6253" spans="1:5" x14ac:dyDescent="0.3">
      <c r="A6253" s="17" t="str">
        <f>"J2150"</f>
        <v>J2150</v>
      </c>
      <c r="B6253" s="5" t="s">
        <v>6259</v>
      </c>
      <c r="C6253" s="17">
        <v>20230101</v>
      </c>
      <c r="D6253" s="17">
        <v>22991231</v>
      </c>
      <c r="E6253" s="25">
        <v>0</v>
      </c>
    </row>
    <row r="6254" spans="1:5" x14ac:dyDescent="0.3">
      <c r="A6254" s="17" t="str">
        <f>"J2170"</f>
        <v>J2170</v>
      </c>
      <c r="B6254" s="5" t="s">
        <v>6260</v>
      </c>
      <c r="C6254" s="17">
        <v>20230101</v>
      </c>
      <c r="D6254" s="17">
        <v>22991231</v>
      </c>
      <c r="E6254" s="25">
        <v>0</v>
      </c>
    </row>
    <row r="6255" spans="1:5" x14ac:dyDescent="0.3">
      <c r="A6255" s="17" t="str">
        <f>"J2175"</f>
        <v>J2175</v>
      </c>
      <c r="B6255" s="5" t="s">
        <v>6261</v>
      </c>
      <c r="C6255" s="17">
        <v>20230101</v>
      </c>
      <c r="D6255" s="17">
        <v>22991231</v>
      </c>
      <c r="E6255" s="25">
        <v>0</v>
      </c>
    </row>
    <row r="6256" spans="1:5" ht="26" x14ac:dyDescent="0.3">
      <c r="A6256" s="17" t="str">
        <f>"J2180"</f>
        <v>J2180</v>
      </c>
      <c r="B6256" s="5" t="s">
        <v>6262</v>
      </c>
      <c r="C6256" s="17">
        <v>20230101</v>
      </c>
      <c r="D6256" s="17">
        <v>22991231</v>
      </c>
      <c r="E6256" s="25">
        <v>0</v>
      </c>
    </row>
    <row r="6257" spans="1:5" x14ac:dyDescent="0.3">
      <c r="A6257" s="17" t="str">
        <f>"J2182"</f>
        <v>J2182</v>
      </c>
      <c r="B6257" s="5" t="s">
        <v>6263</v>
      </c>
      <c r="C6257" s="17">
        <v>20230101</v>
      </c>
      <c r="D6257" s="17">
        <v>22991231</v>
      </c>
      <c r="E6257" s="25">
        <v>29.14</v>
      </c>
    </row>
    <row r="6258" spans="1:5" ht="26" x14ac:dyDescent="0.3">
      <c r="A6258" s="17" t="str">
        <f>"J2184"</f>
        <v>J2184</v>
      </c>
      <c r="B6258" s="5" t="s">
        <v>6264</v>
      </c>
      <c r="C6258" s="17">
        <v>20240101</v>
      </c>
      <c r="D6258" s="17">
        <v>22991231</v>
      </c>
      <c r="E6258" s="25">
        <v>2.02</v>
      </c>
    </row>
    <row r="6259" spans="1:5" x14ac:dyDescent="0.3">
      <c r="A6259" s="17" t="str">
        <f>"J2185"</f>
        <v>J2185</v>
      </c>
      <c r="B6259" s="5" t="s">
        <v>6265</v>
      </c>
      <c r="C6259" s="17">
        <v>20230101</v>
      </c>
      <c r="D6259" s="17">
        <v>22991231</v>
      </c>
      <c r="E6259" s="25">
        <v>0</v>
      </c>
    </row>
    <row r="6260" spans="1:5" ht="26" x14ac:dyDescent="0.3">
      <c r="A6260" s="17" t="str">
        <f>"J2186"</f>
        <v>J2186</v>
      </c>
      <c r="B6260" s="5" t="s">
        <v>6266</v>
      </c>
      <c r="C6260" s="17">
        <v>20230101</v>
      </c>
      <c r="D6260" s="17">
        <v>22991231</v>
      </c>
      <c r="E6260" s="25">
        <v>1.99</v>
      </c>
    </row>
    <row r="6261" spans="1:5" ht="26" x14ac:dyDescent="0.3">
      <c r="A6261" s="17" t="str">
        <f>"J2210"</f>
        <v>J2210</v>
      </c>
      <c r="B6261" s="5" t="s">
        <v>6267</v>
      </c>
      <c r="C6261" s="17">
        <v>20230101</v>
      </c>
      <c r="D6261" s="17">
        <v>22991231</v>
      </c>
      <c r="E6261" s="25">
        <v>0</v>
      </c>
    </row>
    <row r="6262" spans="1:5" x14ac:dyDescent="0.3">
      <c r="A6262" s="17" t="str">
        <f>"J2212"</f>
        <v>J2212</v>
      </c>
      <c r="B6262" s="5" t="s">
        <v>6268</v>
      </c>
      <c r="C6262" s="17">
        <v>20230101</v>
      </c>
      <c r="D6262" s="17">
        <v>22991231</v>
      </c>
      <c r="E6262" s="25">
        <v>1.1499999999999999</v>
      </c>
    </row>
    <row r="6263" spans="1:5" ht="26" x14ac:dyDescent="0.3">
      <c r="A6263" s="17" t="str">
        <f>"J2247"</f>
        <v>J2247</v>
      </c>
      <c r="B6263" s="5" t="s">
        <v>6269</v>
      </c>
      <c r="C6263" s="17">
        <v>20240101</v>
      </c>
      <c r="D6263" s="17">
        <v>22991231</v>
      </c>
      <c r="E6263" s="25">
        <v>0.32</v>
      </c>
    </row>
    <row r="6264" spans="1:5" x14ac:dyDescent="0.3">
      <c r="A6264" s="17" t="str">
        <f>"J2248"</f>
        <v>J2248</v>
      </c>
      <c r="B6264" s="5" t="s">
        <v>6270</v>
      </c>
      <c r="C6264" s="17">
        <v>20230101</v>
      </c>
      <c r="D6264" s="17">
        <v>22991231</v>
      </c>
      <c r="E6264" s="25">
        <v>0</v>
      </c>
    </row>
    <row r="6265" spans="1:5" x14ac:dyDescent="0.3">
      <c r="A6265" s="17" t="str">
        <f>"J2249"</f>
        <v>J2249</v>
      </c>
      <c r="B6265" s="5" t="s">
        <v>6271</v>
      </c>
      <c r="C6265" s="17">
        <v>20240101</v>
      </c>
      <c r="D6265" s="17">
        <v>22991231</v>
      </c>
      <c r="E6265" s="25">
        <v>0</v>
      </c>
    </row>
    <row r="6266" spans="1:5" x14ac:dyDescent="0.3">
      <c r="A6266" s="17" t="str">
        <f>"J2250"</f>
        <v>J2250</v>
      </c>
      <c r="B6266" s="5" t="s">
        <v>6272</v>
      </c>
      <c r="C6266" s="17">
        <v>20230101</v>
      </c>
      <c r="D6266" s="17">
        <v>22991231</v>
      </c>
      <c r="E6266" s="25">
        <v>0</v>
      </c>
    </row>
    <row r="6267" spans="1:5" ht="39" x14ac:dyDescent="0.3">
      <c r="A6267" s="17" t="str">
        <f>"J2251"</f>
        <v>J2251</v>
      </c>
      <c r="B6267" s="5" t="s">
        <v>6273</v>
      </c>
      <c r="C6267" s="17">
        <v>20240101</v>
      </c>
      <c r="D6267" s="17">
        <v>22991231</v>
      </c>
      <c r="E6267" s="25">
        <v>0.27</v>
      </c>
    </row>
    <row r="6268" spans="1:5" x14ac:dyDescent="0.3">
      <c r="A6268" s="17" t="str">
        <f>"J2260"</f>
        <v>J2260</v>
      </c>
      <c r="B6268" s="5" t="s">
        <v>6274</v>
      </c>
      <c r="C6268" s="17">
        <v>20230101</v>
      </c>
      <c r="D6268" s="17">
        <v>22991231</v>
      </c>
      <c r="E6268" s="25">
        <v>0</v>
      </c>
    </row>
    <row r="6269" spans="1:5" x14ac:dyDescent="0.3">
      <c r="A6269" s="17" t="str">
        <f>"J2265"</f>
        <v>J2265</v>
      </c>
      <c r="B6269" s="5" t="s">
        <v>6275</v>
      </c>
      <c r="C6269" s="17">
        <v>20230101</v>
      </c>
      <c r="D6269" s="17">
        <v>22991231</v>
      </c>
      <c r="E6269" s="25">
        <v>2.36</v>
      </c>
    </row>
    <row r="6270" spans="1:5" x14ac:dyDescent="0.3">
      <c r="A6270" s="17" t="str">
        <f>"J2270"</f>
        <v>J2270</v>
      </c>
      <c r="B6270" s="5" t="s">
        <v>6276</v>
      </c>
      <c r="C6270" s="17">
        <v>20230101</v>
      </c>
      <c r="D6270" s="17">
        <v>22991231</v>
      </c>
      <c r="E6270" s="25">
        <v>0</v>
      </c>
    </row>
    <row r="6271" spans="1:5" ht="26" x14ac:dyDescent="0.3">
      <c r="A6271" s="17" t="str">
        <f>"J2272"</f>
        <v>J2272</v>
      </c>
      <c r="B6271" s="5" t="s">
        <v>6277</v>
      </c>
      <c r="C6271" s="17">
        <v>20240101</v>
      </c>
      <c r="D6271" s="17">
        <v>22991231</v>
      </c>
      <c r="E6271" s="25">
        <v>7.1</v>
      </c>
    </row>
    <row r="6272" spans="1:5" ht="26" x14ac:dyDescent="0.3">
      <c r="A6272" s="17" t="str">
        <f>"J2274"</f>
        <v>J2274</v>
      </c>
      <c r="B6272" s="5" t="s">
        <v>6278</v>
      </c>
      <c r="C6272" s="17">
        <v>20230101</v>
      </c>
      <c r="D6272" s="17">
        <v>22991231</v>
      </c>
      <c r="E6272" s="25">
        <v>0</v>
      </c>
    </row>
    <row r="6273" spans="1:5" x14ac:dyDescent="0.3">
      <c r="A6273" s="17" t="str">
        <f>"J2278"</f>
        <v>J2278</v>
      </c>
      <c r="B6273" s="5" t="s">
        <v>6279</v>
      </c>
      <c r="C6273" s="17">
        <v>20060101</v>
      </c>
      <c r="D6273" s="17">
        <v>22991231</v>
      </c>
      <c r="E6273" s="25">
        <v>8.6300000000000008</v>
      </c>
    </row>
    <row r="6274" spans="1:5" x14ac:dyDescent="0.3">
      <c r="A6274" s="17" t="str">
        <f>"J2280"</f>
        <v>J2280</v>
      </c>
      <c r="B6274" s="5" t="s">
        <v>6280</v>
      </c>
      <c r="C6274" s="17">
        <v>20230101</v>
      </c>
      <c r="D6274" s="17">
        <v>22991231</v>
      </c>
      <c r="E6274" s="25">
        <v>0</v>
      </c>
    </row>
    <row r="6275" spans="1:5" ht="26" x14ac:dyDescent="0.3">
      <c r="A6275" s="17" t="str">
        <f>"J2281"</f>
        <v>J2281</v>
      </c>
      <c r="B6275" s="5" t="s">
        <v>6281</v>
      </c>
      <c r="C6275" s="17">
        <v>20240101</v>
      </c>
      <c r="D6275" s="17">
        <v>22991231</v>
      </c>
      <c r="E6275" s="25">
        <v>5.55</v>
      </c>
    </row>
    <row r="6276" spans="1:5" x14ac:dyDescent="0.3">
      <c r="A6276" s="17" t="str">
        <f>"J2300"</f>
        <v>J2300</v>
      </c>
      <c r="B6276" s="5" t="s">
        <v>6282</v>
      </c>
      <c r="C6276" s="17">
        <v>20230101</v>
      </c>
      <c r="D6276" s="17">
        <v>22991231</v>
      </c>
      <c r="E6276" s="25">
        <v>0</v>
      </c>
    </row>
    <row r="6277" spans="1:5" x14ac:dyDescent="0.3">
      <c r="A6277" s="17" t="str">
        <f>"J2305"</f>
        <v>J2305</v>
      </c>
      <c r="B6277" s="5" t="s">
        <v>6283</v>
      </c>
      <c r="C6277" s="17">
        <v>20240101</v>
      </c>
      <c r="D6277" s="17">
        <v>22991231</v>
      </c>
      <c r="E6277" s="25">
        <v>1.23</v>
      </c>
    </row>
    <row r="6278" spans="1:5" x14ac:dyDescent="0.3">
      <c r="A6278" s="17" t="str">
        <f>"J2310"</f>
        <v>J2310</v>
      </c>
      <c r="B6278" s="5" t="s">
        <v>6284</v>
      </c>
      <c r="C6278" s="17">
        <v>20230101</v>
      </c>
      <c r="D6278" s="17">
        <v>22991231</v>
      </c>
      <c r="E6278" s="25">
        <v>0</v>
      </c>
    </row>
    <row r="6279" spans="1:5" x14ac:dyDescent="0.3">
      <c r="A6279" s="17" t="str">
        <f>"J2311"</f>
        <v>J2311</v>
      </c>
      <c r="B6279" s="5" t="s">
        <v>6285</v>
      </c>
      <c r="C6279" s="17">
        <v>20240101</v>
      </c>
      <c r="D6279" s="17">
        <v>22991231</v>
      </c>
      <c r="E6279" s="25">
        <v>5.5</v>
      </c>
    </row>
    <row r="6280" spans="1:5" x14ac:dyDescent="0.3">
      <c r="A6280" s="17" t="str">
        <f>"J2315"</f>
        <v>J2315</v>
      </c>
      <c r="B6280" s="5" t="s">
        <v>6286</v>
      </c>
      <c r="C6280" s="17">
        <v>20230101</v>
      </c>
      <c r="D6280" s="17">
        <v>22991231</v>
      </c>
      <c r="E6280" s="25">
        <v>3.78</v>
      </c>
    </row>
    <row r="6281" spans="1:5" x14ac:dyDescent="0.3">
      <c r="A6281" s="17" t="str">
        <f>"J2320"</f>
        <v>J2320</v>
      </c>
      <c r="B6281" s="5" t="s">
        <v>6287</v>
      </c>
      <c r="C6281" s="17">
        <v>20230101</v>
      </c>
      <c r="D6281" s="17">
        <v>22991231</v>
      </c>
      <c r="E6281" s="25">
        <v>0</v>
      </c>
    </row>
    <row r="6282" spans="1:5" x14ac:dyDescent="0.3">
      <c r="A6282" s="17" t="str">
        <f>"J2323"</f>
        <v>J2323</v>
      </c>
      <c r="B6282" s="5" t="s">
        <v>6288</v>
      </c>
      <c r="C6282" s="17">
        <v>20230101</v>
      </c>
      <c r="D6282" s="17">
        <v>22991231</v>
      </c>
      <c r="E6282" s="25">
        <v>23.35</v>
      </c>
    </row>
    <row r="6283" spans="1:5" x14ac:dyDescent="0.3">
      <c r="A6283" s="17" t="str">
        <f>"J2326"</f>
        <v>J2326</v>
      </c>
      <c r="B6283" s="5" t="s">
        <v>6289</v>
      </c>
      <c r="C6283" s="17">
        <v>20230101</v>
      </c>
      <c r="D6283" s="17">
        <v>22991231</v>
      </c>
      <c r="E6283" s="25">
        <v>1119.31</v>
      </c>
    </row>
    <row r="6284" spans="1:5" x14ac:dyDescent="0.3">
      <c r="A6284" s="17" t="str">
        <f>"J2327"</f>
        <v>J2327</v>
      </c>
      <c r="B6284" s="5" t="s">
        <v>6290</v>
      </c>
      <c r="C6284" s="17">
        <v>20230101</v>
      </c>
      <c r="D6284" s="17">
        <v>22991231</v>
      </c>
      <c r="E6284" s="25">
        <v>14.67</v>
      </c>
    </row>
    <row r="6285" spans="1:5" x14ac:dyDescent="0.3">
      <c r="A6285" s="17" t="str">
        <f>"J2329"</f>
        <v>J2329</v>
      </c>
      <c r="B6285" s="5" t="s">
        <v>6291</v>
      </c>
      <c r="C6285" s="17">
        <v>20240101</v>
      </c>
      <c r="D6285" s="17">
        <v>22991231</v>
      </c>
      <c r="E6285" s="25">
        <v>64.63</v>
      </c>
    </row>
    <row r="6286" spans="1:5" x14ac:dyDescent="0.3">
      <c r="A6286" s="17" t="str">
        <f>"J2350"</f>
        <v>J2350</v>
      </c>
      <c r="B6286" s="5" t="s">
        <v>6292</v>
      </c>
      <c r="C6286" s="17">
        <v>20190401</v>
      </c>
      <c r="D6286" s="17">
        <v>22991231</v>
      </c>
      <c r="E6286" s="25">
        <v>57.07</v>
      </c>
    </row>
    <row r="6287" spans="1:5" ht="26" x14ac:dyDescent="0.3">
      <c r="A6287" s="17" t="str">
        <f>"J2353"</f>
        <v>J2353</v>
      </c>
      <c r="B6287" s="5" t="s">
        <v>6293</v>
      </c>
      <c r="C6287" s="17">
        <v>20230101</v>
      </c>
      <c r="D6287" s="17">
        <v>22991231</v>
      </c>
      <c r="E6287" s="25">
        <v>201.37</v>
      </c>
    </row>
    <row r="6288" spans="1:5" ht="26" x14ac:dyDescent="0.3">
      <c r="A6288" s="17" t="str">
        <f>"J2354"</f>
        <v>J2354</v>
      </c>
      <c r="B6288" s="5" t="s">
        <v>6294</v>
      </c>
      <c r="C6288" s="17">
        <v>20230101</v>
      </c>
      <c r="D6288" s="17">
        <v>22991231</v>
      </c>
      <c r="E6288" s="25">
        <v>0</v>
      </c>
    </row>
    <row r="6289" spans="1:5" x14ac:dyDescent="0.3">
      <c r="A6289" s="17" t="str">
        <f>"J2355"</f>
        <v>J2355</v>
      </c>
      <c r="B6289" s="5" t="s">
        <v>6295</v>
      </c>
      <c r="C6289" s="17">
        <v>20230101</v>
      </c>
      <c r="D6289" s="17">
        <v>22991231</v>
      </c>
      <c r="E6289" s="25">
        <v>0</v>
      </c>
    </row>
    <row r="6290" spans="1:5" x14ac:dyDescent="0.3">
      <c r="A6290" s="17" t="str">
        <f>"J2356"</f>
        <v>J2356</v>
      </c>
      <c r="B6290" s="5" t="s">
        <v>6296</v>
      </c>
      <c r="C6290" s="17">
        <v>20230101</v>
      </c>
      <c r="D6290" s="17">
        <v>22991231</v>
      </c>
      <c r="E6290" s="25">
        <v>17.760000000000002</v>
      </c>
    </row>
    <row r="6291" spans="1:5" x14ac:dyDescent="0.3">
      <c r="A6291" s="17" t="str">
        <f>"J2357"</f>
        <v>J2357</v>
      </c>
      <c r="B6291" s="5" t="s">
        <v>6297</v>
      </c>
      <c r="C6291" s="17">
        <v>20050101</v>
      </c>
      <c r="D6291" s="17">
        <v>22991231</v>
      </c>
      <c r="E6291" s="25">
        <v>37.69</v>
      </c>
    </row>
    <row r="6292" spans="1:5" x14ac:dyDescent="0.3">
      <c r="A6292" s="17" t="str">
        <f>"J2358"</f>
        <v>J2358</v>
      </c>
      <c r="B6292" s="5" t="s">
        <v>6298</v>
      </c>
      <c r="C6292" s="17">
        <v>20230101</v>
      </c>
      <c r="D6292" s="17">
        <v>22991231</v>
      </c>
      <c r="E6292" s="25">
        <v>2.79</v>
      </c>
    </row>
    <row r="6293" spans="1:5" x14ac:dyDescent="0.3">
      <c r="A6293" s="17" t="str">
        <f>"J2359"</f>
        <v>J2359</v>
      </c>
      <c r="B6293" s="5" t="s">
        <v>6299</v>
      </c>
      <c r="C6293" s="17">
        <v>20240101</v>
      </c>
      <c r="D6293" s="17">
        <v>22991231</v>
      </c>
      <c r="E6293" s="25">
        <v>0.91</v>
      </c>
    </row>
    <row r="6294" spans="1:5" x14ac:dyDescent="0.3">
      <c r="A6294" s="17" t="str">
        <f>"J2360"</f>
        <v>J2360</v>
      </c>
      <c r="B6294" s="5" t="s">
        <v>6300</v>
      </c>
      <c r="C6294" s="17">
        <v>20230101</v>
      </c>
      <c r="D6294" s="17">
        <v>22991231</v>
      </c>
      <c r="E6294" s="25">
        <v>0</v>
      </c>
    </row>
    <row r="6295" spans="1:5" ht="26" x14ac:dyDescent="0.3">
      <c r="A6295" s="17" t="str">
        <f>"J2371"</f>
        <v>J2371</v>
      </c>
      <c r="B6295" s="5" t="s">
        <v>6301</v>
      </c>
      <c r="C6295" s="17">
        <v>20240101</v>
      </c>
      <c r="D6295" s="17">
        <v>22991231</v>
      </c>
      <c r="E6295" s="25">
        <v>0</v>
      </c>
    </row>
    <row r="6296" spans="1:5" ht="26" x14ac:dyDescent="0.3">
      <c r="A6296" s="17" t="str">
        <f>"J2372"</f>
        <v>J2372</v>
      </c>
      <c r="B6296" s="5" t="s">
        <v>6302</v>
      </c>
      <c r="C6296" s="17">
        <v>20240101</v>
      </c>
      <c r="D6296" s="17">
        <v>22991231</v>
      </c>
      <c r="E6296" s="25">
        <v>0.17</v>
      </c>
    </row>
    <row r="6297" spans="1:5" ht="26" x14ac:dyDescent="0.3">
      <c r="A6297" s="17" t="str">
        <f>"J2401"</f>
        <v>J2401</v>
      </c>
      <c r="B6297" s="5" t="s">
        <v>6303</v>
      </c>
      <c r="C6297" s="17">
        <v>20240101</v>
      </c>
      <c r="D6297" s="17">
        <v>22991231</v>
      </c>
      <c r="E6297" s="25">
        <v>0.04</v>
      </c>
    </row>
    <row r="6298" spans="1:5" ht="26" x14ac:dyDescent="0.3">
      <c r="A6298" s="17" t="str">
        <f>"J2402"</f>
        <v>J2402</v>
      </c>
      <c r="B6298" s="5" t="s">
        <v>6304</v>
      </c>
      <c r="C6298" s="17">
        <v>20240101</v>
      </c>
      <c r="D6298" s="17">
        <v>22991231</v>
      </c>
      <c r="E6298" s="25">
        <v>0</v>
      </c>
    </row>
    <row r="6299" spans="1:5" x14ac:dyDescent="0.3">
      <c r="A6299" s="17" t="str">
        <f>"J2403"</f>
        <v>J2403</v>
      </c>
      <c r="B6299" s="5" t="s">
        <v>6305</v>
      </c>
      <c r="C6299" s="17">
        <v>20240101</v>
      </c>
      <c r="D6299" s="17">
        <v>22991231</v>
      </c>
      <c r="E6299" s="25">
        <v>0.68</v>
      </c>
    </row>
    <row r="6300" spans="1:5" x14ac:dyDescent="0.3">
      <c r="A6300" s="17" t="str">
        <f>"J2404"</f>
        <v>J2404</v>
      </c>
      <c r="B6300" s="5" t="s">
        <v>6306</v>
      </c>
      <c r="C6300" s="17">
        <v>20240101</v>
      </c>
      <c r="D6300" s="17">
        <v>22991231</v>
      </c>
      <c r="E6300" s="25">
        <v>0</v>
      </c>
    </row>
    <row r="6301" spans="1:5" x14ac:dyDescent="0.3">
      <c r="A6301" s="17" t="str">
        <f>"J2405"</f>
        <v>J2405</v>
      </c>
      <c r="B6301" s="5" t="s">
        <v>6307</v>
      </c>
      <c r="C6301" s="17">
        <v>20230101</v>
      </c>
      <c r="D6301" s="17">
        <v>22991231</v>
      </c>
      <c r="E6301" s="25">
        <v>0</v>
      </c>
    </row>
    <row r="6302" spans="1:5" x14ac:dyDescent="0.3">
      <c r="A6302" s="17" t="str">
        <f>"J2406"</f>
        <v>J2406</v>
      </c>
      <c r="B6302" s="5" t="s">
        <v>6308</v>
      </c>
      <c r="C6302" s="17">
        <v>20230101</v>
      </c>
      <c r="D6302" s="17">
        <v>22991231</v>
      </c>
      <c r="E6302" s="25">
        <v>39.08</v>
      </c>
    </row>
    <row r="6303" spans="1:5" x14ac:dyDescent="0.3">
      <c r="A6303" s="17" t="str">
        <f>"J2407"</f>
        <v>J2407</v>
      </c>
      <c r="B6303" s="5" t="s">
        <v>6309</v>
      </c>
      <c r="C6303" s="17">
        <v>20230101</v>
      </c>
      <c r="D6303" s="17">
        <v>22991231</v>
      </c>
      <c r="E6303" s="25">
        <v>26.36</v>
      </c>
    </row>
    <row r="6304" spans="1:5" x14ac:dyDescent="0.3">
      <c r="A6304" s="17" t="str">
        <f>"J2410"</f>
        <v>J2410</v>
      </c>
      <c r="B6304" s="5" t="s">
        <v>6310</v>
      </c>
      <c r="C6304" s="17">
        <v>20230101</v>
      </c>
      <c r="D6304" s="17">
        <v>22991231</v>
      </c>
      <c r="E6304" s="25">
        <v>0</v>
      </c>
    </row>
    <row r="6305" spans="1:5" x14ac:dyDescent="0.3">
      <c r="A6305" s="17" t="str">
        <f>"J2425"</f>
        <v>J2425</v>
      </c>
      <c r="B6305" s="5" t="s">
        <v>6311</v>
      </c>
      <c r="C6305" s="17">
        <v>20060101</v>
      </c>
      <c r="D6305" s="17">
        <v>22991231</v>
      </c>
      <c r="E6305" s="25">
        <v>25.32</v>
      </c>
    </row>
    <row r="6306" spans="1:5" ht="26" x14ac:dyDescent="0.3">
      <c r="A6306" s="17" t="str">
        <f>"J2426"</f>
        <v>J2426</v>
      </c>
      <c r="B6306" s="5" t="s">
        <v>6312</v>
      </c>
      <c r="C6306" s="17">
        <v>20230101</v>
      </c>
      <c r="D6306" s="17">
        <v>22991231</v>
      </c>
      <c r="E6306" s="25">
        <v>13.68</v>
      </c>
    </row>
    <row r="6307" spans="1:5" ht="26" x14ac:dyDescent="0.3">
      <c r="A6307" s="17" t="str">
        <f>"J2427"</f>
        <v>J2427</v>
      </c>
      <c r="B6307" s="5" t="s">
        <v>6313</v>
      </c>
      <c r="C6307" s="17">
        <v>20240101</v>
      </c>
      <c r="D6307" s="17">
        <v>22991231</v>
      </c>
      <c r="E6307" s="25">
        <v>11.66</v>
      </c>
    </row>
    <row r="6308" spans="1:5" x14ac:dyDescent="0.3">
      <c r="A6308" s="17" t="str">
        <f>"J2430"</f>
        <v>J2430</v>
      </c>
      <c r="B6308" s="5" t="s">
        <v>6314</v>
      </c>
      <c r="C6308" s="17">
        <v>20230101</v>
      </c>
      <c r="D6308" s="17">
        <v>22991231</v>
      </c>
      <c r="E6308" s="25">
        <v>0</v>
      </c>
    </row>
    <row r="6309" spans="1:5" x14ac:dyDescent="0.3">
      <c r="A6309" s="17" t="str">
        <f>"J2440"</f>
        <v>J2440</v>
      </c>
      <c r="B6309" s="5" t="s">
        <v>6315</v>
      </c>
      <c r="C6309" s="17">
        <v>20230101</v>
      </c>
      <c r="D6309" s="17">
        <v>22991231</v>
      </c>
      <c r="E6309" s="25">
        <v>0</v>
      </c>
    </row>
    <row r="6310" spans="1:5" x14ac:dyDescent="0.3">
      <c r="A6310" s="17" t="str">
        <f>"J2460"</f>
        <v>J2460</v>
      </c>
      <c r="B6310" s="5" t="s">
        <v>6316</v>
      </c>
      <c r="C6310" s="17">
        <v>20230101</v>
      </c>
      <c r="D6310" s="17">
        <v>22991231</v>
      </c>
      <c r="E6310" s="25">
        <v>0</v>
      </c>
    </row>
    <row r="6311" spans="1:5" x14ac:dyDescent="0.3">
      <c r="A6311" s="17" t="str">
        <f>"J2469"</f>
        <v>J2469</v>
      </c>
      <c r="B6311" s="5" t="s">
        <v>6317</v>
      </c>
      <c r="C6311" s="17">
        <v>20050101</v>
      </c>
      <c r="D6311" s="17">
        <v>22991231</v>
      </c>
      <c r="E6311" s="25">
        <v>0</v>
      </c>
    </row>
    <row r="6312" spans="1:5" x14ac:dyDescent="0.3">
      <c r="A6312" s="17" t="str">
        <f>"J2501"</f>
        <v>J2501</v>
      </c>
      <c r="B6312" s="5" t="s">
        <v>6318</v>
      </c>
      <c r="C6312" s="17">
        <v>20230101</v>
      </c>
      <c r="D6312" s="17">
        <v>22991231</v>
      </c>
      <c r="E6312" s="25">
        <v>0</v>
      </c>
    </row>
    <row r="6313" spans="1:5" x14ac:dyDescent="0.3">
      <c r="A6313" s="17" t="str">
        <f>"J2502"</f>
        <v>J2502</v>
      </c>
      <c r="B6313" s="5" t="s">
        <v>6319</v>
      </c>
      <c r="C6313" s="17">
        <v>20230101</v>
      </c>
      <c r="D6313" s="17">
        <v>22991231</v>
      </c>
      <c r="E6313" s="25">
        <v>429.33</v>
      </c>
    </row>
    <row r="6314" spans="1:5" x14ac:dyDescent="0.3">
      <c r="A6314" s="17" t="str">
        <f>"J2503"</f>
        <v>J2503</v>
      </c>
      <c r="B6314" s="5" t="s">
        <v>6320</v>
      </c>
      <c r="C6314" s="17">
        <v>20230101</v>
      </c>
      <c r="D6314" s="17">
        <v>22991231</v>
      </c>
      <c r="E6314" s="25">
        <v>0</v>
      </c>
    </row>
    <row r="6315" spans="1:5" x14ac:dyDescent="0.3">
      <c r="A6315" s="17" t="str">
        <f>"J2504"</f>
        <v>J2504</v>
      </c>
      <c r="B6315" s="5" t="s">
        <v>6321</v>
      </c>
      <c r="C6315" s="17">
        <v>20230101</v>
      </c>
      <c r="D6315" s="17">
        <v>22991231</v>
      </c>
      <c r="E6315" s="25">
        <v>0</v>
      </c>
    </row>
    <row r="6316" spans="1:5" ht="26" x14ac:dyDescent="0.3">
      <c r="A6316" s="17" t="str">
        <f>"J2506"</f>
        <v>J2506</v>
      </c>
      <c r="B6316" s="5" t="s">
        <v>6322</v>
      </c>
      <c r="C6316" s="17">
        <v>20230101</v>
      </c>
      <c r="D6316" s="17">
        <v>22991231</v>
      </c>
      <c r="E6316" s="25">
        <v>48.41</v>
      </c>
    </row>
    <row r="6317" spans="1:5" x14ac:dyDescent="0.3">
      <c r="A6317" s="17" t="str">
        <f>"J2507"</f>
        <v>J2507</v>
      </c>
      <c r="B6317" s="5" t="s">
        <v>6323</v>
      </c>
      <c r="C6317" s="17">
        <v>20230101</v>
      </c>
      <c r="D6317" s="17">
        <v>22991231</v>
      </c>
      <c r="E6317" s="25">
        <v>3219.89</v>
      </c>
    </row>
    <row r="6318" spans="1:5" x14ac:dyDescent="0.3">
      <c r="A6318" s="17" t="str">
        <f>"J2508"</f>
        <v>J2508</v>
      </c>
      <c r="B6318" s="5" t="s">
        <v>6324</v>
      </c>
      <c r="C6318" s="17">
        <v>20240101</v>
      </c>
      <c r="D6318" s="17">
        <v>22991231</v>
      </c>
      <c r="E6318" s="25">
        <v>203.41</v>
      </c>
    </row>
    <row r="6319" spans="1:5" ht="26" x14ac:dyDescent="0.3">
      <c r="A6319" s="17" t="str">
        <f>"J2510"</f>
        <v>J2510</v>
      </c>
      <c r="B6319" s="5" t="s">
        <v>6325</v>
      </c>
      <c r="C6319" s="17">
        <v>20230101</v>
      </c>
      <c r="D6319" s="17">
        <v>22991231</v>
      </c>
      <c r="E6319" s="25">
        <v>39.1</v>
      </c>
    </row>
    <row r="6320" spans="1:5" x14ac:dyDescent="0.3">
      <c r="A6320" s="17" t="str">
        <f>"J2513"</f>
        <v>J2513</v>
      </c>
      <c r="B6320" s="5" t="s">
        <v>6326</v>
      </c>
      <c r="C6320" s="17">
        <v>20060101</v>
      </c>
      <c r="D6320" s="17">
        <v>22991231</v>
      </c>
      <c r="E6320" s="25">
        <v>0</v>
      </c>
    </row>
    <row r="6321" spans="1:5" x14ac:dyDescent="0.3">
      <c r="A6321" s="17" t="str">
        <f>"J2515"</f>
        <v>J2515</v>
      </c>
      <c r="B6321" s="5" t="s">
        <v>6327</v>
      </c>
      <c r="C6321" s="17">
        <v>20230101</v>
      </c>
      <c r="D6321" s="17">
        <v>22991231</v>
      </c>
      <c r="E6321" s="25">
        <v>0</v>
      </c>
    </row>
    <row r="6322" spans="1:5" ht="26" x14ac:dyDescent="0.3">
      <c r="A6322" s="17" t="str">
        <f>"J2540"</f>
        <v>J2540</v>
      </c>
      <c r="B6322" s="5" t="s">
        <v>6328</v>
      </c>
      <c r="C6322" s="17">
        <v>20230101</v>
      </c>
      <c r="D6322" s="17">
        <v>22991231</v>
      </c>
      <c r="E6322" s="25">
        <v>0</v>
      </c>
    </row>
    <row r="6323" spans="1:5" ht="26" x14ac:dyDescent="0.3">
      <c r="A6323" s="17" t="str">
        <f>"J2543"</f>
        <v>J2543</v>
      </c>
      <c r="B6323" s="5" t="s">
        <v>6329</v>
      </c>
      <c r="C6323" s="17">
        <v>20230101</v>
      </c>
      <c r="D6323" s="17">
        <v>22991231</v>
      </c>
      <c r="E6323" s="25">
        <v>0</v>
      </c>
    </row>
    <row r="6324" spans="1:5" x14ac:dyDescent="0.3">
      <c r="A6324" s="17" t="str">
        <f>"J2547"</f>
        <v>J2547</v>
      </c>
      <c r="B6324" s="5" t="s">
        <v>6330</v>
      </c>
      <c r="C6324" s="17">
        <v>20230101</v>
      </c>
      <c r="D6324" s="17">
        <v>22991231</v>
      </c>
      <c r="E6324" s="25">
        <v>1.6</v>
      </c>
    </row>
    <row r="6325" spans="1:5" x14ac:dyDescent="0.3">
      <c r="A6325" s="17" t="str">
        <f>"J2550"</f>
        <v>J2550</v>
      </c>
      <c r="B6325" s="5" t="s">
        <v>6331</v>
      </c>
      <c r="C6325" s="17">
        <v>20230101</v>
      </c>
      <c r="D6325" s="17">
        <v>22991231</v>
      </c>
      <c r="E6325" s="25">
        <v>0</v>
      </c>
    </row>
    <row r="6326" spans="1:5" x14ac:dyDescent="0.3">
      <c r="A6326" s="17" t="str">
        <f>"J2560"</f>
        <v>J2560</v>
      </c>
      <c r="B6326" s="5" t="s">
        <v>6332</v>
      </c>
      <c r="C6326" s="17">
        <v>20230101</v>
      </c>
      <c r="D6326" s="17">
        <v>22991231</v>
      </c>
      <c r="E6326" s="25">
        <v>0</v>
      </c>
    </row>
    <row r="6327" spans="1:5" x14ac:dyDescent="0.3">
      <c r="A6327" s="17" t="str">
        <f>"J2561"</f>
        <v>J2561</v>
      </c>
      <c r="B6327" s="5" t="s">
        <v>6333</v>
      </c>
      <c r="C6327" s="17">
        <v>20240101</v>
      </c>
      <c r="D6327" s="17">
        <v>22991231</v>
      </c>
      <c r="E6327" s="25">
        <v>0</v>
      </c>
    </row>
    <row r="6328" spans="1:5" x14ac:dyDescent="0.3">
      <c r="A6328" s="17" t="str">
        <f>"J2562"</f>
        <v>J2562</v>
      </c>
      <c r="B6328" s="5" t="s">
        <v>6334</v>
      </c>
      <c r="C6328" s="17">
        <v>20230101</v>
      </c>
      <c r="D6328" s="17">
        <v>22991231</v>
      </c>
      <c r="E6328" s="25">
        <v>165.13</v>
      </c>
    </row>
    <row r="6329" spans="1:5" x14ac:dyDescent="0.3">
      <c r="A6329" s="17" t="str">
        <f>"J2590"</f>
        <v>J2590</v>
      </c>
      <c r="B6329" s="5" t="s">
        <v>6335</v>
      </c>
      <c r="C6329" s="17">
        <v>20230101</v>
      </c>
      <c r="D6329" s="17">
        <v>22991231</v>
      </c>
      <c r="E6329" s="25">
        <v>0</v>
      </c>
    </row>
    <row r="6330" spans="1:5" x14ac:dyDescent="0.3">
      <c r="A6330" s="17" t="str">
        <f>"J2597"</f>
        <v>J2597</v>
      </c>
      <c r="B6330" s="5" t="s">
        <v>6336</v>
      </c>
      <c r="C6330" s="17">
        <v>20230101</v>
      </c>
      <c r="D6330" s="17">
        <v>22991231</v>
      </c>
      <c r="E6330" s="25">
        <v>6.05</v>
      </c>
    </row>
    <row r="6331" spans="1:5" x14ac:dyDescent="0.3">
      <c r="A6331" s="17" t="str">
        <f>"J2598"</f>
        <v>J2598</v>
      </c>
      <c r="B6331" s="5" t="s">
        <v>6337</v>
      </c>
      <c r="C6331" s="17">
        <v>20240101</v>
      </c>
      <c r="D6331" s="17">
        <v>22991231</v>
      </c>
      <c r="E6331" s="25">
        <v>1.74</v>
      </c>
    </row>
    <row r="6332" spans="1:5" ht="26" x14ac:dyDescent="0.3">
      <c r="A6332" s="17" t="str">
        <f>"J2599"</f>
        <v>J2599</v>
      </c>
      <c r="B6332" s="5" t="s">
        <v>6338</v>
      </c>
      <c r="C6332" s="17">
        <v>20240101</v>
      </c>
      <c r="D6332" s="17">
        <v>22991231</v>
      </c>
      <c r="E6332" s="25">
        <v>0.44</v>
      </c>
    </row>
    <row r="6333" spans="1:5" x14ac:dyDescent="0.3">
      <c r="A6333" s="17" t="str">
        <f>"J2650"</f>
        <v>J2650</v>
      </c>
      <c r="B6333" s="5" t="s">
        <v>6339</v>
      </c>
      <c r="C6333" s="17">
        <v>20230101</v>
      </c>
      <c r="D6333" s="17">
        <v>22991231</v>
      </c>
      <c r="E6333" s="25">
        <v>0</v>
      </c>
    </row>
    <row r="6334" spans="1:5" x14ac:dyDescent="0.3">
      <c r="A6334" s="17" t="str">
        <f>"J2670"</f>
        <v>J2670</v>
      </c>
      <c r="B6334" s="5" t="s">
        <v>6340</v>
      </c>
      <c r="C6334" s="17">
        <v>20230101</v>
      </c>
      <c r="D6334" s="17">
        <v>22991231</v>
      </c>
      <c r="E6334" s="25">
        <v>0</v>
      </c>
    </row>
    <row r="6335" spans="1:5" x14ac:dyDescent="0.3">
      <c r="A6335" s="17" t="str">
        <f>"J2675"</f>
        <v>J2675</v>
      </c>
      <c r="B6335" s="5" t="s">
        <v>6341</v>
      </c>
      <c r="C6335" s="17">
        <v>20230101</v>
      </c>
      <c r="D6335" s="17">
        <v>22991231</v>
      </c>
      <c r="E6335" s="25">
        <v>0</v>
      </c>
    </row>
    <row r="6336" spans="1:5" x14ac:dyDescent="0.3">
      <c r="A6336" s="17" t="str">
        <f>"J2679"</f>
        <v>J2679</v>
      </c>
      <c r="B6336" s="5" t="s">
        <v>6342</v>
      </c>
      <c r="C6336" s="17">
        <v>20240101</v>
      </c>
      <c r="D6336" s="17">
        <v>22991231</v>
      </c>
      <c r="E6336" s="25">
        <v>0</v>
      </c>
    </row>
    <row r="6337" spans="1:5" x14ac:dyDescent="0.3">
      <c r="A6337" s="17" t="str">
        <f>"J2680"</f>
        <v>J2680</v>
      </c>
      <c r="B6337" s="5" t="s">
        <v>6343</v>
      </c>
      <c r="C6337" s="17">
        <v>20230101</v>
      </c>
      <c r="D6337" s="17">
        <v>22991231</v>
      </c>
      <c r="E6337" s="25">
        <v>0</v>
      </c>
    </row>
    <row r="6338" spans="1:5" x14ac:dyDescent="0.3">
      <c r="A6338" s="17" t="str">
        <f>"J2690"</f>
        <v>J2690</v>
      </c>
      <c r="B6338" s="5" t="s">
        <v>6344</v>
      </c>
      <c r="C6338" s="17">
        <v>20230101</v>
      </c>
      <c r="D6338" s="17">
        <v>22991231</v>
      </c>
      <c r="E6338" s="25">
        <v>139.76</v>
      </c>
    </row>
    <row r="6339" spans="1:5" x14ac:dyDescent="0.3">
      <c r="A6339" s="17" t="str">
        <f>"J2700"</f>
        <v>J2700</v>
      </c>
      <c r="B6339" s="5" t="s">
        <v>6345</v>
      </c>
      <c r="C6339" s="17">
        <v>20230101</v>
      </c>
      <c r="D6339" s="17">
        <v>22991231</v>
      </c>
      <c r="E6339" s="25">
        <v>0</v>
      </c>
    </row>
    <row r="6340" spans="1:5" x14ac:dyDescent="0.3">
      <c r="A6340" s="17" t="str">
        <f>"J2704"</f>
        <v>J2704</v>
      </c>
      <c r="B6340" s="5" t="s">
        <v>6346</v>
      </c>
      <c r="C6340" s="17">
        <v>20230101</v>
      </c>
      <c r="D6340" s="17">
        <v>22991231</v>
      </c>
      <c r="E6340" s="25">
        <v>0</v>
      </c>
    </row>
    <row r="6341" spans="1:5" ht="26" x14ac:dyDescent="0.3">
      <c r="A6341" s="17" t="str">
        <f>"J2710"</f>
        <v>J2710</v>
      </c>
      <c r="B6341" s="5" t="s">
        <v>6347</v>
      </c>
      <c r="C6341" s="17">
        <v>20230101</v>
      </c>
      <c r="D6341" s="17">
        <v>22991231</v>
      </c>
      <c r="E6341" s="25">
        <v>0</v>
      </c>
    </row>
    <row r="6342" spans="1:5" x14ac:dyDescent="0.3">
      <c r="A6342" s="17" t="str">
        <f>"J2720"</f>
        <v>J2720</v>
      </c>
      <c r="B6342" s="5" t="s">
        <v>6348</v>
      </c>
      <c r="C6342" s="17">
        <v>20230101</v>
      </c>
      <c r="D6342" s="17">
        <v>22991231</v>
      </c>
      <c r="E6342" s="25">
        <v>0</v>
      </c>
    </row>
    <row r="6343" spans="1:5" ht="26" x14ac:dyDescent="0.3">
      <c r="A6343" s="17" t="str">
        <f>"J2724"</f>
        <v>J2724</v>
      </c>
      <c r="B6343" s="5" t="s">
        <v>6349</v>
      </c>
      <c r="C6343" s="17">
        <v>20230101</v>
      </c>
      <c r="D6343" s="17">
        <v>22991231</v>
      </c>
      <c r="E6343" s="25">
        <v>14.39</v>
      </c>
    </row>
    <row r="6344" spans="1:5" x14ac:dyDescent="0.3">
      <c r="A6344" s="17" t="str">
        <f>"J2725"</f>
        <v>J2725</v>
      </c>
      <c r="B6344" s="5" t="s">
        <v>6350</v>
      </c>
      <c r="C6344" s="17">
        <v>20230101</v>
      </c>
      <c r="D6344" s="17">
        <v>22991231</v>
      </c>
      <c r="E6344" s="25">
        <v>0</v>
      </c>
    </row>
    <row r="6345" spans="1:5" x14ac:dyDescent="0.3">
      <c r="A6345" s="17" t="str">
        <f>"J2730"</f>
        <v>J2730</v>
      </c>
      <c r="B6345" s="5" t="s">
        <v>6351</v>
      </c>
      <c r="C6345" s="17">
        <v>20230101</v>
      </c>
      <c r="D6345" s="17">
        <v>22991231</v>
      </c>
      <c r="E6345" s="25">
        <v>0</v>
      </c>
    </row>
    <row r="6346" spans="1:5" x14ac:dyDescent="0.3">
      <c r="A6346" s="17" t="str">
        <f>"J2760"</f>
        <v>J2760</v>
      </c>
      <c r="B6346" s="5" t="s">
        <v>6352</v>
      </c>
      <c r="C6346" s="17">
        <v>20230101</v>
      </c>
      <c r="D6346" s="17">
        <v>22991231</v>
      </c>
      <c r="E6346" s="25">
        <v>426.76</v>
      </c>
    </row>
    <row r="6347" spans="1:5" x14ac:dyDescent="0.3">
      <c r="A6347" s="17" t="str">
        <f>"J2765"</f>
        <v>J2765</v>
      </c>
      <c r="B6347" s="5" t="s">
        <v>6353</v>
      </c>
      <c r="C6347" s="17">
        <v>20230101</v>
      </c>
      <c r="D6347" s="17">
        <v>22991231</v>
      </c>
      <c r="E6347" s="25">
        <v>0</v>
      </c>
    </row>
    <row r="6348" spans="1:5" ht="26" x14ac:dyDescent="0.3">
      <c r="A6348" s="17" t="str">
        <f>"J2770"</f>
        <v>J2770</v>
      </c>
      <c r="B6348" s="5" t="s">
        <v>6354</v>
      </c>
      <c r="C6348" s="17">
        <v>20230101</v>
      </c>
      <c r="D6348" s="17">
        <v>22991231</v>
      </c>
      <c r="E6348" s="25">
        <v>471.82</v>
      </c>
    </row>
    <row r="6349" spans="1:5" x14ac:dyDescent="0.3">
      <c r="A6349" s="17" t="str">
        <f>"J2777"</f>
        <v>J2777</v>
      </c>
      <c r="B6349" s="5" t="s">
        <v>6355</v>
      </c>
      <c r="C6349" s="17">
        <v>20230101</v>
      </c>
      <c r="D6349" s="17">
        <v>22991231</v>
      </c>
      <c r="E6349" s="25">
        <v>34.47</v>
      </c>
    </row>
    <row r="6350" spans="1:5" x14ac:dyDescent="0.3">
      <c r="A6350" s="17" t="str">
        <f>"J2778"</f>
        <v>J2778</v>
      </c>
      <c r="B6350" s="5" t="s">
        <v>6356</v>
      </c>
      <c r="C6350" s="17">
        <v>20230101</v>
      </c>
      <c r="D6350" s="17">
        <v>22991231</v>
      </c>
      <c r="E6350" s="25">
        <v>179.14</v>
      </c>
    </row>
    <row r="6351" spans="1:5" ht="26" x14ac:dyDescent="0.3">
      <c r="A6351" s="17" t="str">
        <f>"J2779"</f>
        <v>J2779</v>
      </c>
      <c r="B6351" s="5" t="s">
        <v>6357</v>
      </c>
      <c r="C6351" s="17">
        <v>20230101</v>
      </c>
      <c r="D6351" s="17">
        <v>22991231</v>
      </c>
      <c r="E6351" s="25">
        <v>77.16</v>
      </c>
    </row>
    <row r="6352" spans="1:5" ht="26" x14ac:dyDescent="0.3">
      <c r="A6352" s="17" t="str">
        <f>"J2780"</f>
        <v>J2780</v>
      </c>
      <c r="B6352" s="5" t="s">
        <v>6358</v>
      </c>
      <c r="C6352" s="17">
        <v>20230101</v>
      </c>
      <c r="D6352" s="17">
        <v>20240630</v>
      </c>
      <c r="E6352" s="25">
        <v>0</v>
      </c>
    </row>
    <row r="6353" spans="1:5" x14ac:dyDescent="0.3">
      <c r="A6353" s="17" t="str">
        <f>"J2781"</f>
        <v>J2781</v>
      </c>
      <c r="B6353" s="5" t="s">
        <v>6359</v>
      </c>
      <c r="C6353" s="17">
        <v>20240101</v>
      </c>
      <c r="D6353" s="17">
        <v>22991231</v>
      </c>
      <c r="E6353" s="25">
        <v>144.66999999999999</v>
      </c>
    </row>
    <row r="6354" spans="1:5" x14ac:dyDescent="0.3">
      <c r="A6354" s="17" t="str">
        <f>"J2783"</f>
        <v>J2783</v>
      </c>
      <c r="B6354" s="5" t="s">
        <v>6360</v>
      </c>
      <c r="C6354" s="17">
        <v>20230101</v>
      </c>
      <c r="D6354" s="17">
        <v>22991231</v>
      </c>
      <c r="E6354" s="25">
        <v>350.8</v>
      </c>
    </row>
    <row r="6355" spans="1:5" x14ac:dyDescent="0.3">
      <c r="A6355" s="17" t="str">
        <f>"J2785"</f>
        <v>J2785</v>
      </c>
      <c r="B6355" s="5" t="s">
        <v>6361</v>
      </c>
      <c r="C6355" s="17">
        <v>20230101</v>
      </c>
      <c r="D6355" s="17">
        <v>22991231</v>
      </c>
      <c r="E6355" s="25">
        <v>0</v>
      </c>
    </row>
    <row r="6356" spans="1:5" x14ac:dyDescent="0.3">
      <c r="A6356" s="17" t="str">
        <f>"J2786"</f>
        <v>J2786</v>
      </c>
      <c r="B6356" s="5" t="s">
        <v>6362</v>
      </c>
      <c r="C6356" s="17">
        <v>20230101</v>
      </c>
      <c r="D6356" s="17">
        <v>22991231</v>
      </c>
      <c r="E6356" s="25">
        <v>9.7100000000000009</v>
      </c>
    </row>
    <row r="6357" spans="1:5" ht="26" x14ac:dyDescent="0.3">
      <c r="A6357" s="17" t="str">
        <f>"J2787"</f>
        <v>J2787</v>
      </c>
      <c r="B6357" s="5" t="s">
        <v>6363</v>
      </c>
      <c r="C6357" s="17">
        <v>20240101</v>
      </c>
      <c r="D6357" s="17">
        <v>22991231</v>
      </c>
      <c r="E6357" s="25">
        <v>0</v>
      </c>
    </row>
    <row r="6358" spans="1:5" ht="26" x14ac:dyDescent="0.3">
      <c r="A6358" s="17" t="str">
        <f>"J2788"</f>
        <v>J2788</v>
      </c>
      <c r="B6358" s="5" t="s">
        <v>6364</v>
      </c>
      <c r="C6358" s="17">
        <v>20230101</v>
      </c>
      <c r="D6358" s="17">
        <v>22991231</v>
      </c>
      <c r="E6358" s="25">
        <v>0</v>
      </c>
    </row>
    <row r="6359" spans="1:5" ht="26" x14ac:dyDescent="0.3">
      <c r="A6359" s="17" t="str">
        <f>"J2790"</f>
        <v>J2790</v>
      </c>
      <c r="B6359" s="5" t="s">
        <v>6365</v>
      </c>
      <c r="C6359" s="17">
        <v>20230101</v>
      </c>
      <c r="D6359" s="17">
        <v>22991231</v>
      </c>
      <c r="E6359" s="25">
        <v>0</v>
      </c>
    </row>
    <row r="6360" spans="1:5" ht="26" x14ac:dyDescent="0.3">
      <c r="A6360" s="17" t="str">
        <f>"J2791"</f>
        <v>J2791</v>
      </c>
      <c r="B6360" s="5" t="s">
        <v>6366</v>
      </c>
      <c r="C6360" s="17">
        <v>20230101</v>
      </c>
      <c r="D6360" s="17">
        <v>22991231</v>
      </c>
      <c r="E6360" s="25">
        <v>0</v>
      </c>
    </row>
    <row r="6361" spans="1:5" ht="26" x14ac:dyDescent="0.3">
      <c r="A6361" s="17" t="str">
        <f>"J2792"</f>
        <v>J2792</v>
      </c>
      <c r="B6361" s="5" t="s">
        <v>6367</v>
      </c>
      <c r="C6361" s="17">
        <v>20230101</v>
      </c>
      <c r="D6361" s="17">
        <v>22991231</v>
      </c>
      <c r="E6361" s="25">
        <v>31.48</v>
      </c>
    </row>
    <row r="6362" spans="1:5" x14ac:dyDescent="0.3">
      <c r="A6362" s="17" t="str">
        <f>"J2793"</f>
        <v>J2793</v>
      </c>
      <c r="B6362" s="5" t="s">
        <v>6368</v>
      </c>
      <c r="C6362" s="17">
        <v>20230101</v>
      </c>
      <c r="D6362" s="17">
        <v>22991231</v>
      </c>
      <c r="E6362" s="25">
        <v>0</v>
      </c>
    </row>
    <row r="6363" spans="1:5" x14ac:dyDescent="0.3">
      <c r="A6363" s="17" t="str">
        <f>"J2794"</f>
        <v>J2794</v>
      </c>
      <c r="B6363" s="5" t="s">
        <v>6369</v>
      </c>
      <c r="C6363" s="17">
        <v>20050101</v>
      </c>
      <c r="D6363" s="17">
        <v>22991231</v>
      </c>
      <c r="E6363" s="25">
        <v>11.61</v>
      </c>
    </row>
    <row r="6364" spans="1:5" x14ac:dyDescent="0.3">
      <c r="A6364" s="17" t="str">
        <f>"J2795"</f>
        <v>J2795</v>
      </c>
      <c r="B6364" s="5" t="s">
        <v>6370</v>
      </c>
      <c r="C6364" s="17">
        <v>20230101</v>
      </c>
      <c r="D6364" s="17">
        <v>22991231</v>
      </c>
      <c r="E6364" s="25">
        <v>0</v>
      </c>
    </row>
    <row r="6365" spans="1:5" x14ac:dyDescent="0.3">
      <c r="A6365" s="17" t="str">
        <f>"J2796"</f>
        <v>J2796</v>
      </c>
      <c r="B6365" s="5" t="s">
        <v>6371</v>
      </c>
      <c r="C6365" s="17">
        <v>20230101</v>
      </c>
      <c r="D6365" s="17">
        <v>22991231</v>
      </c>
      <c r="E6365" s="25">
        <v>91.72</v>
      </c>
    </row>
    <row r="6366" spans="1:5" x14ac:dyDescent="0.3">
      <c r="A6366" s="17" t="str">
        <f>"J2798"</f>
        <v>J2798</v>
      </c>
      <c r="B6366" s="5" t="s">
        <v>6372</v>
      </c>
      <c r="C6366" s="17">
        <v>20230101</v>
      </c>
      <c r="D6366" s="17">
        <v>22991231</v>
      </c>
      <c r="E6366" s="25">
        <v>11.1</v>
      </c>
    </row>
    <row r="6367" spans="1:5" x14ac:dyDescent="0.3">
      <c r="A6367" s="17" t="str">
        <f>"J2799"</f>
        <v>J2799</v>
      </c>
      <c r="B6367" s="5" t="s">
        <v>6373</v>
      </c>
      <c r="C6367" s="17">
        <v>20240101</v>
      </c>
      <c r="D6367" s="17">
        <v>22991231</v>
      </c>
      <c r="E6367" s="25">
        <v>23.59</v>
      </c>
    </row>
    <row r="6368" spans="1:5" x14ac:dyDescent="0.3">
      <c r="A6368" s="17" t="str">
        <f>"J2800"</f>
        <v>J2800</v>
      </c>
      <c r="B6368" s="5" t="s">
        <v>6374</v>
      </c>
      <c r="C6368" s="17">
        <v>20230101</v>
      </c>
      <c r="D6368" s="17">
        <v>22991231</v>
      </c>
      <c r="E6368" s="25">
        <v>0</v>
      </c>
    </row>
    <row r="6369" spans="1:5" x14ac:dyDescent="0.3">
      <c r="A6369" s="17" t="str">
        <f>"J2805"</f>
        <v>J2805</v>
      </c>
      <c r="B6369" s="5" t="s">
        <v>6375</v>
      </c>
      <c r="C6369" s="17">
        <v>20060101</v>
      </c>
      <c r="D6369" s="17">
        <v>22991231</v>
      </c>
      <c r="E6369" s="25">
        <v>0</v>
      </c>
    </row>
    <row r="6370" spans="1:5" ht="26" x14ac:dyDescent="0.3">
      <c r="A6370" s="17" t="str">
        <f>"J2806"</f>
        <v>J2806</v>
      </c>
      <c r="B6370" s="5" t="s">
        <v>6376</v>
      </c>
      <c r="C6370" s="17">
        <v>20240101</v>
      </c>
      <c r="D6370" s="17">
        <v>22991231</v>
      </c>
      <c r="E6370" s="25">
        <v>0</v>
      </c>
    </row>
    <row r="6371" spans="1:5" x14ac:dyDescent="0.3">
      <c r="A6371" s="17" t="str">
        <f>"J2810"</f>
        <v>J2810</v>
      </c>
      <c r="B6371" s="5" t="s">
        <v>6377</v>
      </c>
      <c r="C6371" s="17">
        <v>20230101</v>
      </c>
      <c r="D6371" s="17">
        <v>22991231</v>
      </c>
      <c r="E6371" s="25">
        <v>0</v>
      </c>
    </row>
    <row r="6372" spans="1:5" x14ac:dyDescent="0.3">
      <c r="A6372" s="17" t="str">
        <f>"J2820"</f>
        <v>J2820</v>
      </c>
      <c r="B6372" s="5" t="s">
        <v>6378</v>
      </c>
      <c r="C6372" s="17">
        <v>20230101</v>
      </c>
      <c r="D6372" s="17">
        <v>22991231</v>
      </c>
      <c r="E6372" s="25">
        <v>56.66</v>
      </c>
    </row>
    <row r="6373" spans="1:5" x14ac:dyDescent="0.3">
      <c r="A6373" s="17" t="str">
        <f>"J2840"</f>
        <v>J2840</v>
      </c>
      <c r="B6373" s="5" t="s">
        <v>6379</v>
      </c>
      <c r="C6373" s="17">
        <v>20230101</v>
      </c>
      <c r="D6373" s="17">
        <v>22991231</v>
      </c>
      <c r="E6373" s="25">
        <v>514.59</v>
      </c>
    </row>
    <row r="6374" spans="1:5" ht="26" x14ac:dyDescent="0.3">
      <c r="A6374" s="17" t="str">
        <f>"J2850"</f>
        <v>J2850</v>
      </c>
      <c r="B6374" s="5" t="s">
        <v>6380</v>
      </c>
      <c r="C6374" s="17">
        <v>20230101</v>
      </c>
      <c r="D6374" s="17">
        <v>22991231</v>
      </c>
      <c r="E6374" s="25">
        <v>39.869999999999997</v>
      </c>
    </row>
    <row r="6375" spans="1:5" x14ac:dyDescent="0.3">
      <c r="A6375" s="17" t="str">
        <f>"J2860"</f>
        <v>J2860</v>
      </c>
      <c r="B6375" s="5" t="s">
        <v>6381</v>
      </c>
      <c r="C6375" s="17">
        <v>20230101</v>
      </c>
      <c r="D6375" s="17">
        <v>22991231</v>
      </c>
      <c r="E6375" s="25">
        <v>142.26</v>
      </c>
    </row>
    <row r="6376" spans="1:5" x14ac:dyDescent="0.3">
      <c r="A6376" s="17" t="str">
        <f>"J2910"</f>
        <v>J2910</v>
      </c>
      <c r="B6376" s="5" t="s">
        <v>6382</v>
      </c>
      <c r="C6376" s="17">
        <v>20230101</v>
      </c>
      <c r="D6376" s="17">
        <v>22991231</v>
      </c>
      <c r="E6376" s="25">
        <v>0</v>
      </c>
    </row>
    <row r="6377" spans="1:5" ht="26" x14ac:dyDescent="0.3">
      <c r="A6377" s="17" t="str">
        <f>"J2916"</f>
        <v>J2916</v>
      </c>
      <c r="B6377" s="5" t="s">
        <v>6383</v>
      </c>
      <c r="C6377" s="17">
        <v>20230101</v>
      </c>
      <c r="D6377" s="17">
        <v>22991231</v>
      </c>
      <c r="E6377" s="25">
        <v>0</v>
      </c>
    </row>
    <row r="6378" spans="1:5" ht="26" x14ac:dyDescent="0.3">
      <c r="A6378" s="17" t="str">
        <f>"J2920"</f>
        <v>J2920</v>
      </c>
      <c r="B6378" s="5" t="s">
        <v>6384</v>
      </c>
      <c r="C6378" s="17">
        <v>20230101</v>
      </c>
      <c r="D6378" s="17">
        <v>20240331</v>
      </c>
      <c r="E6378" s="25">
        <v>0</v>
      </c>
    </row>
    <row r="6379" spans="1:5" ht="26" x14ac:dyDescent="0.3">
      <c r="A6379" s="17" t="str">
        <f>"J2930"</f>
        <v>J2930</v>
      </c>
      <c r="B6379" s="5" t="s">
        <v>6385</v>
      </c>
      <c r="C6379" s="17">
        <v>20230101</v>
      </c>
      <c r="D6379" s="17">
        <v>20240331</v>
      </c>
      <c r="E6379" s="25">
        <v>0</v>
      </c>
    </row>
    <row r="6380" spans="1:5" x14ac:dyDescent="0.3">
      <c r="A6380" s="17" t="str">
        <f>"J2940"</f>
        <v>J2940</v>
      </c>
      <c r="B6380" s="5" t="s">
        <v>6386</v>
      </c>
      <c r="C6380" s="17">
        <v>20230101</v>
      </c>
      <c r="D6380" s="17">
        <v>22991231</v>
      </c>
      <c r="E6380" s="25">
        <v>0</v>
      </c>
    </row>
    <row r="6381" spans="1:5" x14ac:dyDescent="0.3">
      <c r="A6381" s="17" t="str">
        <f>"J2941"</f>
        <v>J2941</v>
      </c>
      <c r="B6381" s="5" t="s">
        <v>6387</v>
      </c>
      <c r="C6381" s="17">
        <v>20230101</v>
      </c>
      <c r="D6381" s="17">
        <v>22991231</v>
      </c>
      <c r="E6381" s="25">
        <v>156.21</v>
      </c>
    </row>
    <row r="6382" spans="1:5" x14ac:dyDescent="0.3">
      <c r="A6382" s="17" t="str">
        <f>"J2950"</f>
        <v>J2950</v>
      </c>
      <c r="B6382" s="5" t="s">
        <v>6388</v>
      </c>
      <c r="C6382" s="17">
        <v>20230101</v>
      </c>
      <c r="D6382" s="17">
        <v>22991231</v>
      </c>
      <c r="E6382" s="25">
        <v>0</v>
      </c>
    </row>
    <row r="6383" spans="1:5" x14ac:dyDescent="0.3">
      <c r="A6383" s="17" t="str">
        <f>"J2993"</f>
        <v>J2993</v>
      </c>
      <c r="B6383" s="5" t="s">
        <v>6389</v>
      </c>
      <c r="C6383" s="17">
        <v>20230101</v>
      </c>
      <c r="D6383" s="17">
        <v>22991231</v>
      </c>
      <c r="E6383" s="25">
        <v>2644.21</v>
      </c>
    </row>
    <row r="6384" spans="1:5" x14ac:dyDescent="0.3">
      <c r="A6384" s="17" t="str">
        <f>"J2995"</f>
        <v>J2995</v>
      </c>
      <c r="B6384" s="5" t="s">
        <v>6390</v>
      </c>
      <c r="C6384" s="17">
        <v>20230101</v>
      </c>
      <c r="D6384" s="17">
        <v>22991231</v>
      </c>
      <c r="E6384" s="25">
        <v>0</v>
      </c>
    </row>
    <row r="6385" spans="1:5" x14ac:dyDescent="0.3">
      <c r="A6385" s="17" t="str">
        <f>"J2997"</f>
        <v>J2997</v>
      </c>
      <c r="B6385" s="5" t="s">
        <v>6391</v>
      </c>
      <c r="C6385" s="17">
        <v>20230101</v>
      </c>
      <c r="D6385" s="17">
        <v>22991231</v>
      </c>
      <c r="E6385" s="25">
        <v>84.98</v>
      </c>
    </row>
    <row r="6386" spans="1:5" x14ac:dyDescent="0.3">
      <c r="A6386" s="17" t="str">
        <f>"J2998"</f>
        <v>J2998</v>
      </c>
      <c r="B6386" s="5" t="s">
        <v>6392</v>
      </c>
      <c r="C6386" s="17">
        <v>20230101</v>
      </c>
      <c r="D6386" s="17">
        <v>22991231</v>
      </c>
      <c r="E6386" s="25">
        <v>30.37</v>
      </c>
    </row>
    <row r="6387" spans="1:5" x14ac:dyDescent="0.3">
      <c r="A6387" s="17" t="str">
        <f>"J3000"</f>
        <v>J3000</v>
      </c>
      <c r="B6387" s="5" t="s">
        <v>6393</v>
      </c>
      <c r="C6387" s="17">
        <v>20230101</v>
      </c>
      <c r="D6387" s="17">
        <v>22991231</v>
      </c>
      <c r="E6387" s="25">
        <v>0</v>
      </c>
    </row>
    <row r="6388" spans="1:5" x14ac:dyDescent="0.3">
      <c r="A6388" s="17" t="str">
        <f>"J3010"</f>
        <v>J3010</v>
      </c>
      <c r="B6388" s="5" t="s">
        <v>6394</v>
      </c>
      <c r="C6388" s="17">
        <v>20230101</v>
      </c>
      <c r="D6388" s="17">
        <v>22991231</v>
      </c>
      <c r="E6388" s="25">
        <v>0</v>
      </c>
    </row>
    <row r="6389" spans="1:5" ht="52" x14ac:dyDescent="0.3">
      <c r="A6389" s="17" t="str">
        <f>"J3030"</f>
        <v>J3030</v>
      </c>
      <c r="B6389" s="5" t="s">
        <v>6395</v>
      </c>
      <c r="C6389" s="17">
        <v>20230101</v>
      </c>
      <c r="D6389" s="17">
        <v>22991231</v>
      </c>
      <c r="E6389" s="25">
        <v>0</v>
      </c>
    </row>
    <row r="6390" spans="1:5" ht="52" x14ac:dyDescent="0.3">
      <c r="A6390" s="17" t="str">
        <f>"J3031"</f>
        <v>J3031</v>
      </c>
      <c r="B6390" s="5" t="s">
        <v>6396</v>
      </c>
      <c r="C6390" s="17">
        <v>20230101</v>
      </c>
      <c r="D6390" s="17">
        <v>22991231</v>
      </c>
      <c r="E6390" s="25">
        <v>1.76</v>
      </c>
    </row>
    <row r="6391" spans="1:5" x14ac:dyDescent="0.3">
      <c r="A6391" s="17" t="str">
        <f>"J3032"</f>
        <v>J3032</v>
      </c>
      <c r="B6391" s="5" t="s">
        <v>6397</v>
      </c>
      <c r="C6391" s="17">
        <v>20230101</v>
      </c>
      <c r="D6391" s="17">
        <v>22991231</v>
      </c>
      <c r="E6391" s="25">
        <v>17.25</v>
      </c>
    </row>
    <row r="6392" spans="1:5" x14ac:dyDescent="0.3">
      <c r="A6392" s="17" t="str">
        <f>"J3060"</f>
        <v>J3060</v>
      </c>
      <c r="B6392" s="5" t="s">
        <v>6398</v>
      </c>
      <c r="C6392" s="17">
        <v>20230101</v>
      </c>
      <c r="D6392" s="17">
        <v>22991231</v>
      </c>
      <c r="E6392" s="25">
        <v>43.01</v>
      </c>
    </row>
    <row r="6393" spans="1:5" x14ac:dyDescent="0.3">
      <c r="A6393" s="17" t="str">
        <f>"J3070"</f>
        <v>J3070</v>
      </c>
      <c r="B6393" s="5" t="s">
        <v>6399</v>
      </c>
      <c r="C6393" s="17">
        <v>20230101</v>
      </c>
      <c r="D6393" s="17">
        <v>22991231</v>
      </c>
      <c r="E6393" s="25">
        <v>0</v>
      </c>
    </row>
    <row r="6394" spans="1:5" x14ac:dyDescent="0.3">
      <c r="A6394" s="17" t="str">
        <f>"J3090"</f>
        <v>J3090</v>
      </c>
      <c r="B6394" s="5" t="s">
        <v>6400</v>
      </c>
      <c r="C6394" s="17">
        <v>20230101</v>
      </c>
      <c r="D6394" s="17">
        <v>22991231</v>
      </c>
      <c r="E6394" s="25">
        <v>1.7</v>
      </c>
    </row>
    <row r="6395" spans="1:5" x14ac:dyDescent="0.3">
      <c r="A6395" s="17" t="str">
        <f>"J3095"</f>
        <v>J3095</v>
      </c>
      <c r="B6395" s="5" t="s">
        <v>6401</v>
      </c>
      <c r="C6395" s="17">
        <v>20230101</v>
      </c>
      <c r="D6395" s="17">
        <v>22991231</v>
      </c>
      <c r="E6395" s="25">
        <v>6.73</v>
      </c>
    </row>
    <row r="6396" spans="1:5" x14ac:dyDescent="0.3">
      <c r="A6396" s="17" t="str">
        <f>"J3101"</f>
        <v>J3101</v>
      </c>
      <c r="B6396" s="5" t="s">
        <v>6402</v>
      </c>
      <c r="C6396" s="17">
        <v>20090101</v>
      </c>
      <c r="D6396" s="17">
        <v>22991231</v>
      </c>
      <c r="E6396" s="25">
        <v>146.24</v>
      </c>
    </row>
    <row r="6397" spans="1:5" x14ac:dyDescent="0.3">
      <c r="A6397" s="17" t="str">
        <f>"J3105"</f>
        <v>J3105</v>
      </c>
      <c r="B6397" s="5" t="s">
        <v>6403</v>
      </c>
      <c r="C6397" s="17">
        <v>20230101</v>
      </c>
      <c r="D6397" s="17">
        <v>22991231</v>
      </c>
      <c r="E6397" s="25">
        <v>0</v>
      </c>
    </row>
    <row r="6398" spans="1:5" x14ac:dyDescent="0.3">
      <c r="A6398" s="17" t="str">
        <f>"J3110"</f>
        <v>J3110</v>
      </c>
      <c r="B6398" s="5" t="s">
        <v>6404</v>
      </c>
      <c r="C6398" s="17">
        <v>20050101</v>
      </c>
      <c r="D6398" s="17">
        <v>22991231</v>
      </c>
      <c r="E6398" s="24" t="s">
        <v>7128</v>
      </c>
    </row>
    <row r="6399" spans="1:5" x14ac:dyDescent="0.3">
      <c r="A6399" s="17" t="str">
        <f>"J3111"</f>
        <v>J3111</v>
      </c>
      <c r="B6399" s="5" t="s">
        <v>6405</v>
      </c>
      <c r="C6399" s="17">
        <v>20230101</v>
      </c>
      <c r="D6399" s="17">
        <v>22991231</v>
      </c>
      <c r="E6399" s="25">
        <v>10.25</v>
      </c>
    </row>
    <row r="6400" spans="1:5" x14ac:dyDescent="0.3">
      <c r="A6400" s="17" t="str">
        <f>"J3121"</f>
        <v>J3121</v>
      </c>
      <c r="B6400" s="5" t="s">
        <v>6406</v>
      </c>
      <c r="C6400" s="17">
        <v>20230101</v>
      </c>
      <c r="D6400" s="17">
        <v>22991231</v>
      </c>
      <c r="E6400" s="25">
        <v>0</v>
      </c>
    </row>
    <row r="6401" spans="1:5" x14ac:dyDescent="0.3">
      <c r="A6401" s="17" t="str">
        <f>"J3145"</f>
        <v>J3145</v>
      </c>
      <c r="B6401" s="5" t="s">
        <v>6407</v>
      </c>
      <c r="C6401" s="17">
        <v>20230101</v>
      </c>
      <c r="D6401" s="17">
        <v>22991231</v>
      </c>
      <c r="E6401" s="25">
        <v>1.76</v>
      </c>
    </row>
    <row r="6402" spans="1:5" x14ac:dyDescent="0.3">
      <c r="A6402" s="17" t="str">
        <f>"J3230"</f>
        <v>J3230</v>
      </c>
      <c r="B6402" s="5" t="s">
        <v>6408</v>
      </c>
      <c r="C6402" s="17">
        <v>20230101</v>
      </c>
      <c r="D6402" s="17">
        <v>22991231</v>
      </c>
      <c r="E6402" s="25">
        <v>0</v>
      </c>
    </row>
    <row r="6403" spans="1:5" ht="26" x14ac:dyDescent="0.3">
      <c r="A6403" s="17" t="str">
        <f>"J3240"</f>
        <v>J3240</v>
      </c>
      <c r="B6403" s="5" t="s">
        <v>6409</v>
      </c>
      <c r="C6403" s="17">
        <v>20230101</v>
      </c>
      <c r="D6403" s="17">
        <v>22991231</v>
      </c>
      <c r="E6403" s="25">
        <v>1930.52</v>
      </c>
    </row>
    <row r="6404" spans="1:5" x14ac:dyDescent="0.3">
      <c r="A6404" s="17" t="str">
        <f>"J3241"</f>
        <v>J3241</v>
      </c>
      <c r="B6404" s="5" t="s">
        <v>6410</v>
      </c>
      <c r="C6404" s="17">
        <v>20230101</v>
      </c>
      <c r="D6404" s="17">
        <v>22991231</v>
      </c>
      <c r="E6404" s="25">
        <v>313.29000000000002</v>
      </c>
    </row>
    <row r="6405" spans="1:5" x14ac:dyDescent="0.3">
      <c r="A6405" s="17" t="str">
        <f>"J3243"</f>
        <v>J3243</v>
      </c>
      <c r="B6405" s="5" t="s">
        <v>6411</v>
      </c>
      <c r="C6405" s="17">
        <v>20230101</v>
      </c>
      <c r="D6405" s="17">
        <v>22991231</v>
      </c>
      <c r="E6405" s="25">
        <v>0</v>
      </c>
    </row>
    <row r="6406" spans="1:5" ht="26" x14ac:dyDescent="0.3">
      <c r="A6406" s="17" t="str">
        <f>"J3244"</f>
        <v>J3244</v>
      </c>
      <c r="B6406" s="5" t="s">
        <v>6412</v>
      </c>
      <c r="C6406" s="17">
        <v>20240101</v>
      </c>
      <c r="D6406" s="17">
        <v>22991231</v>
      </c>
      <c r="E6406" s="25">
        <v>2.5299999999999998</v>
      </c>
    </row>
    <row r="6407" spans="1:5" x14ac:dyDescent="0.3">
      <c r="A6407" s="17" t="str">
        <f>"J3245"</f>
        <v>J3245</v>
      </c>
      <c r="B6407" s="5" t="s">
        <v>6413</v>
      </c>
      <c r="C6407" s="17">
        <v>20230101</v>
      </c>
      <c r="D6407" s="17">
        <v>22991231</v>
      </c>
      <c r="E6407" s="25">
        <v>134.35</v>
      </c>
    </row>
    <row r="6408" spans="1:5" x14ac:dyDescent="0.3">
      <c r="A6408" s="17" t="str">
        <f>"J3246"</f>
        <v>J3246</v>
      </c>
      <c r="B6408" s="5" t="s">
        <v>6414</v>
      </c>
      <c r="C6408" s="17">
        <v>20050101</v>
      </c>
      <c r="D6408" s="17">
        <v>22991231</v>
      </c>
      <c r="E6408" s="25">
        <v>4.13</v>
      </c>
    </row>
    <row r="6409" spans="1:5" x14ac:dyDescent="0.3">
      <c r="A6409" s="17" t="str">
        <f>"J3250"</f>
        <v>J3250</v>
      </c>
      <c r="B6409" s="5" t="s">
        <v>6415</v>
      </c>
      <c r="C6409" s="17">
        <v>20230101</v>
      </c>
      <c r="D6409" s="17">
        <v>22991231</v>
      </c>
      <c r="E6409" s="25">
        <v>0</v>
      </c>
    </row>
    <row r="6410" spans="1:5" x14ac:dyDescent="0.3">
      <c r="A6410" s="17" t="str">
        <f>"J3260"</f>
        <v>J3260</v>
      </c>
      <c r="B6410" s="5" t="s">
        <v>6416</v>
      </c>
      <c r="C6410" s="17">
        <v>20230101</v>
      </c>
      <c r="D6410" s="17">
        <v>22991231</v>
      </c>
      <c r="E6410" s="25">
        <v>0</v>
      </c>
    </row>
    <row r="6411" spans="1:5" x14ac:dyDescent="0.3">
      <c r="A6411" s="17" t="str">
        <f>"J3262"</f>
        <v>J3262</v>
      </c>
      <c r="B6411" s="5" t="s">
        <v>6417</v>
      </c>
      <c r="C6411" s="17">
        <v>20230101</v>
      </c>
      <c r="D6411" s="17">
        <v>22991231</v>
      </c>
      <c r="E6411" s="25">
        <v>5.85</v>
      </c>
    </row>
    <row r="6412" spans="1:5" x14ac:dyDescent="0.3">
      <c r="A6412" s="17" t="str">
        <f>"J3265"</f>
        <v>J3265</v>
      </c>
      <c r="B6412" s="5" t="s">
        <v>6418</v>
      </c>
      <c r="C6412" s="17">
        <v>20230101</v>
      </c>
      <c r="D6412" s="17">
        <v>22991231</v>
      </c>
      <c r="E6412" s="25">
        <v>0</v>
      </c>
    </row>
    <row r="6413" spans="1:5" x14ac:dyDescent="0.3">
      <c r="A6413" s="17" t="str">
        <f>"J3280"</f>
        <v>J3280</v>
      </c>
      <c r="B6413" s="5" t="s">
        <v>6419</v>
      </c>
      <c r="C6413" s="17">
        <v>20230101</v>
      </c>
      <c r="D6413" s="17">
        <v>22991231</v>
      </c>
      <c r="E6413" s="25">
        <v>0</v>
      </c>
    </row>
    <row r="6414" spans="1:5" x14ac:dyDescent="0.3">
      <c r="A6414" s="17" t="str">
        <f>"J3285"</f>
        <v>J3285</v>
      </c>
      <c r="B6414" s="5" t="s">
        <v>6420</v>
      </c>
      <c r="C6414" s="17">
        <v>20230101</v>
      </c>
      <c r="D6414" s="17">
        <v>22991231</v>
      </c>
      <c r="E6414" s="25">
        <v>53.85</v>
      </c>
    </row>
    <row r="6415" spans="1:5" x14ac:dyDescent="0.3">
      <c r="A6415" s="17" t="str">
        <f>"J3299"</f>
        <v>J3299</v>
      </c>
      <c r="B6415" s="5" t="s">
        <v>6421</v>
      </c>
      <c r="C6415" s="17">
        <v>20230101</v>
      </c>
      <c r="D6415" s="17">
        <v>22991231</v>
      </c>
      <c r="E6415" s="25">
        <v>46.4</v>
      </c>
    </row>
    <row r="6416" spans="1:5" ht="26" x14ac:dyDescent="0.3">
      <c r="A6416" s="17" t="str">
        <f>"J3300"</f>
        <v>J3300</v>
      </c>
      <c r="B6416" s="5" t="s">
        <v>6422</v>
      </c>
      <c r="C6416" s="17">
        <v>20090101</v>
      </c>
      <c r="D6416" s="17">
        <v>22991231</v>
      </c>
      <c r="E6416" s="25">
        <v>0</v>
      </c>
    </row>
    <row r="6417" spans="1:5" ht="26" x14ac:dyDescent="0.3">
      <c r="A6417" s="17" t="str">
        <f>"J3301"</f>
        <v>J3301</v>
      </c>
      <c r="B6417" s="5" t="s">
        <v>6423</v>
      </c>
      <c r="C6417" s="17">
        <v>20230101</v>
      </c>
      <c r="D6417" s="17">
        <v>22991231</v>
      </c>
      <c r="E6417" s="25">
        <v>0</v>
      </c>
    </row>
    <row r="6418" spans="1:5" x14ac:dyDescent="0.3">
      <c r="A6418" s="17" t="str">
        <f>"J3302"</f>
        <v>J3302</v>
      </c>
      <c r="B6418" s="5" t="s">
        <v>6424</v>
      </c>
      <c r="C6418" s="17">
        <v>20230101</v>
      </c>
      <c r="D6418" s="17">
        <v>22991231</v>
      </c>
      <c r="E6418" s="25">
        <v>0</v>
      </c>
    </row>
    <row r="6419" spans="1:5" x14ac:dyDescent="0.3">
      <c r="A6419" s="17" t="str">
        <f>"J3303"</f>
        <v>J3303</v>
      </c>
      <c r="B6419" s="5" t="s">
        <v>6425</v>
      </c>
      <c r="C6419" s="17">
        <v>20230101</v>
      </c>
      <c r="D6419" s="17">
        <v>22991231</v>
      </c>
      <c r="E6419" s="25">
        <v>0</v>
      </c>
    </row>
    <row r="6420" spans="1:5" ht="39" x14ac:dyDescent="0.3">
      <c r="A6420" s="17" t="str">
        <f>"J3304"</f>
        <v>J3304</v>
      </c>
      <c r="B6420" s="5" t="s">
        <v>6426</v>
      </c>
      <c r="C6420" s="17">
        <v>20230101</v>
      </c>
      <c r="D6420" s="17">
        <v>22991231</v>
      </c>
      <c r="E6420" s="25">
        <v>16.75</v>
      </c>
    </row>
    <row r="6421" spans="1:5" x14ac:dyDescent="0.3">
      <c r="A6421" s="17" t="str">
        <f>"J3305"</f>
        <v>J3305</v>
      </c>
      <c r="B6421" s="5" t="s">
        <v>6427</v>
      </c>
      <c r="C6421" s="17">
        <v>20230101</v>
      </c>
      <c r="D6421" s="17">
        <v>22991231</v>
      </c>
      <c r="E6421" s="25">
        <v>0</v>
      </c>
    </row>
    <row r="6422" spans="1:5" x14ac:dyDescent="0.3">
      <c r="A6422" s="17" t="str">
        <f>"J3310"</f>
        <v>J3310</v>
      </c>
      <c r="B6422" s="5" t="s">
        <v>6428</v>
      </c>
      <c r="C6422" s="17">
        <v>20230101</v>
      </c>
      <c r="D6422" s="17">
        <v>22991231</v>
      </c>
      <c r="E6422" s="25">
        <v>0</v>
      </c>
    </row>
    <row r="6423" spans="1:5" x14ac:dyDescent="0.3">
      <c r="A6423" s="17" t="str">
        <f>"J3315"</f>
        <v>J3315</v>
      </c>
      <c r="B6423" s="5" t="s">
        <v>6429</v>
      </c>
      <c r="C6423" s="17">
        <v>20230101</v>
      </c>
      <c r="D6423" s="17">
        <v>22991231</v>
      </c>
      <c r="E6423" s="25">
        <v>395.04</v>
      </c>
    </row>
    <row r="6424" spans="1:5" x14ac:dyDescent="0.3">
      <c r="A6424" s="17" t="str">
        <f>"J3316"</f>
        <v>J3316</v>
      </c>
      <c r="B6424" s="5" t="s">
        <v>6430</v>
      </c>
      <c r="C6424" s="17">
        <v>20230101</v>
      </c>
      <c r="D6424" s="17">
        <v>22991231</v>
      </c>
      <c r="E6424" s="25">
        <v>3082.61</v>
      </c>
    </row>
    <row r="6425" spans="1:5" ht="26" x14ac:dyDescent="0.3">
      <c r="A6425" s="17" t="str">
        <f>"J3320"</f>
        <v>J3320</v>
      </c>
      <c r="B6425" s="5" t="s">
        <v>6431</v>
      </c>
      <c r="C6425" s="17">
        <v>20230101</v>
      </c>
      <c r="D6425" s="17">
        <v>22991231</v>
      </c>
      <c r="E6425" s="25">
        <v>0</v>
      </c>
    </row>
    <row r="6426" spans="1:5" x14ac:dyDescent="0.3">
      <c r="A6426" s="17" t="str">
        <f>"J3350"</f>
        <v>J3350</v>
      </c>
      <c r="B6426" s="5" t="s">
        <v>6432</v>
      </c>
      <c r="C6426" s="17">
        <v>20230101</v>
      </c>
      <c r="D6426" s="17">
        <v>22991231</v>
      </c>
      <c r="E6426" s="25">
        <v>0</v>
      </c>
    </row>
    <row r="6427" spans="1:5" x14ac:dyDescent="0.3">
      <c r="A6427" s="17" t="str">
        <f>"J3355"</f>
        <v>J3355</v>
      </c>
      <c r="B6427" s="5" t="s">
        <v>6433</v>
      </c>
      <c r="C6427" s="17">
        <v>20230101</v>
      </c>
      <c r="D6427" s="17">
        <v>22991231</v>
      </c>
      <c r="E6427" s="25">
        <v>0</v>
      </c>
    </row>
    <row r="6428" spans="1:5" x14ac:dyDescent="0.3">
      <c r="A6428" s="17" t="str">
        <f>"J3357"</f>
        <v>J3357</v>
      </c>
      <c r="B6428" s="5" t="s">
        <v>6434</v>
      </c>
      <c r="C6428" s="17">
        <v>20230101</v>
      </c>
      <c r="D6428" s="17">
        <v>22991231</v>
      </c>
      <c r="E6428" s="25">
        <v>147.05000000000001</v>
      </c>
    </row>
    <row r="6429" spans="1:5" x14ac:dyDescent="0.3">
      <c r="A6429" s="17" t="str">
        <f>"J3358"</f>
        <v>J3358</v>
      </c>
      <c r="B6429" s="5" t="s">
        <v>6435</v>
      </c>
      <c r="C6429" s="17">
        <v>20230101</v>
      </c>
      <c r="D6429" s="17">
        <v>22991231</v>
      </c>
      <c r="E6429" s="25">
        <v>12.05</v>
      </c>
    </row>
    <row r="6430" spans="1:5" x14ac:dyDescent="0.3">
      <c r="A6430" s="17" t="str">
        <f>"J3360"</f>
        <v>J3360</v>
      </c>
      <c r="B6430" s="5" t="s">
        <v>6436</v>
      </c>
      <c r="C6430" s="17">
        <v>20230101</v>
      </c>
      <c r="D6430" s="17">
        <v>22991231</v>
      </c>
      <c r="E6430" s="25">
        <v>0</v>
      </c>
    </row>
    <row r="6431" spans="1:5" x14ac:dyDescent="0.3">
      <c r="A6431" s="17" t="str">
        <f>"J3364"</f>
        <v>J3364</v>
      </c>
      <c r="B6431" s="5" t="s">
        <v>6437</v>
      </c>
      <c r="C6431" s="17">
        <v>20230101</v>
      </c>
      <c r="D6431" s="17">
        <v>22991231</v>
      </c>
      <c r="E6431" s="25">
        <v>0</v>
      </c>
    </row>
    <row r="6432" spans="1:5" x14ac:dyDescent="0.3">
      <c r="A6432" s="17" t="str">
        <f>"J3365"</f>
        <v>J3365</v>
      </c>
      <c r="B6432" s="5" t="s">
        <v>6438</v>
      </c>
      <c r="C6432" s="17">
        <v>20230101</v>
      </c>
      <c r="D6432" s="17">
        <v>22991231</v>
      </c>
      <c r="E6432" s="25">
        <v>0</v>
      </c>
    </row>
    <row r="6433" spans="1:5" x14ac:dyDescent="0.3">
      <c r="A6433" s="17" t="str">
        <f>"J3370"</f>
        <v>J3370</v>
      </c>
      <c r="B6433" s="5" t="s">
        <v>6439</v>
      </c>
      <c r="C6433" s="17">
        <v>20230101</v>
      </c>
      <c r="D6433" s="17">
        <v>22991231</v>
      </c>
      <c r="E6433" s="25">
        <v>0</v>
      </c>
    </row>
    <row r="6434" spans="1:5" ht="26" x14ac:dyDescent="0.3">
      <c r="A6434" s="17" t="str">
        <f>"J3371"</f>
        <v>J3371</v>
      </c>
      <c r="B6434" s="5" t="s">
        <v>6440</v>
      </c>
      <c r="C6434" s="17">
        <v>20240101</v>
      </c>
      <c r="D6434" s="17">
        <v>22991231</v>
      </c>
      <c r="E6434" s="25">
        <v>5.7</v>
      </c>
    </row>
    <row r="6435" spans="1:5" ht="26" x14ac:dyDescent="0.3">
      <c r="A6435" s="17" t="str">
        <f>"J3372"</f>
        <v>J3372</v>
      </c>
      <c r="B6435" s="5" t="s">
        <v>6441</v>
      </c>
      <c r="C6435" s="17">
        <v>20240101</v>
      </c>
      <c r="D6435" s="17">
        <v>22991231</v>
      </c>
      <c r="E6435" s="25">
        <v>6.28</v>
      </c>
    </row>
    <row r="6436" spans="1:5" x14ac:dyDescent="0.3">
      <c r="A6436" s="17" t="str">
        <f>"J3380"</f>
        <v>J3380</v>
      </c>
      <c r="B6436" s="5" t="s">
        <v>6442</v>
      </c>
      <c r="C6436" s="17">
        <v>20230101</v>
      </c>
      <c r="D6436" s="17">
        <v>22991231</v>
      </c>
      <c r="E6436" s="25">
        <v>21.07</v>
      </c>
    </row>
    <row r="6437" spans="1:5" x14ac:dyDescent="0.3">
      <c r="A6437" s="17" t="str">
        <f>"J3385"</f>
        <v>J3385</v>
      </c>
      <c r="B6437" s="5" t="s">
        <v>6443</v>
      </c>
      <c r="C6437" s="17">
        <v>20230101</v>
      </c>
      <c r="D6437" s="17">
        <v>22991231</v>
      </c>
      <c r="E6437" s="25">
        <v>350.93</v>
      </c>
    </row>
    <row r="6438" spans="1:5" x14ac:dyDescent="0.3">
      <c r="A6438" s="17" t="str">
        <f>"J3396"</f>
        <v>J3396</v>
      </c>
      <c r="B6438" s="5" t="s">
        <v>6444</v>
      </c>
      <c r="C6438" s="17">
        <v>20050101</v>
      </c>
      <c r="D6438" s="17">
        <v>22991231</v>
      </c>
      <c r="E6438" s="25">
        <v>11.01</v>
      </c>
    </row>
    <row r="6439" spans="1:5" x14ac:dyDescent="0.3">
      <c r="A6439" s="17" t="str">
        <f>"J3397"</f>
        <v>J3397</v>
      </c>
      <c r="B6439" s="5" t="s">
        <v>6445</v>
      </c>
      <c r="C6439" s="17">
        <v>20230101</v>
      </c>
      <c r="D6439" s="17">
        <v>22991231</v>
      </c>
      <c r="E6439" s="25">
        <v>0</v>
      </c>
    </row>
    <row r="6440" spans="1:5" ht="26" x14ac:dyDescent="0.3">
      <c r="A6440" s="17" t="str">
        <f>"J3398"</f>
        <v>J3398</v>
      </c>
      <c r="B6440" s="5" t="s">
        <v>6446</v>
      </c>
      <c r="C6440" s="17">
        <v>20230101</v>
      </c>
      <c r="D6440" s="17">
        <v>22991231</v>
      </c>
      <c r="E6440" s="25">
        <v>2743.46</v>
      </c>
    </row>
    <row r="6441" spans="1:5" x14ac:dyDescent="0.3">
      <c r="A6441" s="17" t="str">
        <f>"J3400"</f>
        <v>J3400</v>
      </c>
      <c r="B6441" s="5" t="s">
        <v>6447</v>
      </c>
      <c r="C6441" s="17">
        <v>20230101</v>
      </c>
      <c r="D6441" s="17">
        <v>22991231</v>
      </c>
      <c r="E6441" s="25">
        <v>0</v>
      </c>
    </row>
    <row r="6442" spans="1:5" ht="39" x14ac:dyDescent="0.3">
      <c r="A6442" s="17" t="str">
        <f>"J3401"</f>
        <v>J3401</v>
      </c>
      <c r="B6442" s="5" t="s">
        <v>6448</v>
      </c>
      <c r="C6442" s="17">
        <v>20240101</v>
      </c>
      <c r="D6442" s="17">
        <v>22991231</v>
      </c>
      <c r="E6442" s="25">
        <v>2385.73</v>
      </c>
    </row>
    <row r="6443" spans="1:5" x14ac:dyDescent="0.3">
      <c r="A6443" s="17" t="str">
        <f>"J3410"</f>
        <v>J3410</v>
      </c>
      <c r="B6443" s="5" t="s">
        <v>6449</v>
      </c>
      <c r="C6443" s="17">
        <v>20230101</v>
      </c>
      <c r="D6443" s="17">
        <v>22991231</v>
      </c>
      <c r="E6443" s="25">
        <v>0</v>
      </c>
    </row>
    <row r="6444" spans="1:5" x14ac:dyDescent="0.3">
      <c r="A6444" s="17" t="str">
        <f>"J3411"</f>
        <v>J3411</v>
      </c>
      <c r="B6444" s="5" t="s">
        <v>6450</v>
      </c>
      <c r="C6444" s="17">
        <v>20230101</v>
      </c>
      <c r="D6444" s="17">
        <v>22991231</v>
      </c>
      <c r="E6444" s="25">
        <v>0</v>
      </c>
    </row>
    <row r="6445" spans="1:5" x14ac:dyDescent="0.3">
      <c r="A6445" s="17" t="str">
        <f>"J3415"</f>
        <v>J3415</v>
      </c>
      <c r="B6445" s="5" t="s">
        <v>6451</v>
      </c>
      <c r="C6445" s="17">
        <v>20230101</v>
      </c>
      <c r="D6445" s="17">
        <v>22991231</v>
      </c>
      <c r="E6445" s="25">
        <v>0</v>
      </c>
    </row>
    <row r="6446" spans="1:5" ht="26" x14ac:dyDescent="0.3">
      <c r="A6446" s="17" t="str">
        <f>"J3420"</f>
        <v>J3420</v>
      </c>
      <c r="B6446" s="5" t="s">
        <v>6452</v>
      </c>
      <c r="C6446" s="17">
        <v>20230101</v>
      </c>
      <c r="D6446" s="17">
        <v>22991231</v>
      </c>
      <c r="E6446" s="25">
        <v>0</v>
      </c>
    </row>
    <row r="6447" spans="1:5" ht="26" x14ac:dyDescent="0.3">
      <c r="A6447" s="17" t="str">
        <f>"J3425"</f>
        <v>J3425</v>
      </c>
      <c r="B6447" s="5" t="s">
        <v>6453</v>
      </c>
      <c r="C6447" s="17">
        <v>20240101</v>
      </c>
      <c r="D6447" s="17">
        <v>22991231</v>
      </c>
      <c r="E6447" s="25">
        <v>0</v>
      </c>
    </row>
    <row r="6448" spans="1:5" x14ac:dyDescent="0.3">
      <c r="A6448" s="17" t="str">
        <f>"J3430"</f>
        <v>J3430</v>
      </c>
      <c r="B6448" s="5" t="s">
        <v>6454</v>
      </c>
      <c r="C6448" s="17">
        <v>20230101</v>
      </c>
      <c r="D6448" s="17">
        <v>22991231</v>
      </c>
      <c r="E6448" s="25">
        <v>0</v>
      </c>
    </row>
    <row r="6449" spans="1:5" x14ac:dyDescent="0.3">
      <c r="A6449" s="17" t="str">
        <f>"J3465"</f>
        <v>J3465</v>
      </c>
      <c r="B6449" s="5" t="s">
        <v>6455</v>
      </c>
      <c r="C6449" s="17">
        <v>20230101</v>
      </c>
      <c r="D6449" s="17">
        <v>22991231</v>
      </c>
      <c r="E6449" s="25">
        <v>0</v>
      </c>
    </row>
    <row r="6450" spans="1:5" x14ac:dyDescent="0.3">
      <c r="A6450" s="17" t="str">
        <f>"J3470"</f>
        <v>J3470</v>
      </c>
      <c r="B6450" s="5" t="s">
        <v>6456</v>
      </c>
      <c r="C6450" s="17">
        <v>20230101</v>
      </c>
      <c r="D6450" s="17">
        <v>22991231</v>
      </c>
      <c r="E6450" s="25">
        <v>0</v>
      </c>
    </row>
    <row r="6451" spans="1:5" ht="26" x14ac:dyDescent="0.3">
      <c r="A6451" s="17" t="str">
        <f>"J3471"</f>
        <v>J3471</v>
      </c>
      <c r="B6451" s="5" t="s">
        <v>6457</v>
      </c>
      <c r="C6451" s="17">
        <v>20060101</v>
      </c>
      <c r="D6451" s="17">
        <v>22991231</v>
      </c>
      <c r="E6451" s="25">
        <v>0</v>
      </c>
    </row>
    <row r="6452" spans="1:5" ht="26" x14ac:dyDescent="0.3">
      <c r="A6452" s="17" t="str">
        <f>"J3472"</f>
        <v>J3472</v>
      </c>
      <c r="B6452" s="5" t="s">
        <v>6458</v>
      </c>
      <c r="C6452" s="17">
        <v>20060101</v>
      </c>
      <c r="D6452" s="17">
        <v>22991231</v>
      </c>
      <c r="E6452" s="25">
        <v>0</v>
      </c>
    </row>
    <row r="6453" spans="1:5" x14ac:dyDescent="0.3">
      <c r="A6453" s="17" t="str">
        <f>"J3473"</f>
        <v>J3473</v>
      </c>
      <c r="B6453" s="5" t="s">
        <v>6459</v>
      </c>
      <c r="C6453" s="17">
        <v>20230101</v>
      </c>
      <c r="D6453" s="17">
        <v>22991231</v>
      </c>
      <c r="E6453" s="25">
        <v>0</v>
      </c>
    </row>
    <row r="6454" spans="1:5" x14ac:dyDescent="0.3">
      <c r="A6454" s="17" t="str">
        <f>"J3475"</f>
        <v>J3475</v>
      </c>
      <c r="B6454" s="5" t="s">
        <v>6460</v>
      </c>
      <c r="C6454" s="17">
        <v>20230101</v>
      </c>
      <c r="D6454" s="17">
        <v>22991231</v>
      </c>
      <c r="E6454" s="25">
        <v>0</v>
      </c>
    </row>
    <row r="6455" spans="1:5" x14ac:dyDescent="0.3">
      <c r="A6455" s="17" t="str">
        <f>"J3480"</f>
        <v>J3480</v>
      </c>
      <c r="B6455" s="5" t="s">
        <v>6461</v>
      </c>
      <c r="C6455" s="17">
        <v>20230101</v>
      </c>
      <c r="D6455" s="17">
        <v>22991231</v>
      </c>
      <c r="E6455" s="25">
        <v>0</v>
      </c>
    </row>
    <row r="6456" spans="1:5" x14ac:dyDescent="0.3">
      <c r="A6456" s="17" t="str">
        <f>"J3485"</f>
        <v>J3485</v>
      </c>
      <c r="B6456" s="5" t="s">
        <v>6462</v>
      </c>
      <c r="C6456" s="17">
        <v>20230101</v>
      </c>
      <c r="D6456" s="17">
        <v>22991231</v>
      </c>
      <c r="E6456" s="25">
        <v>0</v>
      </c>
    </row>
    <row r="6457" spans="1:5" x14ac:dyDescent="0.3">
      <c r="A6457" s="17" t="str">
        <f>"J3486"</f>
        <v>J3486</v>
      </c>
      <c r="B6457" s="5" t="s">
        <v>6463</v>
      </c>
      <c r="C6457" s="17">
        <v>20230101</v>
      </c>
      <c r="D6457" s="17">
        <v>22991231</v>
      </c>
      <c r="E6457" s="25">
        <v>0</v>
      </c>
    </row>
    <row r="6458" spans="1:5" x14ac:dyDescent="0.3">
      <c r="A6458" s="17" t="str">
        <f>"J3489"</f>
        <v>J3489</v>
      </c>
      <c r="B6458" s="5" t="s">
        <v>6464</v>
      </c>
      <c r="C6458" s="17">
        <v>20230101</v>
      </c>
      <c r="D6458" s="17">
        <v>22991231</v>
      </c>
      <c r="E6458" s="25">
        <v>0</v>
      </c>
    </row>
    <row r="6459" spans="1:5" x14ac:dyDescent="0.3">
      <c r="A6459" s="17" t="str">
        <f>"J3490"</f>
        <v>J3490</v>
      </c>
      <c r="B6459" s="5" t="s">
        <v>6465</v>
      </c>
      <c r="C6459" s="17">
        <v>20230101</v>
      </c>
      <c r="D6459" s="17">
        <v>22991231</v>
      </c>
      <c r="E6459" s="25">
        <v>0</v>
      </c>
    </row>
    <row r="6460" spans="1:5" x14ac:dyDescent="0.3">
      <c r="A6460" s="17" t="str">
        <f>"J3530"</f>
        <v>J3530</v>
      </c>
      <c r="B6460" s="5" t="s">
        <v>6466</v>
      </c>
      <c r="C6460" s="17">
        <v>20230101</v>
      </c>
      <c r="D6460" s="17">
        <v>22991231</v>
      </c>
      <c r="E6460" s="25">
        <v>0</v>
      </c>
    </row>
    <row r="6461" spans="1:5" x14ac:dyDescent="0.3">
      <c r="A6461" s="17" t="str">
        <f>"J3590"</f>
        <v>J3590</v>
      </c>
      <c r="B6461" s="5" t="s">
        <v>6467</v>
      </c>
      <c r="C6461" s="17">
        <v>20230101</v>
      </c>
      <c r="D6461" s="17">
        <v>22991231</v>
      </c>
      <c r="E6461" s="25">
        <v>0</v>
      </c>
    </row>
    <row r="6462" spans="1:5" ht="26" x14ac:dyDescent="0.3">
      <c r="A6462" s="17" t="str">
        <f>"J7030"</f>
        <v>J7030</v>
      </c>
      <c r="B6462" s="27" t="s">
        <v>6468</v>
      </c>
      <c r="C6462" s="17">
        <v>20230101</v>
      </c>
      <c r="D6462" s="17">
        <v>22991231</v>
      </c>
      <c r="E6462" s="25">
        <v>0</v>
      </c>
    </row>
    <row r="6463" spans="1:5" ht="26" x14ac:dyDescent="0.3">
      <c r="A6463" s="17" t="str">
        <f>"J7040"</f>
        <v>J7040</v>
      </c>
      <c r="B6463" s="5" t="s">
        <v>6469</v>
      </c>
      <c r="C6463" s="17">
        <v>20230101</v>
      </c>
      <c r="D6463" s="17">
        <v>22991231</v>
      </c>
      <c r="E6463" s="25">
        <v>0</v>
      </c>
    </row>
    <row r="6464" spans="1:5" x14ac:dyDescent="0.3">
      <c r="A6464" s="17" t="str">
        <f>"J7042"</f>
        <v>J7042</v>
      </c>
      <c r="B6464" s="5" t="s">
        <v>6470</v>
      </c>
      <c r="C6464" s="17">
        <v>20230101</v>
      </c>
      <c r="D6464" s="17">
        <v>22991231</v>
      </c>
      <c r="E6464" s="25">
        <v>0</v>
      </c>
    </row>
    <row r="6465" spans="1:5" x14ac:dyDescent="0.3">
      <c r="A6465" s="17" t="str">
        <f>"J7050"</f>
        <v>J7050</v>
      </c>
      <c r="B6465" s="5" t="s">
        <v>6471</v>
      </c>
      <c r="C6465" s="17">
        <v>20230101</v>
      </c>
      <c r="D6465" s="17">
        <v>22991231</v>
      </c>
      <c r="E6465" s="25">
        <v>0</v>
      </c>
    </row>
    <row r="6466" spans="1:5" x14ac:dyDescent="0.3">
      <c r="A6466" s="17" t="str">
        <f>"J7060"</f>
        <v>J7060</v>
      </c>
      <c r="B6466" s="5" t="s">
        <v>6472</v>
      </c>
      <c r="C6466" s="17">
        <v>20230101</v>
      </c>
      <c r="D6466" s="17">
        <v>22991231</v>
      </c>
      <c r="E6466" s="25">
        <v>0</v>
      </c>
    </row>
    <row r="6467" spans="1:5" x14ac:dyDescent="0.3">
      <c r="A6467" s="17" t="str">
        <f>"J7070"</f>
        <v>J7070</v>
      </c>
      <c r="B6467" s="5" t="s">
        <v>6473</v>
      </c>
      <c r="C6467" s="17">
        <v>20230101</v>
      </c>
      <c r="D6467" s="17">
        <v>22991231</v>
      </c>
      <c r="E6467" s="25">
        <v>0</v>
      </c>
    </row>
    <row r="6468" spans="1:5" x14ac:dyDescent="0.3">
      <c r="A6468" s="17" t="str">
        <f>"J7100"</f>
        <v>J7100</v>
      </c>
      <c r="B6468" s="5" t="s">
        <v>6474</v>
      </c>
      <c r="C6468" s="17">
        <v>20230101</v>
      </c>
      <c r="D6468" s="17">
        <v>22991231</v>
      </c>
      <c r="E6468" s="25">
        <v>0</v>
      </c>
    </row>
    <row r="6469" spans="1:5" x14ac:dyDescent="0.3">
      <c r="A6469" s="17" t="str">
        <f>"J7110"</f>
        <v>J7110</v>
      </c>
      <c r="B6469" s="5" t="s">
        <v>6475</v>
      </c>
      <c r="C6469" s="17">
        <v>20230101</v>
      </c>
      <c r="D6469" s="17">
        <v>22991231</v>
      </c>
      <c r="E6469" s="25">
        <v>0</v>
      </c>
    </row>
    <row r="6470" spans="1:5" x14ac:dyDescent="0.3">
      <c r="A6470" s="17" t="str">
        <f>"J7120"</f>
        <v>J7120</v>
      </c>
      <c r="B6470" s="5" t="s">
        <v>6476</v>
      </c>
      <c r="C6470" s="17">
        <v>20230101</v>
      </c>
      <c r="D6470" s="17">
        <v>22991231</v>
      </c>
      <c r="E6470" s="25">
        <v>0</v>
      </c>
    </row>
    <row r="6471" spans="1:5" ht="26" x14ac:dyDescent="0.3">
      <c r="A6471" s="17" t="str">
        <f>"J7121"</f>
        <v>J7121</v>
      </c>
      <c r="B6471" s="5" t="s">
        <v>6477</v>
      </c>
      <c r="C6471" s="17">
        <v>20230101</v>
      </c>
      <c r="D6471" s="17">
        <v>22991231</v>
      </c>
      <c r="E6471" s="25">
        <v>0</v>
      </c>
    </row>
    <row r="6472" spans="1:5" x14ac:dyDescent="0.3">
      <c r="A6472" s="17" t="str">
        <f>"J7131"</f>
        <v>J7131</v>
      </c>
      <c r="B6472" s="5" t="s">
        <v>6478</v>
      </c>
      <c r="C6472" s="17">
        <v>20230101</v>
      </c>
      <c r="D6472" s="17">
        <v>22991231</v>
      </c>
      <c r="E6472" s="25">
        <v>0</v>
      </c>
    </row>
    <row r="6473" spans="1:5" ht="26" x14ac:dyDescent="0.3">
      <c r="A6473" s="17" t="str">
        <f>"J7168"</f>
        <v>J7168</v>
      </c>
      <c r="B6473" s="5" t="s">
        <v>6479</v>
      </c>
      <c r="C6473" s="17">
        <v>20230101</v>
      </c>
      <c r="D6473" s="17">
        <v>22991231</v>
      </c>
      <c r="E6473" s="25">
        <v>2.1800000000000002</v>
      </c>
    </row>
    <row r="6474" spans="1:5" ht="26" x14ac:dyDescent="0.3">
      <c r="A6474" s="17" t="str">
        <f>"J7169"</f>
        <v>J7169</v>
      </c>
      <c r="B6474" s="5" t="s">
        <v>6480</v>
      </c>
      <c r="C6474" s="17">
        <v>20230101</v>
      </c>
      <c r="D6474" s="17">
        <v>22991231</v>
      </c>
      <c r="E6474" s="25">
        <v>126.42</v>
      </c>
    </row>
    <row r="6475" spans="1:5" x14ac:dyDescent="0.3">
      <c r="A6475" s="17" t="str">
        <f>"J7170"</f>
        <v>J7170</v>
      </c>
      <c r="B6475" s="5" t="s">
        <v>6481</v>
      </c>
      <c r="C6475" s="17">
        <v>20230101</v>
      </c>
      <c r="D6475" s="17">
        <v>22991231</v>
      </c>
      <c r="E6475" s="25">
        <v>48.38</v>
      </c>
    </row>
    <row r="6476" spans="1:5" x14ac:dyDescent="0.3">
      <c r="A6476" s="17" t="str">
        <f>"J7175"</f>
        <v>J7175</v>
      </c>
      <c r="B6476" s="5" t="s">
        <v>6482</v>
      </c>
      <c r="C6476" s="17">
        <v>20230101</v>
      </c>
      <c r="D6476" s="17">
        <v>22991231</v>
      </c>
      <c r="E6476" s="25">
        <v>8.6999999999999993</v>
      </c>
    </row>
    <row r="6477" spans="1:5" ht="26" x14ac:dyDescent="0.3">
      <c r="A6477" s="17" t="str">
        <f>"J7177"</f>
        <v>J7177</v>
      </c>
      <c r="B6477" s="5" t="s">
        <v>6483</v>
      </c>
      <c r="C6477" s="17">
        <v>20230101</v>
      </c>
      <c r="D6477" s="17">
        <v>22991231</v>
      </c>
      <c r="E6477" s="25">
        <v>1.05</v>
      </c>
    </row>
    <row r="6478" spans="1:5" ht="26" x14ac:dyDescent="0.3">
      <c r="A6478" s="17" t="str">
        <f>"J7178"</f>
        <v>J7178</v>
      </c>
      <c r="B6478" s="5" t="s">
        <v>6484</v>
      </c>
      <c r="C6478" s="17">
        <v>20230101</v>
      </c>
      <c r="D6478" s="17">
        <v>22991231</v>
      </c>
      <c r="E6478" s="25">
        <v>1.32</v>
      </c>
    </row>
    <row r="6479" spans="1:5" ht="26" x14ac:dyDescent="0.3">
      <c r="A6479" s="17" t="str">
        <f>"J7179"</f>
        <v>J7179</v>
      </c>
      <c r="B6479" s="5" t="s">
        <v>6485</v>
      </c>
      <c r="C6479" s="17">
        <v>20230101</v>
      </c>
      <c r="D6479" s="17">
        <v>22991231</v>
      </c>
      <c r="E6479" s="25">
        <v>1.74</v>
      </c>
    </row>
    <row r="6480" spans="1:5" ht="26" x14ac:dyDescent="0.3">
      <c r="A6480" s="17" t="str">
        <f>"J7180"</f>
        <v>J7180</v>
      </c>
      <c r="B6480" s="5" t="s">
        <v>6486</v>
      </c>
      <c r="C6480" s="17">
        <v>20230101</v>
      </c>
      <c r="D6480" s="17">
        <v>22991231</v>
      </c>
      <c r="E6480" s="25">
        <v>9.25</v>
      </c>
    </row>
    <row r="6481" spans="1:5" ht="26" x14ac:dyDescent="0.3">
      <c r="A6481" s="17" t="str">
        <f>"J7181"</f>
        <v>J7181</v>
      </c>
      <c r="B6481" s="5" t="s">
        <v>6487</v>
      </c>
      <c r="C6481" s="17">
        <v>20230101</v>
      </c>
      <c r="D6481" s="17">
        <v>22991231</v>
      </c>
      <c r="E6481" s="25">
        <v>16.36</v>
      </c>
    </row>
    <row r="6482" spans="1:5" ht="26" x14ac:dyDescent="0.3">
      <c r="A6482" s="17" t="str">
        <f>"J7182"</f>
        <v>J7182</v>
      </c>
      <c r="B6482" s="5" t="s">
        <v>6488</v>
      </c>
      <c r="C6482" s="17">
        <v>20230101</v>
      </c>
      <c r="D6482" s="17">
        <v>22991231</v>
      </c>
      <c r="E6482" s="25">
        <v>1.28</v>
      </c>
    </row>
    <row r="6483" spans="1:5" ht="26" x14ac:dyDescent="0.3">
      <c r="A6483" s="17" t="str">
        <f>"J7183"</f>
        <v>J7183</v>
      </c>
      <c r="B6483" s="5" t="s">
        <v>6489</v>
      </c>
      <c r="C6483" s="17">
        <v>20230101</v>
      </c>
      <c r="D6483" s="17">
        <v>22991231</v>
      </c>
      <c r="E6483" s="25">
        <v>1.24</v>
      </c>
    </row>
    <row r="6484" spans="1:5" ht="26" x14ac:dyDescent="0.3">
      <c r="A6484" s="17" t="str">
        <f>"J7185"</f>
        <v>J7185</v>
      </c>
      <c r="B6484" s="5" t="s">
        <v>6490</v>
      </c>
      <c r="C6484" s="17">
        <v>20230101</v>
      </c>
      <c r="D6484" s="17">
        <v>22991231</v>
      </c>
      <c r="E6484" s="25">
        <v>1.23</v>
      </c>
    </row>
    <row r="6485" spans="1:5" ht="39" x14ac:dyDescent="0.3">
      <c r="A6485" s="17" t="str">
        <f>"J7186"</f>
        <v>J7186</v>
      </c>
      <c r="B6485" s="5" t="s">
        <v>6491</v>
      </c>
      <c r="C6485" s="17">
        <v>20090101</v>
      </c>
      <c r="D6485" s="17">
        <v>22991231</v>
      </c>
      <c r="E6485" s="25">
        <v>1.1499999999999999</v>
      </c>
    </row>
    <row r="6486" spans="1:5" ht="26" x14ac:dyDescent="0.3">
      <c r="A6486" s="17" t="str">
        <f>"J7187"</f>
        <v>J7187</v>
      </c>
      <c r="B6486" s="5" t="s">
        <v>6492</v>
      </c>
      <c r="C6486" s="17">
        <v>20230101</v>
      </c>
      <c r="D6486" s="17">
        <v>22991231</v>
      </c>
      <c r="E6486" s="25">
        <v>1.29</v>
      </c>
    </row>
    <row r="6487" spans="1:5" ht="26" x14ac:dyDescent="0.3">
      <c r="A6487" s="17" t="str">
        <f>"J7188"</f>
        <v>J7188</v>
      </c>
      <c r="B6487" s="5" t="s">
        <v>6493</v>
      </c>
      <c r="C6487" s="17">
        <v>20230101</v>
      </c>
      <c r="D6487" s="17">
        <v>22991231</v>
      </c>
      <c r="E6487" s="25">
        <v>3.08</v>
      </c>
    </row>
    <row r="6488" spans="1:5" ht="26" x14ac:dyDescent="0.3">
      <c r="A6488" s="17" t="str">
        <f>"J7189"</f>
        <v>J7189</v>
      </c>
      <c r="B6488" s="5" t="s">
        <v>6494</v>
      </c>
      <c r="C6488" s="17">
        <v>20230101</v>
      </c>
      <c r="D6488" s="17">
        <v>22991231</v>
      </c>
      <c r="E6488" s="25">
        <v>2.3199999999999998</v>
      </c>
    </row>
    <row r="6489" spans="1:5" ht="26" x14ac:dyDescent="0.3">
      <c r="A6489" s="17" t="str">
        <f>"J7190"</f>
        <v>J7190</v>
      </c>
      <c r="B6489" s="5" t="s">
        <v>6495</v>
      </c>
      <c r="C6489" s="17">
        <v>20230101</v>
      </c>
      <c r="D6489" s="17">
        <v>22991231</v>
      </c>
      <c r="E6489" s="25">
        <v>0.98</v>
      </c>
    </row>
    <row r="6490" spans="1:5" ht="26" x14ac:dyDescent="0.3">
      <c r="A6490" s="17" t="str">
        <f>"J7191"</f>
        <v>J7191</v>
      </c>
      <c r="B6490" s="5" t="s">
        <v>6496</v>
      </c>
      <c r="C6490" s="17">
        <v>20230101</v>
      </c>
      <c r="D6490" s="17">
        <v>22991231</v>
      </c>
      <c r="E6490" s="25">
        <v>0</v>
      </c>
    </row>
    <row r="6491" spans="1:5" ht="26" x14ac:dyDescent="0.3">
      <c r="A6491" s="17" t="str">
        <f>"J7192"</f>
        <v>J7192</v>
      </c>
      <c r="B6491" s="5" t="s">
        <v>6497</v>
      </c>
      <c r="C6491" s="17">
        <v>20230101</v>
      </c>
      <c r="D6491" s="17">
        <v>22991231</v>
      </c>
      <c r="E6491" s="25">
        <v>1.44</v>
      </c>
    </row>
    <row r="6492" spans="1:5" ht="26" x14ac:dyDescent="0.3">
      <c r="A6492" s="17" t="str">
        <f>"J7193"</f>
        <v>J7193</v>
      </c>
      <c r="B6492" s="5" t="s">
        <v>6498</v>
      </c>
      <c r="C6492" s="17">
        <v>20230101</v>
      </c>
      <c r="D6492" s="17">
        <v>22991231</v>
      </c>
      <c r="E6492" s="25">
        <v>1.26</v>
      </c>
    </row>
    <row r="6493" spans="1:5" x14ac:dyDescent="0.3">
      <c r="A6493" s="17" t="str">
        <f>"J7194"</f>
        <v>J7194</v>
      </c>
      <c r="B6493" s="5" t="s">
        <v>6499</v>
      </c>
      <c r="C6493" s="17">
        <v>20230101</v>
      </c>
      <c r="D6493" s="17">
        <v>22991231</v>
      </c>
      <c r="E6493" s="25">
        <v>1.54</v>
      </c>
    </row>
    <row r="6494" spans="1:5" ht="26" x14ac:dyDescent="0.3">
      <c r="A6494" s="17" t="str">
        <f>"J7195"</f>
        <v>J7195</v>
      </c>
      <c r="B6494" s="5" t="s">
        <v>6500</v>
      </c>
      <c r="C6494" s="17">
        <v>20230101</v>
      </c>
      <c r="D6494" s="17">
        <v>22991231</v>
      </c>
      <c r="E6494" s="25">
        <v>1.67</v>
      </c>
    </row>
    <row r="6495" spans="1:5" x14ac:dyDescent="0.3">
      <c r="A6495" s="17" t="str">
        <f>"J7196"</f>
        <v>J7196</v>
      </c>
      <c r="B6495" s="5" t="s">
        <v>6501</v>
      </c>
      <c r="C6495" s="17">
        <v>20230101</v>
      </c>
      <c r="D6495" s="17">
        <v>22991231</v>
      </c>
      <c r="E6495" s="25">
        <v>0</v>
      </c>
    </row>
    <row r="6496" spans="1:5" x14ac:dyDescent="0.3">
      <c r="A6496" s="17" t="str">
        <f>"J7197"</f>
        <v>J7197</v>
      </c>
      <c r="B6496" s="5" t="s">
        <v>6502</v>
      </c>
      <c r="C6496" s="17">
        <v>20230101</v>
      </c>
      <c r="D6496" s="17">
        <v>22991231</v>
      </c>
      <c r="E6496" s="25">
        <v>3.7</v>
      </c>
    </row>
    <row r="6497" spans="1:5" x14ac:dyDescent="0.3">
      <c r="A6497" s="17" t="str">
        <f>"J7198"</f>
        <v>J7198</v>
      </c>
      <c r="B6497" s="5" t="s">
        <v>6503</v>
      </c>
      <c r="C6497" s="17">
        <v>20230101</v>
      </c>
      <c r="D6497" s="17">
        <v>22991231</v>
      </c>
      <c r="E6497" s="25">
        <v>2.17</v>
      </c>
    </row>
    <row r="6498" spans="1:5" ht="26" x14ac:dyDescent="0.3">
      <c r="A6498" s="17" t="str">
        <f>"J7200"</f>
        <v>J7200</v>
      </c>
      <c r="B6498" s="5" t="s">
        <v>6504</v>
      </c>
      <c r="C6498" s="17">
        <v>20230101</v>
      </c>
      <c r="D6498" s="17">
        <v>22991231</v>
      </c>
      <c r="E6498" s="25">
        <v>1.48</v>
      </c>
    </row>
    <row r="6499" spans="1:5" ht="26" x14ac:dyDescent="0.3">
      <c r="A6499" s="17" t="str">
        <f>"J7201"</f>
        <v>J7201</v>
      </c>
      <c r="B6499" s="5" t="s">
        <v>6505</v>
      </c>
      <c r="C6499" s="17">
        <v>20230101</v>
      </c>
      <c r="D6499" s="17">
        <v>22991231</v>
      </c>
      <c r="E6499" s="25">
        <v>3.31</v>
      </c>
    </row>
    <row r="6500" spans="1:5" ht="26" x14ac:dyDescent="0.3">
      <c r="A6500" s="17" t="str">
        <f>"J7202"</f>
        <v>J7202</v>
      </c>
      <c r="B6500" s="5" t="s">
        <v>6506</v>
      </c>
      <c r="C6500" s="17">
        <v>20230101</v>
      </c>
      <c r="D6500" s="17">
        <v>22991231</v>
      </c>
      <c r="E6500" s="25">
        <v>4.72</v>
      </c>
    </row>
    <row r="6501" spans="1:5" ht="26" x14ac:dyDescent="0.3">
      <c r="A6501" s="17" t="str">
        <f>"J7203"</f>
        <v>J7203</v>
      </c>
      <c r="B6501" s="5" t="s">
        <v>6507</v>
      </c>
      <c r="C6501" s="17">
        <v>20230101</v>
      </c>
      <c r="D6501" s="17">
        <v>22991231</v>
      </c>
      <c r="E6501" s="25">
        <v>4.21</v>
      </c>
    </row>
    <row r="6502" spans="1:5" ht="39" x14ac:dyDescent="0.3">
      <c r="A6502" s="17" t="str">
        <f>"J7204"</f>
        <v>J7204</v>
      </c>
      <c r="B6502" s="5" t="s">
        <v>6508</v>
      </c>
      <c r="C6502" s="17">
        <v>20230101</v>
      </c>
      <c r="D6502" s="17">
        <v>22991231</v>
      </c>
      <c r="E6502" s="25">
        <v>1.99</v>
      </c>
    </row>
    <row r="6503" spans="1:5" ht="26" x14ac:dyDescent="0.3">
      <c r="A6503" s="17" t="str">
        <f>"J7205"</f>
        <v>J7205</v>
      </c>
      <c r="B6503" s="5" t="s">
        <v>6509</v>
      </c>
      <c r="C6503" s="17">
        <v>20230101</v>
      </c>
      <c r="D6503" s="17">
        <v>22991231</v>
      </c>
      <c r="E6503" s="25">
        <v>2.09</v>
      </c>
    </row>
    <row r="6504" spans="1:5" ht="26" x14ac:dyDescent="0.3">
      <c r="A6504" s="17" t="str">
        <f>"J7207"</f>
        <v>J7207</v>
      </c>
      <c r="B6504" s="5" t="s">
        <v>6510</v>
      </c>
      <c r="C6504" s="17">
        <v>20230101</v>
      </c>
      <c r="D6504" s="17">
        <v>22991231</v>
      </c>
      <c r="E6504" s="25">
        <v>1.89</v>
      </c>
    </row>
    <row r="6505" spans="1:5" ht="26" x14ac:dyDescent="0.3">
      <c r="A6505" s="17" t="str">
        <f>"J7208"</f>
        <v>J7208</v>
      </c>
      <c r="B6505" s="5" t="s">
        <v>6511</v>
      </c>
      <c r="C6505" s="17">
        <v>20230101</v>
      </c>
      <c r="D6505" s="17">
        <v>22991231</v>
      </c>
      <c r="E6505" s="25">
        <v>2.2400000000000002</v>
      </c>
    </row>
    <row r="6506" spans="1:5" ht="26" x14ac:dyDescent="0.3">
      <c r="A6506" s="17" t="str">
        <f>"J7209"</f>
        <v>J7209</v>
      </c>
      <c r="B6506" s="5" t="s">
        <v>6512</v>
      </c>
      <c r="C6506" s="17">
        <v>20230101</v>
      </c>
      <c r="D6506" s="17">
        <v>22991231</v>
      </c>
      <c r="E6506" s="25">
        <v>1.22</v>
      </c>
    </row>
    <row r="6507" spans="1:5" ht="26" x14ac:dyDescent="0.3">
      <c r="A6507" s="17" t="str">
        <f>"J7210"</f>
        <v>J7210</v>
      </c>
      <c r="B6507" s="5" t="s">
        <v>6513</v>
      </c>
      <c r="C6507" s="17">
        <v>20230101</v>
      </c>
      <c r="D6507" s="17">
        <v>22991231</v>
      </c>
      <c r="E6507" s="25">
        <v>1.38</v>
      </c>
    </row>
    <row r="6508" spans="1:5" ht="26" x14ac:dyDescent="0.3">
      <c r="A6508" s="17" t="str">
        <f>"J7211"</f>
        <v>J7211</v>
      </c>
      <c r="B6508" s="5" t="s">
        <v>6514</v>
      </c>
      <c r="C6508" s="17">
        <v>20230101</v>
      </c>
      <c r="D6508" s="17">
        <v>22991231</v>
      </c>
      <c r="E6508" s="25">
        <v>1.37</v>
      </c>
    </row>
    <row r="6509" spans="1:5" ht="26" x14ac:dyDescent="0.3">
      <c r="A6509" s="17" t="str">
        <f>"J7212"</f>
        <v>J7212</v>
      </c>
      <c r="B6509" s="5" t="s">
        <v>6515</v>
      </c>
      <c r="C6509" s="17">
        <v>20230101</v>
      </c>
      <c r="D6509" s="17">
        <v>22991231</v>
      </c>
      <c r="E6509" s="25">
        <v>1.94</v>
      </c>
    </row>
    <row r="6510" spans="1:5" ht="26" x14ac:dyDescent="0.3">
      <c r="A6510" s="17" t="str">
        <f>"J7213"</f>
        <v>J7213</v>
      </c>
      <c r="B6510" s="5" t="s">
        <v>6516</v>
      </c>
      <c r="C6510" s="17">
        <v>20240101</v>
      </c>
      <c r="D6510" s="17">
        <v>22991231</v>
      </c>
      <c r="E6510" s="25">
        <v>1.74</v>
      </c>
    </row>
    <row r="6511" spans="1:5" ht="39" x14ac:dyDescent="0.3">
      <c r="A6511" s="17" t="str">
        <f>"J7214"</f>
        <v>J7214</v>
      </c>
      <c r="B6511" s="5" t="s">
        <v>6517</v>
      </c>
      <c r="C6511" s="17">
        <v>20240101</v>
      </c>
      <c r="D6511" s="17">
        <v>22991231</v>
      </c>
      <c r="E6511" s="25">
        <v>4.42</v>
      </c>
    </row>
    <row r="6512" spans="1:5" ht="39" x14ac:dyDescent="0.3">
      <c r="A6512" s="17" t="str">
        <f>"J7308"</f>
        <v>J7308</v>
      </c>
      <c r="B6512" s="5" t="s">
        <v>6518</v>
      </c>
      <c r="C6512" s="17">
        <v>20230101</v>
      </c>
      <c r="D6512" s="17">
        <v>22991231</v>
      </c>
      <c r="E6512" s="25">
        <v>374.72</v>
      </c>
    </row>
    <row r="6513" spans="1:5" ht="26" x14ac:dyDescent="0.3">
      <c r="A6513" s="17" t="str">
        <f>"J7309"</f>
        <v>J7309</v>
      </c>
      <c r="B6513" s="5" t="s">
        <v>6519</v>
      </c>
      <c r="C6513" s="17">
        <v>20230101</v>
      </c>
      <c r="D6513" s="17">
        <v>22991231</v>
      </c>
      <c r="E6513" s="25">
        <v>0</v>
      </c>
    </row>
    <row r="6514" spans="1:5" x14ac:dyDescent="0.3">
      <c r="A6514" s="17" t="str">
        <f>"J7310"</f>
        <v>J7310</v>
      </c>
      <c r="B6514" s="5" t="s">
        <v>6520</v>
      </c>
      <c r="C6514" s="17">
        <v>20230101</v>
      </c>
      <c r="D6514" s="17">
        <v>22991231</v>
      </c>
      <c r="E6514" s="25">
        <v>0</v>
      </c>
    </row>
    <row r="6515" spans="1:5" ht="26" x14ac:dyDescent="0.3">
      <c r="A6515" s="17" t="str">
        <f>"J7311"</f>
        <v>J7311</v>
      </c>
      <c r="B6515" s="5" t="s">
        <v>6521</v>
      </c>
      <c r="C6515" s="17">
        <v>20230101</v>
      </c>
      <c r="D6515" s="17">
        <v>22991231</v>
      </c>
      <c r="E6515" s="25">
        <v>285.64</v>
      </c>
    </row>
    <row r="6516" spans="1:5" ht="26" x14ac:dyDescent="0.3">
      <c r="A6516" s="17" t="str">
        <f>"J7312"</f>
        <v>J7312</v>
      </c>
      <c r="B6516" s="5" t="s">
        <v>6522</v>
      </c>
      <c r="C6516" s="17">
        <v>20230101</v>
      </c>
      <c r="D6516" s="17">
        <v>22991231</v>
      </c>
      <c r="E6516" s="25">
        <v>196.39</v>
      </c>
    </row>
    <row r="6517" spans="1:5" ht="26" x14ac:dyDescent="0.3">
      <c r="A6517" s="17" t="str">
        <f>"J7313"</f>
        <v>J7313</v>
      </c>
      <c r="B6517" s="5" t="s">
        <v>6523</v>
      </c>
      <c r="C6517" s="17">
        <v>20230101</v>
      </c>
      <c r="D6517" s="17">
        <v>22991231</v>
      </c>
      <c r="E6517" s="25">
        <v>468.93</v>
      </c>
    </row>
    <row r="6518" spans="1:5" ht="26" x14ac:dyDescent="0.3">
      <c r="A6518" s="17" t="str">
        <f>"J7314"</f>
        <v>J7314</v>
      </c>
      <c r="B6518" s="5" t="s">
        <v>6524</v>
      </c>
      <c r="C6518" s="17">
        <v>20230101</v>
      </c>
      <c r="D6518" s="17">
        <v>22991231</v>
      </c>
      <c r="E6518" s="25">
        <v>505.27</v>
      </c>
    </row>
    <row r="6519" spans="1:5" x14ac:dyDescent="0.3">
      <c r="A6519" s="17" t="str">
        <f>"J7315"</f>
        <v>J7315</v>
      </c>
      <c r="B6519" s="5" t="s">
        <v>6525</v>
      </c>
      <c r="C6519" s="17">
        <v>20230101</v>
      </c>
      <c r="D6519" s="17">
        <v>22991231</v>
      </c>
      <c r="E6519" s="25">
        <v>0</v>
      </c>
    </row>
    <row r="6520" spans="1:5" x14ac:dyDescent="0.3">
      <c r="A6520" s="17" t="str">
        <f>"J7316"</f>
        <v>J7316</v>
      </c>
      <c r="B6520" s="5" t="s">
        <v>6526</v>
      </c>
      <c r="C6520" s="17">
        <v>20230101</v>
      </c>
      <c r="D6520" s="17">
        <v>22991231</v>
      </c>
      <c r="E6520" s="25">
        <v>0</v>
      </c>
    </row>
    <row r="6521" spans="1:5" ht="26" x14ac:dyDescent="0.3">
      <c r="A6521" s="17" t="str">
        <f>"J7318"</f>
        <v>J7318</v>
      </c>
      <c r="B6521" s="5" t="s">
        <v>6527</v>
      </c>
      <c r="C6521" s="17">
        <v>20060101</v>
      </c>
      <c r="D6521" s="17">
        <v>22991231</v>
      </c>
      <c r="E6521" s="25">
        <v>5.86</v>
      </c>
    </row>
    <row r="6522" spans="1:5" ht="26" x14ac:dyDescent="0.3">
      <c r="A6522" s="17" t="str">
        <f>"J7320"</f>
        <v>J7320</v>
      </c>
      <c r="B6522" s="5" t="s">
        <v>6528</v>
      </c>
      <c r="C6522" s="17">
        <v>20230101</v>
      </c>
      <c r="D6522" s="17">
        <v>22991231</v>
      </c>
      <c r="E6522" s="25">
        <v>5.48</v>
      </c>
    </row>
    <row r="6523" spans="1:5" ht="26" x14ac:dyDescent="0.3">
      <c r="A6523" s="17" t="str">
        <f>"J7321"</f>
        <v>J7321</v>
      </c>
      <c r="B6523" s="5" t="s">
        <v>6529</v>
      </c>
      <c r="C6523" s="17">
        <v>20230101</v>
      </c>
      <c r="D6523" s="17">
        <v>22991231</v>
      </c>
      <c r="E6523" s="25">
        <v>0</v>
      </c>
    </row>
    <row r="6524" spans="1:5" ht="26" x14ac:dyDescent="0.3">
      <c r="A6524" s="17" t="str">
        <f>"J7322"</f>
        <v>J7322</v>
      </c>
      <c r="B6524" s="5" t="s">
        <v>6530</v>
      </c>
      <c r="C6524" s="17">
        <v>20230101</v>
      </c>
      <c r="D6524" s="17">
        <v>22991231</v>
      </c>
      <c r="E6524" s="25">
        <v>16.489999999999998</v>
      </c>
    </row>
    <row r="6525" spans="1:5" ht="26" x14ac:dyDescent="0.3">
      <c r="A6525" s="17" t="str">
        <f>"J7323"</f>
        <v>J7323</v>
      </c>
      <c r="B6525" s="5" t="s">
        <v>6531</v>
      </c>
      <c r="C6525" s="17">
        <v>20230101</v>
      </c>
      <c r="D6525" s="17">
        <v>22991231</v>
      </c>
      <c r="E6525" s="25">
        <v>121.59</v>
      </c>
    </row>
    <row r="6526" spans="1:5" ht="26" x14ac:dyDescent="0.3">
      <c r="A6526" s="17" t="str">
        <f>"J7324"</f>
        <v>J7324</v>
      </c>
      <c r="B6526" s="5" t="s">
        <v>6532</v>
      </c>
      <c r="C6526" s="17">
        <v>20230101</v>
      </c>
      <c r="D6526" s="17">
        <v>22991231</v>
      </c>
      <c r="E6526" s="25">
        <v>124.78</v>
      </c>
    </row>
    <row r="6527" spans="1:5" ht="26" x14ac:dyDescent="0.3">
      <c r="A6527" s="17" t="str">
        <f>"J7325"</f>
        <v>J7325</v>
      </c>
      <c r="B6527" s="5" t="s">
        <v>6533</v>
      </c>
      <c r="C6527" s="17">
        <v>20100101</v>
      </c>
      <c r="D6527" s="17">
        <v>22991231</v>
      </c>
      <c r="E6527" s="25">
        <v>8.7100000000000009</v>
      </c>
    </row>
    <row r="6528" spans="1:5" ht="26" x14ac:dyDescent="0.3">
      <c r="A6528" s="17" t="str">
        <f>"J7326"</f>
        <v>J7326</v>
      </c>
      <c r="B6528" s="5" t="s">
        <v>6534</v>
      </c>
      <c r="C6528" s="17">
        <v>20230101</v>
      </c>
      <c r="D6528" s="17">
        <v>22991231</v>
      </c>
      <c r="E6528" s="25">
        <v>474.99</v>
      </c>
    </row>
    <row r="6529" spans="1:5" ht="26" x14ac:dyDescent="0.3">
      <c r="A6529" s="17" t="str">
        <f>"J7327"</f>
        <v>J7327</v>
      </c>
      <c r="B6529" s="5" t="s">
        <v>6535</v>
      </c>
      <c r="C6529" s="17">
        <v>20230101</v>
      </c>
      <c r="D6529" s="17">
        <v>22991231</v>
      </c>
      <c r="E6529" s="25">
        <v>682.33</v>
      </c>
    </row>
    <row r="6530" spans="1:5" ht="26" x14ac:dyDescent="0.3">
      <c r="A6530" s="17" t="str">
        <f>"J7328"</f>
        <v>J7328</v>
      </c>
      <c r="B6530" s="5" t="s">
        <v>6536</v>
      </c>
      <c r="C6530" s="17">
        <v>20230101</v>
      </c>
      <c r="D6530" s="17">
        <v>22991231</v>
      </c>
      <c r="E6530" s="25">
        <v>0.47</v>
      </c>
    </row>
    <row r="6531" spans="1:5" ht="26" x14ac:dyDescent="0.3">
      <c r="A6531" s="17" t="str">
        <f>"J7329"</f>
        <v>J7329</v>
      </c>
      <c r="B6531" s="5" t="s">
        <v>6537</v>
      </c>
      <c r="C6531" s="17">
        <v>20230101</v>
      </c>
      <c r="D6531" s="17">
        <v>22991231</v>
      </c>
      <c r="E6531" s="25">
        <v>7.56</v>
      </c>
    </row>
    <row r="6532" spans="1:5" ht="26" x14ac:dyDescent="0.3">
      <c r="A6532" s="17" t="str">
        <f>"J7331"</f>
        <v>J7331</v>
      </c>
      <c r="B6532" s="5" t="s">
        <v>6538</v>
      </c>
      <c r="C6532" s="17">
        <v>20230101</v>
      </c>
      <c r="D6532" s="17">
        <v>22991231</v>
      </c>
      <c r="E6532" s="25">
        <v>10.83</v>
      </c>
    </row>
    <row r="6533" spans="1:5" ht="26" x14ac:dyDescent="0.3">
      <c r="A6533" s="17" t="str">
        <f>"J7332"</f>
        <v>J7332</v>
      </c>
      <c r="B6533" s="5" t="s">
        <v>6539</v>
      </c>
      <c r="C6533" s="17">
        <v>20230101</v>
      </c>
      <c r="D6533" s="17">
        <v>22991231</v>
      </c>
      <c r="E6533" s="25">
        <v>9.81</v>
      </c>
    </row>
    <row r="6534" spans="1:5" x14ac:dyDescent="0.3">
      <c r="A6534" s="17" t="str">
        <f>"J7336"</f>
        <v>J7336</v>
      </c>
      <c r="B6534" s="5" t="s">
        <v>6540</v>
      </c>
      <c r="C6534" s="17">
        <v>20230101</v>
      </c>
      <c r="D6534" s="17">
        <v>22991231</v>
      </c>
      <c r="E6534" s="25">
        <v>3.12</v>
      </c>
    </row>
    <row r="6535" spans="1:5" ht="26" x14ac:dyDescent="0.3">
      <c r="A6535" s="17" t="str">
        <f>"J7340"</f>
        <v>J7340</v>
      </c>
      <c r="B6535" s="5" t="s">
        <v>6541</v>
      </c>
      <c r="C6535" s="17">
        <v>20050101</v>
      </c>
      <c r="D6535" s="17">
        <v>22991231</v>
      </c>
      <c r="E6535" s="25">
        <v>217.54</v>
      </c>
    </row>
    <row r="6536" spans="1:5" x14ac:dyDescent="0.3">
      <c r="A6536" s="17" t="str">
        <f>"J7342"</f>
        <v>J7342</v>
      </c>
      <c r="B6536" s="5" t="s">
        <v>6542</v>
      </c>
      <c r="C6536" s="17">
        <v>20040101</v>
      </c>
      <c r="D6536" s="17">
        <v>22991231</v>
      </c>
      <c r="E6536" s="25">
        <v>28.67</v>
      </c>
    </row>
    <row r="6537" spans="1:5" ht="26" x14ac:dyDescent="0.3">
      <c r="A6537" s="17" t="str">
        <f>"J7345"</f>
        <v>J7345</v>
      </c>
      <c r="B6537" s="5" t="s">
        <v>6543</v>
      </c>
      <c r="C6537" s="17">
        <v>20230101</v>
      </c>
      <c r="D6537" s="17">
        <v>22991231</v>
      </c>
      <c r="E6537" s="25">
        <v>1.58</v>
      </c>
    </row>
    <row r="6538" spans="1:5" ht="26" x14ac:dyDescent="0.3">
      <c r="A6538" s="17" t="str">
        <f>"J7351"</f>
        <v>J7351</v>
      </c>
      <c r="B6538" s="5" t="s">
        <v>6544</v>
      </c>
      <c r="C6538" s="17">
        <v>20230101</v>
      </c>
      <c r="D6538" s="17">
        <v>22991231</v>
      </c>
      <c r="E6538" s="25">
        <v>196.96</v>
      </c>
    </row>
    <row r="6539" spans="1:5" x14ac:dyDescent="0.3">
      <c r="A6539" s="17" t="str">
        <f>"J7352"</f>
        <v>J7352</v>
      </c>
      <c r="B6539" s="5" t="s">
        <v>6545</v>
      </c>
      <c r="C6539" s="17">
        <v>20230101</v>
      </c>
      <c r="D6539" s="17">
        <v>22991231</v>
      </c>
      <c r="E6539" s="25">
        <v>2744.46</v>
      </c>
    </row>
    <row r="6540" spans="1:5" x14ac:dyDescent="0.3">
      <c r="A6540" s="17" t="str">
        <f>"J7353"</f>
        <v>J7353</v>
      </c>
      <c r="B6540" s="5" t="s">
        <v>6546</v>
      </c>
      <c r="C6540" s="17">
        <v>20240101</v>
      </c>
      <c r="D6540" s="17">
        <v>22991231</v>
      </c>
      <c r="E6540" s="25">
        <v>0</v>
      </c>
    </row>
    <row r="6541" spans="1:5" ht="26" x14ac:dyDescent="0.3">
      <c r="A6541" s="17" t="str">
        <f>"J7402"</f>
        <v>J7402</v>
      </c>
      <c r="B6541" s="5" t="s">
        <v>6547</v>
      </c>
      <c r="C6541" s="17">
        <v>20230101</v>
      </c>
      <c r="D6541" s="17">
        <v>22991231</v>
      </c>
      <c r="E6541" s="25">
        <v>10.84</v>
      </c>
    </row>
    <row r="6542" spans="1:5" x14ac:dyDescent="0.3">
      <c r="A6542" s="17" t="str">
        <f>"J7500"</f>
        <v>J7500</v>
      </c>
      <c r="B6542" s="5" t="s">
        <v>6548</v>
      </c>
      <c r="C6542" s="17">
        <v>20230101</v>
      </c>
      <c r="D6542" s="17">
        <v>22991231</v>
      </c>
      <c r="E6542" s="25">
        <v>0</v>
      </c>
    </row>
    <row r="6543" spans="1:5" x14ac:dyDescent="0.3">
      <c r="A6543" s="17" t="str">
        <f>"J7501"</f>
        <v>J7501</v>
      </c>
      <c r="B6543" s="5" t="s">
        <v>6549</v>
      </c>
      <c r="C6543" s="17">
        <v>20230101</v>
      </c>
      <c r="D6543" s="17">
        <v>22991231</v>
      </c>
      <c r="E6543" s="25">
        <v>229.18</v>
      </c>
    </row>
    <row r="6544" spans="1:5" x14ac:dyDescent="0.3">
      <c r="A6544" s="17" t="str">
        <f>"J7502"</f>
        <v>J7502</v>
      </c>
      <c r="B6544" s="5" t="s">
        <v>6550</v>
      </c>
      <c r="C6544" s="17">
        <v>20230101</v>
      </c>
      <c r="D6544" s="17">
        <v>22991231</v>
      </c>
      <c r="E6544" s="25">
        <v>0</v>
      </c>
    </row>
    <row r="6545" spans="1:5" ht="26" x14ac:dyDescent="0.3">
      <c r="A6545" s="17" t="str">
        <f>"J7503"</f>
        <v>J7503</v>
      </c>
      <c r="B6545" s="5" t="s">
        <v>6551</v>
      </c>
      <c r="C6545" s="17">
        <v>20230101</v>
      </c>
      <c r="D6545" s="17">
        <v>22991231</v>
      </c>
      <c r="E6545" s="25">
        <v>0</v>
      </c>
    </row>
    <row r="6546" spans="1:5" ht="26" x14ac:dyDescent="0.3">
      <c r="A6546" s="17" t="str">
        <f>"J7504"</f>
        <v>J7504</v>
      </c>
      <c r="B6546" s="5" t="s">
        <v>6552</v>
      </c>
      <c r="C6546" s="17">
        <v>20230101</v>
      </c>
      <c r="D6546" s="17">
        <v>22991231</v>
      </c>
      <c r="E6546" s="25">
        <v>3430.38</v>
      </c>
    </row>
    <row r="6547" spans="1:5" x14ac:dyDescent="0.3">
      <c r="A6547" s="17" t="str">
        <f>"J7505"</f>
        <v>J7505</v>
      </c>
      <c r="B6547" s="5" t="s">
        <v>6553</v>
      </c>
      <c r="C6547" s="17">
        <v>20230101</v>
      </c>
      <c r="D6547" s="17">
        <v>22991231</v>
      </c>
      <c r="E6547" s="25">
        <v>0</v>
      </c>
    </row>
    <row r="6548" spans="1:5" x14ac:dyDescent="0.3">
      <c r="A6548" s="17" t="str">
        <f>"J7507"</f>
        <v>J7507</v>
      </c>
      <c r="B6548" s="5" t="s">
        <v>6554</v>
      </c>
      <c r="C6548" s="17">
        <v>20230101</v>
      </c>
      <c r="D6548" s="17">
        <v>22991231</v>
      </c>
      <c r="E6548" s="25">
        <v>0</v>
      </c>
    </row>
    <row r="6549" spans="1:5" ht="26" x14ac:dyDescent="0.3">
      <c r="A6549" s="17" t="str">
        <f>"J7508"</f>
        <v>J7508</v>
      </c>
      <c r="B6549" s="5" t="s">
        <v>6555</v>
      </c>
      <c r="C6549" s="17">
        <v>20230101</v>
      </c>
      <c r="D6549" s="17">
        <v>22991231</v>
      </c>
      <c r="E6549" s="25">
        <v>0</v>
      </c>
    </row>
    <row r="6550" spans="1:5" x14ac:dyDescent="0.3">
      <c r="A6550" s="17" t="str">
        <f>"J7509"</f>
        <v>J7509</v>
      </c>
      <c r="B6550" s="5" t="s">
        <v>6556</v>
      </c>
      <c r="C6550" s="17">
        <v>20230101</v>
      </c>
      <c r="D6550" s="17">
        <v>22991231</v>
      </c>
      <c r="E6550" s="25">
        <v>0</v>
      </c>
    </row>
    <row r="6551" spans="1:5" x14ac:dyDescent="0.3">
      <c r="A6551" s="17" t="str">
        <f>"J7510"</f>
        <v>J7510</v>
      </c>
      <c r="B6551" s="5" t="s">
        <v>6557</v>
      </c>
      <c r="C6551" s="17">
        <v>20230101</v>
      </c>
      <c r="D6551" s="17">
        <v>22991231</v>
      </c>
      <c r="E6551" s="25">
        <v>0</v>
      </c>
    </row>
    <row r="6552" spans="1:5" ht="26" x14ac:dyDescent="0.3">
      <c r="A6552" s="17" t="str">
        <f>"J7511"</f>
        <v>J7511</v>
      </c>
      <c r="B6552" s="5" t="s">
        <v>6558</v>
      </c>
      <c r="C6552" s="17">
        <v>20230101</v>
      </c>
      <c r="D6552" s="17">
        <v>22991231</v>
      </c>
      <c r="E6552" s="25">
        <v>887.36</v>
      </c>
    </row>
    <row r="6553" spans="1:5" ht="26" x14ac:dyDescent="0.3">
      <c r="A6553" s="17" t="str">
        <f>"J7512"</f>
        <v>J7512</v>
      </c>
      <c r="B6553" s="5" t="s">
        <v>6559</v>
      </c>
      <c r="C6553" s="17">
        <v>20230101</v>
      </c>
      <c r="D6553" s="17">
        <v>22991231</v>
      </c>
      <c r="E6553" s="25">
        <v>0</v>
      </c>
    </row>
    <row r="6554" spans="1:5" x14ac:dyDescent="0.3">
      <c r="A6554" s="17" t="str">
        <f>"J7513"</f>
        <v>J7513</v>
      </c>
      <c r="B6554" s="5" t="s">
        <v>6560</v>
      </c>
      <c r="C6554" s="17">
        <v>20230101</v>
      </c>
      <c r="D6554" s="17">
        <v>22991231</v>
      </c>
      <c r="E6554" s="25">
        <v>0</v>
      </c>
    </row>
    <row r="6555" spans="1:5" x14ac:dyDescent="0.3">
      <c r="A6555" s="17" t="str">
        <f>"J7515"</f>
        <v>J7515</v>
      </c>
      <c r="B6555" s="5" t="s">
        <v>6561</v>
      </c>
      <c r="C6555" s="17">
        <v>20230101</v>
      </c>
      <c r="D6555" s="17">
        <v>22991231</v>
      </c>
      <c r="E6555" s="25">
        <v>0</v>
      </c>
    </row>
    <row r="6556" spans="1:5" x14ac:dyDescent="0.3">
      <c r="A6556" s="17" t="str">
        <f>"J7516"</f>
        <v>J7516</v>
      </c>
      <c r="B6556" s="5" t="s">
        <v>6562</v>
      </c>
      <c r="C6556" s="17">
        <v>20230101</v>
      </c>
      <c r="D6556" s="17">
        <v>22991231</v>
      </c>
      <c r="E6556" s="25">
        <v>0</v>
      </c>
    </row>
    <row r="6557" spans="1:5" x14ac:dyDescent="0.3">
      <c r="A6557" s="17" t="str">
        <f>"J7517"</f>
        <v>J7517</v>
      </c>
      <c r="B6557" s="5" t="s">
        <v>6563</v>
      </c>
      <c r="C6557" s="17">
        <v>20230101</v>
      </c>
      <c r="D6557" s="17">
        <v>22991231</v>
      </c>
      <c r="E6557" s="25">
        <v>0</v>
      </c>
    </row>
    <row r="6558" spans="1:5" x14ac:dyDescent="0.3">
      <c r="A6558" s="17" t="str">
        <f>"J7518"</f>
        <v>J7518</v>
      </c>
      <c r="B6558" s="5" t="s">
        <v>6564</v>
      </c>
      <c r="C6558" s="17">
        <v>20050101</v>
      </c>
      <c r="D6558" s="17">
        <v>22991231</v>
      </c>
      <c r="E6558" s="25">
        <v>0</v>
      </c>
    </row>
    <row r="6559" spans="1:5" x14ac:dyDescent="0.3">
      <c r="A6559" s="17" t="str">
        <f>"J7519"</f>
        <v>J7519</v>
      </c>
      <c r="B6559" s="5" t="s">
        <v>6565</v>
      </c>
      <c r="C6559" s="17">
        <v>20240101</v>
      </c>
      <c r="D6559" s="17">
        <v>22991231</v>
      </c>
      <c r="E6559" s="25">
        <v>0.7</v>
      </c>
    </row>
    <row r="6560" spans="1:5" x14ac:dyDescent="0.3">
      <c r="A6560" s="17" t="str">
        <f>"J7520"</f>
        <v>J7520</v>
      </c>
      <c r="B6560" s="5" t="s">
        <v>6566</v>
      </c>
      <c r="C6560" s="17">
        <v>20230101</v>
      </c>
      <c r="D6560" s="17">
        <v>22991231</v>
      </c>
      <c r="E6560" s="25">
        <v>0</v>
      </c>
    </row>
    <row r="6561" spans="1:5" x14ac:dyDescent="0.3">
      <c r="A6561" s="17" t="str">
        <f>"J7525"</f>
        <v>J7525</v>
      </c>
      <c r="B6561" s="5" t="s">
        <v>6567</v>
      </c>
      <c r="C6561" s="17">
        <v>20230101</v>
      </c>
      <c r="D6561" s="17">
        <v>22991231</v>
      </c>
      <c r="E6561" s="25">
        <v>237.58</v>
      </c>
    </row>
    <row r="6562" spans="1:5" x14ac:dyDescent="0.3">
      <c r="A6562" s="17" t="str">
        <f>"J7527"</f>
        <v>J7527</v>
      </c>
      <c r="B6562" s="5" t="s">
        <v>6568</v>
      </c>
      <c r="C6562" s="17">
        <v>20230101</v>
      </c>
      <c r="D6562" s="17">
        <v>22991231</v>
      </c>
      <c r="E6562" s="25">
        <v>0</v>
      </c>
    </row>
    <row r="6563" spans="1:5" ht="26" x14ac:dyDescent="0.3">
      <c r="A6563" s="17" t="str">
        <f>"J7599"</f>
        <v>J7599</v>
      </c>
      <c r="B6563" s="5" t="s">
        <v>6569</v>
      </c>
      <c r="C6563" s="17">
        <v>20230101</v>
      </c>
      <c r="D6563" s="17">
        <v>22991231</v>
      </c>
      <c r="E6563" s="25">
        <v>0</v>
      </c>
    </row>
    <row r="6564" spans="1:5" ht="39" x14ac:dyDescent="0.3">
      <c r="A6564" s="17" t="str">
        <f>"J7611"</f>
        <v>J7611</v>
      </c>
      <c r="B6564" s="5" t="s">
        <v>6570</v>
      </c>
      <c r="C6564" s="17">
        <v>20050101</v>
      </c>
      <c r="D6564" s="17">
        <v>22991231</v>
      </c>
      <c r="E6564" s="24" t="s">
        <v>7128</v>
      </c>
    </row>
    <row r="6565" spans="1:5" ht="39" x14ac:dyDescent="0.3">
      <c r="A6565" s="17" t="str">
        <f>"J7612"</f>
        <v>J7612</v>
      </c>
      <c r="B6565" s="5" t="s">
        <v>6571</v>
      </c>
      <c r="C6565" s="17">
        <v>20050101</v>
      </c>
      <c r="D6565" s="17">
        <v>22991231</v>
      </c>
      <c r="E6565" s="24" t="s">
        <v>7128</v>
      </c>
    </row>
    <row r="6566" spans="1:5" ht="39" x14ac:dyDescent="0.3">
      <c r="A6566" s="17" t="str">
        <f>"J7613"</f>
        <v>J7613</v>
      </c>
      <c r="B6566" s="5" t="s">
        <v>6572</v>
      </c>
      <c r="C6566" s="17">
        <v>20050101</v>
      </c>
      <c r="D6566" s="17">
        <v>22991231</v>
      </c>
      <c r="E6566" s="24" t="s">
        <v>7128</v>
      </c>
    </row>
    <row r="6567" spans="1:5" ht="39" x14ac:dyDescent="0.3">
      <c r="A6567" s="17" t="str">
        <f>"J7614"</f>
        <v>J7614</v>
      </c>
      <c r="B6567" s="5" t="s">
        <v>6573</v>
      </c>
      <c r="C6567" s="17">
        <v>20050101</v>
      </c>
      <c r="D6567" s="17">
        <v>22991231</v>
      </c>
      <c r="E6567" s="24" t="s">
        <v>7128</v>
      </c>
    </row>
    <row r="6568" spans="1:5" x14ac:dyDescent="0.3">
      <c r="A6568" s="17" t="str">
        <f>"J7665"</f>
        <v>J7665</v>
      </c>
      <c r="B6568" s="5" t="s">
        <v>6574</v>
      </c>
      <c r="C6568" s="17">
        <v>20230101</v>
      </c>
      <c r="D6568" s="17">
        <v>22991231</v>
      </c>
      <c r="E6568" s="25">
        <v>0</v>
      </c>
    </row>
    <row r="6569" spans="1:5" ht="26" x14ac:dyDescent="0.3">
      <c r="A6569" s="17" t="str">
        <f>"J7674"</f>
        <v>J7674</v>
      </c>
      <c r="B6569" s="5" t="s">
        <v>6575</v>
      </c>
      <c r="C6569" s="17">
        <v>20050101</v>
      </c>
      <c r="D6569" s="17">
        <v>22991231</v>
      </c>
      <c r="E6569" s="25">
        <v>0</v>
      </c>
    </row>
    <row r="6570" spans="1:5" ht="26" x14ac:dyDescent="0.3">
      <c r="A6570" s="17" t="str">
        <f>"J7799"</f>
        <v>J7799</v>
      </c>
      <c r="B6570" s="5" t="s">
        <v>6576</v>
      </c>
      <c r="C6570" s="17">
        <v>20230101</v>
      </c>
      <c r="D6570" s="17">
        <v>22991231</v>
      </c>
      <c r="E6570" s="25">
        <v>0</v>
      </c>
    </row>
    <row r="6571" spans="1:5" x14ac:dyDescent="0.3">
      <c r="A6571" s="17" t="str">
        <f>"J7999"</f>
        <v>J7999</v>
      </c>
      <c r="B6571" s="5" t="s">
        <v>6577</v>
      </c>
      <c r="C6571" s="17">
        <v>20230101</v>
      </c>
      <c r="D6571" s="17">
        <v>22991231</v>
      </c>
      <c r="E6571" s="25">
        <v>0</v>
      </c>
    </row>
    <row r="6572" spans="1:5" x14ac:dyDescent="0.3">
      <c r="A6572" s="17" t="str">
        <f>"J8501"</f>
        <v>J8501</v>
      </c>
      <c r="B6572" s="5" t="s">
        <v>6578</v>
      </c>
      <c r="C6572" s="17">
        <v>20050101</v>
      </c>
      <c r="D6572" s="17">
        <v>22991231</v>
      </c>
      <c r="E6572" s="25">
        <v>0</v>
      </c>
    </row>
    <row r="6573" spans="1:5" x14ac:dyDescent="0.3">
      <c r="A6573" s="17" t="str">
        <f>"J8510"</f>
        <v>J8510</v>
      </c>
      <c r="B6573" s="5" t="s">
        <v>6579</v>
      </c>
      <c r="C6573" s="17">
        <v>20230101</v>
      </c>
      <c r="D6573" s="17">
        <v>22991231</v>
      </c>
      <c r="E6573" s="25">
        <v>0</v>
      </c>
    </row>
    <row r="6574" spans="1:5" x14ac:dyDescent="0.3">
      <c r="A6574" s="17" t="str">
        <f>"J8520"</f>
        <v>J8520</v>
      </c>
      <c r="B6574" s="5" t="s">
        <v>6580</v>
      </c>
      <c r="C6574" s="17">
        <v>20230101</v>
      </c>
      <c r="D6574" s="17">
        <v>22991231</v>
      </c>
      <c r="E6574" s="25">
        <v>0</v>
      </c>
    </row>
    <row r="6575" spans="1:5" x14ac:dyDescent="0.3">
      <c r="A6575" s="17" t="str">
        <f>"J8521"</f>
        <v>J8521</v>
      </c>
      <c r="B6575" s="5" t="s">
        <v>6581</v>
      </c>
      <c r="C6575" s="17">
        <v>20230101</v>
      </c>
      <c r="D6575" s="17">
        <v>22991231</v>
      </c>
      <c r="E6575" s="25">
        <v>0</v>
      </c>
    </row>
    <row r="6576" spans="1:5" x14ac:dyDescent="0.3">
      <c r="A6576" s="17" t="str">
        <f>"J8530"</f>
        <v>J8530</v>
      </c>
      <c r="B6576" s="5" t="s">
        <v>6582</v>
      </c>
      <c r="C6576" s="17">
        <v>20230101</v>
      </c>
      <c r="D6576" s="17">
        <v>22991231</v>
      </c>
      <c r="E6576" s="25">
        <v>0</v>
      </c>
    </row>
    <row r="6577" spans="1:5" x14ac:dyDescent="0.3">
      <c r="A6577" s="17" t="str">
        <f>"J8540"</f>
        <v>J8540</v>
      </c>
      <c r="B6577" s="5" t="s">
        <v>6583</v>
      </c>
      <c r="C6577" s="17">
        <v>20060101</v>
      </c>
      <c r="D6577" s="17">
        <v>22991231</v>
      </c>
      <c r="E6577" s="25">
        <v>0</v>
      </c>
    </row>
    <row r="6578" spans="1:5" x14ac:dyDescent="0.3">
      <c r="A6578" s="17" t="str">
        <f>"J8560"</f>
        <v>J8560</v>
      </c>
      <c r="B6578" s="5" t="s">
        <v>6584</v>
      </c>
      <c r="C6578" s="17">
        <v>20230101</v>
      </c>
      <c r="D6578" s="17">
        <v>22991231</v>
      </c>
      <c r="E6578" s="25">
        <v>73.17</v>
      </c>
    </row>
    <row r="6579" spans="1:5" x14ac:dyDescent="0.3">
      <c r="A6579" s="17" t="str">
        <f>"J8562"</f>
        <v>J8562</v>
      </c>
      <c r="B6579" s="5" t="s">
        <v>6585</v>
      </c>
      <c r="C6579" s="17">
        <v>20230101</v>
      </c>
      <c r="D6579" s="17">
        <v>22991231</v>
      </c>
      <c r="E6579" s="25">
        <v>0</v>
      </c>
    </row>
    <row r="6580" spans="1:5" x14ac:dyDescent="0.3">
      <c r="A6580" s="17" t="str">
        <f>"J8565"</f>
        <v>J8565</v>
      </c>
      <c r="B6580" s="5" t="s">
        <v>6586</v>
      </c>
      <c r="C6580" s="17">
        <v>20050101</v>
      </c>
      <c r="D6580" s="17">
        <v>22991231</v>
      </c>
      <c r="E6580" s="25">
        <v>0</v>
      </c>
    </row>
    <row r="6581" spans="1:5" x14ac:dyDescent="0.3">
      <c r="A6581" s="17" t="str">
        <f>"J8597"</f>
        <v>J8597</v>
      </c>
      <c r="B6581" s="5" t="s">
        <v>6587</v>
      </c>
      <c r="C6581" s="17">
        <v>20230101</v>
      </c>
      <c r="D6581" s="17">
        <v>22991231</v>
      </c>
      <c r="E6581" s="25">
        <v>0</v>
      </c>
    </row>
    <row r="6582" spans="1:5" x14ac:dyDescent="0.3">
      <c r="A6582" s="17" t="str">
        <f>"J8600"</f>
        <v>J8600</v>
      </c>
      <c r="B6582" s="5" t="s">
        <v>6588</v>
      </c>
      <c r="C6582" s="17">
        <v>20230101</v>
      </c>
      <c r="D6582" s="17">
        <v>22991231</v>
      </c>
      <c r="E6582" s="25">
        <v>0</v>
      </c>
    </row>
    <row r="6583" spans="1:5" x14ac:dyDescent="0.3">
      <c r="A6583" s="17" t="str">
        <f>"J8610"</f>
        <v>J8610</v>
      </c>
      <c r="B6583" s="5" t="s">
        <v>6589</v>
      </c>
      <c r="C6583" s="17">
        <v>20230101</v>
      </c>
      <c r="D6583" s="17">
        <v>22991231</v>
      </c>
      <c r="E6583" s="25">
        <v>0</v>
      </c>
    </row>
    <row r="6584" spans="1:5" x14ac:dyDescent="0.3">
      <c r="A6584" s="17" t="str">
        <f>"J8650"</f>
        <v>J8650</v>
      </c>
      <c r="B6584" s="5" t="s">
        <v>6590</v>
      </c>
      <c r="C6584" s="17">
        <v>20230101</v>
      </c>
      <c r="D6584" s="17">
        <v>22991231</v>
      </c>
      <c r="E6584" s="25">
        <v>0</v>
      </c>
    </row>
    <row r="6585" spans="1:5" x14ac:dyDescent="0.3">
      <c r="A6585" s="17" t="str">
        <f>"J8655"</f>
        <v>J8655</v>
      </c>
      <c r="B6585" s="5" t="s">
        <v>6591</v>
      </c>
      <c r="C6585" s="17">
        <v>20230101</v>
      </c>
      <c r="D6585" s="17">
        <v>22991231</v>
      </c>
      <c r="E6585" s="25">
        <v>391.67</v>
      </c>
    </row>
    <row r="6586" spans="1:5" x14ac:dyDescent="0.3">
      <c r="A6586" s="17" t="str">
        <f>"J8670"</f>
        <v>J8670</v>
      </c>
      <c r="B6586" s="5" t="s">
        <v>6592</v>
      </c>
      <c r="C6586" s="17">
        <v>20230101</v>
      </c>
      <c r="D6586" s="17">
        <v>22991231</v>
      </c>
      <c r="E6586" s="25">
        <v>1.52</v>
      </c>
    </row>
    <row r="6587" spans="1:5" x14ac:dyDescent="0.3">
      <c r="A6587" s="17" t="str">
        <f>"J8700"</f>
        <v>J8700</v>
      </c>
      <c r="B6587" s="5" t="s">
        <v>6593</v>
      </c>
      <c r="C6587" s="17">
        <v>20230101</v>
      </c>
      <c r="D6587" s="17">
        <v>22991231</v>
      </c>
      <c r="E6587" s="25">
        <v>0</v>
      </c>
    </row>
    <row r="6588" spans="1:5" x14ac:dyDescent="0.3">
      <c r="A6588" s="17" t="str">
        <f>"J8705"</f>
        <v>J8705</v>
      </c>
      <c r="B6588" s="5" t="s">
        <v>6594</v>
      </c>
      <c r="C6588" s="17">
        <v>20090101</v>
      </c>
      <c r="D6588" s="17">
        <v>22991231</v>
      </c>
      <c r="E6588" s="25">
        <v>108.4</v>
      </c>
    </row>
    <row r="6589" spans="1:5" x14ac:dyDescent="0.3">
      <c r="A6589" s="17" t="str">
        <f>"J9000"</f>
        <v>J9000</v>
      </c>
      <c r="B6589" s="5" t="s">
        <v>6595</v>
      </c>
      <c r="C6589" s="17">
        <v>20230101</v>
      </c>
      <c r="D6589" s="17">
        <v>22991231</v>
      </c>
      <c r="E6589" s="25">
        <v>0</v>
      </c>
    </row>
    <row r="6590" spans="1:5" x14ac:dyDescent="0.3">
      <c r="A6590" s="17" t="str">
        <f>"J9015"</f>
        <v>J9015</v>
      </c>
      <c r="B6590" s="5" t="s">
        <v>6596</v>
      </c>
      <c r="C6590" s="17">
        <v>20230101</v>
      </c>
      <c r="D6590" s="17">
        <v>22991231</v>
      </c>
      <c r="E6590" s="25">
        <v>3766.16</v>
      </c>
    </row>
    <row r="6591" spans="1:5" x14ac:dyDescent="0.3">
      <c r="A6591" s="17" t="str">
        <f>"J9017"</f>
        <v>J9017</v>
      </c>
      <c r="B6591" s="5" t="s">
        <v>6597</v>
      </c>
      <c r="C6591" s="17">
        <v>20230101</v>
      </c>
      <c r="D6591" s="17">
        <v>22991231</v>
      </c>
      <c r="E6591" s="25">
        <v>15.07</v>
      </c>
    </row>
    <row r="6592" spans="1:5" x14ac:dyDescent="0.3">
      <c r="A6592" s="17" t="str">
        <f>"J9019"</f>
        <v>J9019</v>
      </c>
      <c r="B6592" s="5" t="s">
        <v>6598</v>
      </c>
      <c r="C6592" s="17">
        <v>20230101</v>
      </c>
      <c r="D6592" s="17">
        <v>22991231</v>
      </c>
      <c r="E6592" s="25">
        <v>408.11</v>
      </c>
    </row>
    <row r="6593" spans="1:5" ht="26" x14ac:dyDescent="0.3">
      <c r="A6593" s="17" t="str">
        <f>"J9020"</f>
        <v>J9020</v>
      </c>
      <c r="B6593" s="5" t="s">
        <v>6599</v>
      </c>
      <c r="C6593" s="17">
        <v>20230101</v>
      </c>
      <c r="D6593" s="17">
        <v>22991231</v>
      </c>
      <c r="E6593" s="25">
        <v>0</v>
      </c>
    </row>
    <row r="6594" spans="1:5" ht="26" x14ac:dyDescent="0.3">
      <c r="A6594" s="17" t="str">
        <f>"J9021"</f>
        <v>J9021</v>
      </c>
      <c r="B6594" s="5" t="s">
        <v>6600</v>
      </c>
      <c r="C6594" s="17">
        <v>20230101</v>
      </c>
      <c r="D6594" s="17">
        <v>22991231</v>
      </c>
      <c r="E6594" s="25">
        <v>48.67</v>
      </c>
    </row>
    <row r="6595" spans="1:5" x14ac:dyDescent="0.3">
      <c r="A6595" s="17" t="str">
        <f>"J9022"</f>
        <v>J9022</v>
      </c>
      <c r="B6595" s="5" t="s">
        <v>6601</v>
      </c>
      <c r="C6595" s="17">
        <v>20230101</v>
      </c>
      <c r="D6595" s="17">
        <v>22991231</v>
      </c>
      <c r="E6595" s="25">
        <v>81.2</v>
      </c>
    </row>
    <row r="6596" spans="1:5" x14ac:dyDescent="0.3">
      <c r="A6596" s="17" t="str">
        <f>"J9023"</f>
        <v>J9023</v>
      </c>
      <c r="B6596" s="5" t="s">
        <v>6602</v>
      </c>
      <c r="C6596" s="17">
        <v>20230101</v>
      </c>
      <c r="D6596" s="17">
        <v>22991231</v>
      </c>
      <c r="E6596" s="25">
        <v>88.23</v>
      </c>
    </row>
    <row r="6597" spans="1:5" x14ac:dyDescent="0.3">
      <c r="A6597" s="17" t="str">
        <f>"J9025"</f>
        <v>J9025</v>
      </c>
      <c r="B6597" s="5" t="s">
        <v>6603</v>
      </c>
      <c r="C6597" s="17">
        <v>20060101</v>
      </c>
      <c r="D6597" s="17">
        <v>22991231</v>
      </c>
      <c r="E6597" s="25">
        <v>0</v>
      </c>
    </row>
    <row r="6598" spans="1:5" x14ac:dyDescent="0.3">
      <c r="A6598" s="17" t="str">
        <f>"J9027"</f>
        <v>J9027</v>
      </c>
      <c r="B6598" s="5" t="s">
        <v>6604</v>
      </c>
      <c r="C6598" s="17">
        <v>20230101</v>
      </c>
      <c r="D6598" s="17">
        <v>22991231</v>
      </c>
      <c r="E6598" s="25">
        <v>20.43</v>
      </c>
    </row>
    <row r="6599" spans="1:5" ht="26" x14ac:dyDescent="0.3">
      <c r="A6599" s="17" t="str">
        <f>"J9029"</f>
        <v>J9029</v>
      </c>
      <c r="B6599" s="5" t="s">
        <v>6605</v>
      </c>
      <c r="C6599" s="17">
        <v>20240101</v>
      </c>
      <c r="D6599" s="17">
        <v>22991231</v>
      </c>
      <c r="E6599" s="25">
        <v>59028.27</v>
      </c>
    </row>
    <row r="6600" spans="1:5" x14ac:dyDescent="0.3">
      <c r="A6600" s="17" t="str">
        <f>"J9030"</f>
        <v>J9030</v>
      </c>
      <c r="B6600" s="5" t="s">
        <v>6606</v>
      </c>
      <c r="C6600" s="17">
        <v>20230101</v>
      </c>
      <c r="D6600" s="17">
        <v>22991231</v>
      </c>
      <c r="E6600" s="25">
        <v>0</v>
      </c>
    </row>
    <row r="6601" spans="1:5" x14ac:dyDescent="0.3">
      <c r="A6601" s="17" t="str">
        <f>"J9032"</f>
        <v>J9032</v>
      </c>
      <c r="B6601" s="5" t="s">
        <v>6607</v>
      </c>
      <c r="C6601" s="17">
        <v>20230101</v>
      </c>
      <c r="D6601" s="17">
        <v>22991231</v>
      </c>
      <c r="E6601" s="25">
        <v>46.69</v>
      </c>
    </row>
    <row r="6602" spans="1:5" x14ac:dyDescent="0.3">
      <c r="A6602" s="17" t="str">
        <f>"J9033"</f>
        <v>J9033</v>
      </c>
      <c r="B6602" s="5" t="s">
        <v>6608</v>
      </c>
      <c r="C6602" s="17">
        <v>20090101</v>
      </c>
      <c r="D6602" s="17">
        <v>22991231</v>
      </c>
      <c r="E6602" s="25">
        <v>8.7799999999999994</v>
      </c>
    </row>
    <row r="6603" spans="1:5" x14ac:dyDescent="0.3">
      <c r="A6603" s="17" t="str">
        <f>"J9034"</f>
        <v>J9034</v>
      </c>
      <c r="B6603" s="5" t="s">
        <v>6609</v>
      </c>
      <c r="C6603" s="17">
        <v>20230101</v>
      </c>
      <c r="D6603" s="17">
        <v>22991231</v>
      </c>
      <c r="E6603" s="25">
        <v>14.1</v>
      </c>
    </row>
    <row r="6604" spans="1:5" x14ac:dyDescent="0.3">
      <c r="A6604" s="17" t="str">
        <f>"J9035"</f>
        <v>J9035</v>
      </c>
      <c r="B6604" s="5" t="s">
        <v>6610</v>
      </c>
      <c r="C6604" s="17">
        <v>20050101</v>
      </c>
      <c r="D6604" s="17">
        <v>22991231</v>
      </c>
      <c r="E6604" s="25">
        <v>70.75</v>
      </c>
    </row>
    <row r="6605" spans="1:5" ht="26" x14ac:dyDescent="0.3">
      <c r="A6605" s="17" t="str">
        <f>"J9036"</f>
        <v>J9036</v>
      </c>
      <c r="B6605" s="5" t="s">
        <v>6611</v>
      </c>
      <c r="C6605" s="17">
        <v>20230101</v>
      </c>
      <c r="D6605" s="17">
        <v>22991231</v>
      </c>
      <c r="E6605" s="25">
        <v>12.5</v>
      </c>
    </row>
    <row r="6606" spans="1:5" x14ac:dyDescent="0.3">
      <c r="A6606" s="17" t="str">
        <f>"J9037"</f>
        <v>J9037</v>
      </c>
      <c r="B6606" s="5" t="s">
        <v>6612</v>
      </c>
      <c r="C6606" s="17">
        <v>20230101</v>
      </c>
      <c r="D6606" s="17">
        <v>22991231</v>
      </c>
      <c r="E6606" s="25">
        <v>44.68</v>
      </c>
    </row>
    <row r="6607" spans="1:5" x14ac:dyDescent="0.3">
      <c r="A6607" s="17" t="str">
        <f>"J9039"</f>
        <v>J9039</v>
      </c>
      <c r="B6607" s="5" t="s">
        <v>6613</v>
      </c>
      <c r="C6607" s="17">
        <v>20230101</v>
      </c>
      <c r="D6607" s="17">
        <v>22991231</v>
      </c>
      <c r="E6607" s="25">
        <v>139.04</v>
      </c>
    </row>
    <row r="6608" spans="1:5" x14ac:dyDescent="0.3">
      <c r="A6608" s="17" t="str">
        <f>"J9040"</f>
        <v>J9040</v>
      </c>
      <c r="B6608" s="5" t="s">
        <v>6614</v>
      </c>
      <c r="C6608" s="17">
        <v>20230101</v>
      </c>
      <c r="D6608" s="17">
        <v>22991231</v>
      </c>
      <c r="E6608" s="25">
        <v>0</v>
      </c>
    </row>
    <row r="6609" spans="1:5" x14ac:dyDescent="0.3">
      <c r="A6609" s="17" t="str">
        <f>"J9041"</f>
        <v>J9041</v>
      </c>
      <c r="B6609" s="5" t="s">
        <v>6615</v>
      </c>
      <c r="C6609" s="17">
        <v>20050101</v>
      </c>
      <c r="D6609" s="17">
        <v>22991231</v>
      </c>
      <c r="E6609" s="25">
        <v>1.87</v>
      </c>
    </row>
    <row r="6610" spans="1:5" x14ac:dyDescent="0.3">
      <c r="A6610" s="17" t="str">
        <f>"J9042"</f>
        <v>J9042</v>
      </c>
      <c r="B6610" s="5" t="s">
        <v>6616</v>
      </c>
      <c r="C6610" s="17">
        <v>20230101</v>
      </c>
      <c r="D6610" s="17">
        <v>22991231</v>
      </c>
      <c r="E6610" s="25">
        <v>220.27</v>
      </c>
    </row>
    <row r="6611" spans="1:5" x14ac:dyDescent="0.3">
      <c r="A6611" s="17" t="str">
        <f>"J9043"</f>
        <v>J9043</v>
      </c>
      <c r="B6611" s="5" t="s">
        <v>6617</v>
      </c>
      <c r="C6611" s="17">
        <v>20230101</v>
      </c>
      <c r="D6611" s="17">
        <v>22991231</v>
      </c>
      <c r="E6611" s="25">
        <v>201.01</v>
      </c>
    </row>
    <row r="6612" spans="1:5" x14ac:dyDescent="0.3">
      <c r="A6612" s="17" t="str">
        <f>"J9045"</f>
        <v>J9045</v>
      </c>
      <c r="B6612" s="5" t="s">
        <v>6618</v>
      </c>
      <c r="C6612" s="17">
        <v>20230101</v>
      </c>
      <c r="D6612" s="17">
        <v>22991231</v>
      </c>
      <c r="E6612" s="25">
        <v>0</v>
      </c>
    </row>
    <row r="6613" spans="1:5" ht="26" x14ac:dyDescent="0.3">
      <c r="A6613" s="17" t="str">
        <f>"J9046"</f>
        <v>J9046</v>
      </c>
      <c r="B6613" s="5" t="s">
        <v>6619</v>
      </c>
      <c r="C6613" s="17">
        <v>20230101</v>
      </c>
      <c r="D6613" s="17">
        <v>22991231</v>
      </c>
      <c r="E6613" s="25">
        <v>46.37</v>
      </c>
    </row>
    <row r="6614" spans="1:5" x14ac:dyDescent="0.3">
      <c r="A6614" s="17" t="str">
        <f>"J9047"</f>
        <v>J9047</v>
      </c>
      <c r="B6614" s="5" t="s">
        <v>6620</v>
      </c>
      <c r="C6614" s="17">
        <v>20230101</v>
      </c>
      <c r="D6614" s="17">
        <v>22991231</v>
      </c>
      <c r="E6614" s="25">
        <v>44.98</v>
      </c>
    </row>
    <row r="6615" spans="1:5" ht="26" x14ac:dyDescent="0.3">
      <c r="A6615" s="17" t="str">
        <f>"J9048"</f>
        <v>J9048</v>
      </c>
      <c r="B6615" s="5" t="s">
        <v>6621</v>
      </c>
      <c r="C6615" s="17">
        <v>20230101</v>
      </c>
      <c r="D6615" s="17">
        <v>22991231</v>
      </c>
      <c r="E6615" s="25">
        <v>46.37</v>
      </c>
    </row>
    <row r="6616" spans="1:5" ht="26" x14ac:dyDescent="0.3">
      <c r="A6616" s="17" t="str">
        <f>"J9049"</f>
        <v>J9049</v>
      </c>
      <c r="B6616" s="5" t="s">
        <v>6622</v>
      </c>
      <c r="C6616" s="17">
        <v>20230101</v>
      </c>
      <c r="D6616" s="17">
        <v>22991231</v>
      </c>
      <c r="E6616" s="25">
        <v>1.45</v>
      </c>
    </row>
    <row r="6617" spans="1:5" x14ac:dyDescent="0.3">
      <c r="A6617" s="17" t="str">
        <f>"J9050"</f>
        <v>J9050</v>
      </c>
      <c r="B6617" s="5" t="s">
        <v>6623</v>
      </c>
      <c r="C6617" s="17">
        <v>20230101</v>
      </c>
      <c r="D6617" s="17">
        <v>22991231</v>
      </c>
      <c r="E6617" s="25">
        <v>259.29000000000002</v>
      </c>
    </row>
    <row r="6618" spans="1:5" ht="26" x14ac:dyDescent="0.3">
      <c r="A6618" s="17" t="str">
        <f>"J9051"</f>
        <v>J9051</v>
      </c>
      <c r="B6618" s="5" t="s">
        <v>6624</v>
      </c>
      <c r="C6618" s="17">
        <v>20240101</v>
      </c>
      <c r="D6618" s="17">
        <v>22991231</v>
      </c>
      <c r="E6618" s="25">
        <v>0</v>
      </c>
    </row>
    <row r="6619" spans="1:5" ht="26" x14ac:dyDescent="0.3">
      <c r="A6619" s="17" t="str">
        <f>"J9052"</f>
        <v>J9052</v>
      </c>
      <c r="B6619" s="5" t="s">
        <v>6625</v>
      </c>
      <c r="C6619" s="17">
        <v>20240101</v>
      </c>
      <c r="D6619" s="17">
        <v>22991231</v>
      </c>
      <c r="E6619" s="25">
        <v>17.57</v>
      </c>
    </row>
    <row r="6620" spans="1:5" x14ac:dyDescent="0.3">
      <c r="A6620" s="17" t="str">
        <f>"J9055"</f>
        <v>J9055</v>
      </c>
      <c r="B6620" s="5" t="s">
        <v>6626</v>
      </c>
      <c r="C6620" s="17">
        <v>20050101</v>
      </c>
      <c r="D6620" s="17">
        <v>22991231</v>
      </c>
      <c r="E6620" s="25">
        <v>70.41</v>
      </c>
    </row>
    <row r="6621" spans="1:5" ht="26" x14ac:dyDescent="0.3">
      <c r="A6621" s="17" t="str">
        <f>"J9056"</f>
        <v>J9056</v>
      </c>
      <c r="B6621" s="5" t="s">
        <v>6627</v>
      </c>
      <c r="C6621" s="17">
        <v>20240101</v>
      </c>
      <c r="D6621" s="17">
        <v>22991231</v>
      </c>
      <c r="E6621" s="25">
        <v>31.95</v>
      </c>
    </row>
    <row r="6622" spans="1:5" x14ac:dyDescent="0.3">
      <c r="A6622" s="17" t="str">
        <f>"J9057"</f>
        <v>J9057</v>
      </c>
      <c r="B6622" s="5" t="s">
        <v>6628</v>
      </c>
      <c r="C6622" s="17">
        <v>20230101</v>
      </c>
      <c r="D6622" s="17">
        <v>22991231</v>
      </c>
      <c r="E6622" s="25">
        <v>83.63</v>
      </c>
    </row>
    <row r="6623" spans="1:5" ht="26" x14ac:dyDescent="0.3">
      <c r="A6623" s="17" t="str">
        <f>"J9058"</f>
        <v>J9058</v>
      </c>
      <c r="B6623" s="5" t="s">
        <v>6629</v>
      </c>
      <c r="C6623" s="17">
        <v>20240101</v>
      </c>
      <c r="D6623" s="17">
        <v>22991231</v>
      </c>
      <c r="E6623" s="25">
        <v>19.850000000000001</v>
      </c>
    </row>
    <row r="6624" spans="1:5" ht="26" x14ac:dyDescent="0.3">
      <c r="A6624" s="17" t="str">
        <f>"J9059"</f>
        <v>J9059</v>
      </c>
      <c r="B6624" s="5" t="s">
        <v>6630</v>
      </c>
      <c r="C6624" s="17">
        <v>20240101</v>
      </c>
      <c r="D6624" s="17">
        <v>22991231</v>
      </c>
      <c r="E6624" s="25">
        <v>19.850000000000001</v>
      </c>
    </row>
    <row r="6625" spans="1:5" x14ac:dyDescent="0.3">
      <c r="A6625" s="17" t="str">
        <f>"J9060"</f>
        <v>J9060</v>
      </c>
      <c r="B6625" s="5" t="s">
        <v>6631</v>
      </c>
      <c r="C6625" s="17">
        <v>20230101</v>
      </c>
      <c r="D6625" s="17">
        <v>22991231</v>
      </c>
      <c r="E6625" s="25">
        <v>0</v>
      </c>
    </row>
    <row r="6626" spans="1:5" x14ac:dyDescent="0.3">
      <c r="A6626" s="17" t="str">
        <f>"J9061"</f>
        <v>J9061</v>
      </c>
      <c r="B6626" s="5" t="s">
        <v>6632</v>
      </c>
      <c r="C6626" s="17">
        <v>20230101</v>
      </c>
      <c r="D6626" s="17">
        <v>22991231</v>
      </c>
      <c r="E6626" s="25">
        <v>19.079999999999998</v>
      </c>
    </row>
    <row r="6627" spans="1:5" x14ac:dyDescent="0.3">
      <c r="A6627" s="17" t="str">
        <f>"J9063"</f>
        <v>J9063</v>
      </c>
      <c r="B6627" s="5" t="s">
        <v>6633</v>
      </c>
      <c r="C6627" s="17">
        <v>20240101</v>
      </c>
      <c r="D6627" s="17">
        <v>22991231</v>
      </c>
      <c r="E6627" s="25">
        <v>62.76</v>
      </c>
    </row>
    <row r="6628" spans="1:5" ht="26" x14ac:dyDescent="0.3">
      <c r="A6628" s="17" t="str">
        <f>"J9064"</f>
        <v>J9064</v>
      </c>
      <c r="B6628" s="5" t="s">
        <v>6634</v>
      </c>
      <c r="C6628" s="17">
        <v>20240101</v>
      </c>
      <c r="D6628" s="17">
        <v>22991231</v>
      </c>
      <c r="E6628" s="25">
        <v>0</v>
      </c>
    </row>
    <row r="6629" spans="1:5" x14ac:dyDescent="0.3">
      <c r="A6629" s="17" t="str">
        <f>"J9065"</f>
        <v>J9065</v>
      </c>
      <c r="B6629" s="5" t="s">
        <v>6635</v>
      </c>
      <c r="C6629" s="17">
        <v>20230101</v>
      </c>
      <c r="D6629" s="17">
        <v>22991231</v>
      </c>
      <c r="E6629" s="25">
        <v>15.06</v>
      </c>
    </row>
    <row r="6630" spans="1:5" x14ac:dyDescent="0.3">
      <c r="A6630" s="31" t="s">
        <v>21</v>
      </c>
      <c r="B6630" s="32" t="s">
        <v>6636</v>
      </c>
      <c r="C6630" s="31">
        <v>20230101</v>
      </c>
      <c r="D6630" s="31">
        <v>20240331</v>
      </c>
      <c r="E6630" s="33">
        <v>19.25</v>
      </c>
    </row>
    <row r="6631" spans="1:5" x14ac:dyDescent="0.3">
      <c r="A6631" s="17" t="str">
        <f>"J9071"</f>
        <v>J9071</v>
      </c>
      <c r="B6631" s="5" t="s">
        <v>6637</v>
      </c>
      <c r="C6631" s="17">
        <v>20230101</v>
      </c>
      <c r="D6631" s="17">
        <v>22991231</v>
      </c>
      <c r="E6631" s="25">
        <v>1.71</v>
      </c>
    </row>
    <row r="6632" spans="1:5" x14ac:dyDescent="0.3">
      <c r="A6632" s="17" t="str">
        <f>"J9072"</f>
        <v>J9072</v>
      </c>
      <c r="B6632" s="5" t="s">
        <v>6638</v>
      </c>
      <c r="C6632" s="17">
        <v>20240101</v>
      </c>
      <c r="D6632" s="17">
        <v>22991231</v>
      </c>
      <c r="E6632" s="25">
        <v>3.59</v>
      </c>
    </row>
    <row r="6633" spans="1:5" x14ac:dyDescent="0.3">
      <c r="A6633" s="17" t="str">
        <f>"J9098"</f>
        <v>J9098</v>
      </c>
      <c r="B6633" s="5" t="s">
        <v>6639</v>
      </c>
      <c r="C6633" s="17">
        <v>20230101</v>
      </c>
      <c r="D6633" s="17">
        <v>22991231</v>
      </c>
      <c r="E6633" s="25">
        <v>0</v>
      </c>
    </row>
    <row r="6634" spans="1:5" x14ac:dyDescent="0.3">
      <c r="A6634" s="17" t="str">
        <f>"J9100"</f>
        <v>J9100</v>
      </c>
      <c r="B6634" s="5" t="s">
        <v>6640</v>
      </c>
      <c r="C6634" s="17">
        <v>20230101</v>
      </c>
      <c r="D6634" s="17">
        <v>22991231</v>
      </c>
      <c r="E6634" s="25">
        <v>0</v>
      </c>
    </row>
    <row r="6635" spans="1:5" x14ac:dyDescent="0.3">
      <c r="A6635" s="17" t="str">
        <f>"J9118"</f>
        <v>J9118</v>
      </c>
      <c r="B6635" s="5" t="s">
        <v>6641</v>
      </c>
      <c r="C6635" s="17">
        <v>20230101</v>
      </c>
      <c r="D6635" s="17">
        <v>22991231</v>
      </c>
      <c r="E6635" s="25">
        <v>0</v>
      </c>
    </row>
    <row r="6636" spans="1:5" x14ac:dyDescent="0.3">
      <c r="A6636" s="17" t="str">
        <f>"J9119"</f>
        <v>J9119</v>
      </c>
      <c r="B6636" s="5" t="s">
        <v>6642</v>
      </c>
      <c r="C6636" s="17">
        <v>20230101</v>
      </c>
      <c r="D6636" s="17">
        <v>22991231</v>
      </c>
      <c r="E6636" s="25">
        <v>26.23</v>
      </c>
    </row>
    <row r="6637" spans="1:5" x14ac:dyDescent="0.3">
      <c r="A6637" s="17" t="str">
        <f>"J9120"</f>
        <v>J9120</v>
      </c>
      <c r="B6637" s="5" t="s">
        <v>6643</v>
      </c>
      <c r="C6637" s="17">
        <v>20230101</v>
      </c>
      <c r="D6637" s="17">
        <v>22991231</v>
      </c>
      <c r="E6637" s="25">
        <v>638.9</v>
      </c>
    </row>
    <row r="6638" spans="1:5" x14ac:dyDescent="0.3">
      <c r="A6638" s="17" t="str">
        <f>"J9130"</f>
        <v>J9130</v>
      </c>
      <c r="B6638" s="5" t="s">
        <v>6644</v>
      </c>
      <c r="C6638" s="17">
        <v>20230101</v>
      </c>
      <c r="D6638" s="17">
        <v>22991231</v>
      </c>
      <c r="E6638" s="25">
        <v>0</v>
      </c>
    </row>
    <row r="6639" spans="1:5" ht="26" x14ac:dyDescent="0.3">
      <c r="A6639" s="17" t="str">
        <f>"J9144"</f>
        <v>J9144</v>
      </c>
      <c r="B6639" s="5" t="s">
        <v>6645</v>
      </c>
      <c r="C6639" s="17">
        <v>20230101</v>
      </c>
      <c r="D6639" s="17">
        <v>22991231</v>
      </c>
      <c r="E6639" s="25">
        <v>46.85</v>
      </c>
    </row>
    <row r="6640" spans="1:5" x14ac:dyDescent="0.3">
      <c r="A6640" s="17" t="str">
        <f>"J9145"</f>
        <v>J9145</v>
      </c>
      <c r="B6640" s="5" t="s">
        <v>6646</v>
      </c>
      <c r="C6640" s="17">
        <v>20230101</v>
      </c>
      <c r="D6640" s="17">
        <v>22991231</v>
      </c>
      <c r="E6640" s="25">
        <v>58.94</v>
      </c>
    </row>
    <row r="6641" spans="1:5" x14ac:dyDescent="0.3">
      <c r="A6641" s="17" t="str">
        <f>"J9150"</f>
        <v>J9150</v>
      </c>
      <c r="B6641" s="5" t="s">
        <v>6647</v>
      </c>
      <c r="C6641" s="17">
        <v>20230101</v>
      </c>
      <c r="D6641" s="17">
        <v>22991231</v>
      </c>
      <c r="E6641" s="25">
        <v>34.07</v>
      </c>
    </row>
    <row r="6642" spans="1:5" ht="26" x14ac:dyDescent="0.3">
      <c r="A6642" s="17" t="str">
        <f>"J9151"</f>
        <v>J9151</v>
      </c>
      <c r="B6642" s="5" t="s">
        <v>6648</v>
      </c>
      <c r="C6642" s="17">
        <v>20230101</v>
      </c>
      <c r="D6642" s="17">
        <v>22991231</v>
      </c>
      <c r="E6642" s="25">
        <v>0</v>
      </c>
    </row>
    <row r="6643" spans="1:5" ht="26" x14ac:dyDescent="0.3">
      <c r="A6643" s="17" t="str">
        <f>"J9153"</f>
        <v>J9153</v>
      </c>
      <c r="B6643" s="5" t="s">
        <v>6649</v>
      </c>
      <c r="C6643" s="17">
        <v>20230101</v>
      </c>
      <c r="D6643" s="17">
        <v>22991231</v>
      </c>
      <c r="E6643" s="25">
        <v>221.37</v>
      </c>
    </row>
    <row r="6644" spans="1:5" x14ac:dyDescent="0.3">
      <c r="A6644" s="17" t="str">
        <f>"J9155"</f>
        <v>J9155</v>
      </c>
      <c r="B6644" s="5" t="s">
        <v>6650</v>
      </c>
      <c r="C6644" s="17">
        <v>20230101</v>
      </c>
      <c r="D6644" s="17">
        <v>22991231</v>
      </c>
      <c r="E6644" s="25">
        <v>4</v>
      </c>
    </row>
    <row r="6645" spans="1:5" x14ac:dyDescent="0.3">
      <c r="A6645" s="17" t="str">
        <f>"J9165"</f>
        <v>J9165</v>
      </c>
      <c r="B6645" s="5" t="s">
        <v>6651</v>
      </c>
      <c r="C6645" s="17">
        <v>20230101</v>
      </c>
      <c r="D6645" s="17">
        <v>22991231</v>
      </c>
      <c r="E6645" s="25">
        <v>0</v>
      </c>
    </row>
    <row r="6646" spans="1:5" x14ac:dyDescent="0.3">
      <c r="A6646" s="17" t="str">
        <f>"J9171"</f>
        <v>J9171</v>
      </c>
      <c r="B6646" s="5" t="s">
        <v>6652</v>
      </c>
      <c r="C6646" s="17">
        <v>20230101</v>
      </c>
      <c r="D6646" s="17">
        <v>22991231</v>
      </c>
      <c r="E6646" s="25">
        <v>0</v>
      </c>
    </row>
    <row r="6647" spans="1:5" ht="26" x14ac:dyDescent="0.3">
      <c r="A6647" s="17" t="str">
        <f>"J9172"</f>
        <v>J9172</v>
      </c>
      <c r="B6647" s="5" t="s">
        <v>6653</v>
      </c>
      <c r="C6647" s="17">
        <v>20240101</v>
      </c>
      <c r="D6647" s="17">
        <v>22991231</v>
      </c>
      <c r="E6647" s="25">
        <v>0</v>
      </c>
    </row>
    <row r="6648" spans="1:5" x14ac:dyDescent="0.3">
      <c r="A6648" s="17" t="str">
        <f>"J9173"</f>
        <v>J9173</v>
      </c>
      <c r="B6648" s="5" t="s">
        <v>6654</v>
      </c>
      <c r="C6648" s="17">
        <v>20230101</v>
      </c>
      <c r="D6648" s="17">
        <v>22991231</v>
      </c>
      <c r="E6648" s="25">
        <v>77.09</v>
      </c>
    </row>
    <row r="6649" spans="1:5" x14ac:dyDescent="0.3">
      <c r="A6649" s="17" t="str">
        <f>"J9175"</f>
        <v>J9175</v>
      </c>
      <c r="B6649" s="5" t="s">
        <v>6655</v>
      </c>
      <c r="C6649" s="17">
        <v>20060101</v>
      </c>
      <c r="D6649" s="17">
        <v>22991231</v>
      </c>
      <c r="E6649" s="25">
        <v>0</v>
      </c>
    </row>
    <row r="6650" spans="1:5" x14ac:dyDescent="0.3">
      <c r="A6650" s="17" t="str">
        <f>"J9176"</f>
        <v>J9176</v>
      </c>
      <c r="B6650" s="5" t="s">
        <v>6656</v>
      </c>
      <c r="C6650" s="17">
        <v>20230101</v>
      </c>
      <c r="D6650" s="17">
        <v>22991231</v>
      </c>
      <c r="E6650" s="25">
        <v>7.05</v>
      </c>
    </row>
    <row r="6651" spans="1:5" x14ac:dyDescent="0.3">
      <c r="A6651" s="17" t="str">
        <f>"J9177"</f>
        <v>J9177</v>
      </c>
      <c r="B6651" s="5" t="s">
        <v>6657</v>
      </c>
      <c r="C6651" s="17">
        <v>20230101</v>
      </c>
      <c r="D6651" s="17">
        <v>22991231</v>
      </c>
      <c r="E6651" s="25">
        <v>33.46</v>
      </c>
    </row>
    <row r="6652" spans="1:5" x14ac:dyDescent="0.3">
      <c r="A6652" s="17" t="str">
        <f>"J9178"</f>
        <v>J9178</v>
      </c>
      <c r="B6652" s="5" t="s">
        <v>6658</v>
      </c>
      <c r="C6652" s="17">
        <v>20230101</v>
      </c>
      <c r="D6652" s="17">
        <v>22991231</v>
      </c>
      <c r="E6652" s="25">
        <v>0</v>
      </c>
    </row>
    <row r="6653" spans="1:5" x14ac:dyDescent="0.3">
      <c r="A6653" s="17" t="str">
        <f>"J9179"</f>
        <v>J9179</v>
      </c>
      <c r="B6653" s="5" t="s">
        <v>6659</v>
      </c>
      <c r="C6653" s="17">
        <v>20230101</v>
      </c>
      <c r="D6653" s="17">
        <v>22991231</v>
      </c>
      <c r="E6653" s="25">
        <v>128.01</v>
      </c>
    </row>
    <row r="6654" spans="1:5" x14ac:dyDescent="0.3">
      <c r="A6654" s="17" t="str">
        <f>"J9181"</f>
        <v>J9181</v>
      </c>
      <c r="B6654" s="5" t="s">
        <v>6660</v>
      </c>
      <c r="C6654" s="17">
        <v>20230101</v>
      </c>
      <c r="D6654" s="17">
        <v>22991231</v>
      </c>
      <c r="E6654" s="25">
        <v>0</v>
      </c>
    </row>
    <row r="6655" spans="1:5" x14ac:dyDescent="0.3">
      <c r="A6655" s="17" t="str">
        <f>"J9185"</f>
        <v>J9185</v>
      </c>
      <c r="B6655" s="5" t="s">
        <v>6661</v>
      </c>
      <c r="C6655" s="17">
        <v>20230101</v>
      </c>
      <c r="D6655" s="17">
        <v>22991231</v>
      </c>
      <c r="E6655" s="25">
        <v>166.17</v>
      </c>
    </row>
    <row r="6656" spans="1:5" x14ac:dyDescent="0.3">
      <c r="A6656" s="17" t="str">
        <f>"J9190"</f>
        <v>J9190</v>
      </c>
      <c r="B6656" s="5" t="s">
        <v>6662</v>
      </c>
      <c r="C6656" s="17">
        <v>20230101</v>
      </c>
      <c r="D6656" s="17">
        <v>22991231</v>
      </c>
      <c r="E6656" s="25">
        <v>0</v>
      </c>
    </row>
    <row r="6657" spans="1:5" ht="26" x14ac:dyDescent="0.3">
      <c r="A6657" s="17" t="str">
        <f>"J9196"</f>
        <v>J9196</v>
      </c>
      <c r="B6657" s="5" t="s">
        <v>6663</v>
      </c>
      <c r="C6657" s="17">
        <v>20240101</v>
      </c>
      <c r="D6657" s="17">
        <v>22991231</v>
      </c>
      <c r="E6657" s="25">
        <v>8.39</v>
      </c>
    </row>
    <row r="6658" spans="1:5" ht="26" x14ac:dyDescent="0.3">
      <c r="A6658" s="17" t="str">
        <f>"J9198"</f>
        <v>J9198</v>
      </c>
      <c r="B6658" s="5" t="s">
        <v>6664</v>
      </c>
      <c r="C6658" s="17">
        <v>20230101</v>
      </c>
      <c r="D6658" s="17">
        <v>22991231</v>
      </c>
      <c r="E6658" s="25">
        <v>38.47</v>
      </c>
    </row>
    <row r="6659" spans="1:5" x14ac:dyDescent="0.3">
      <c r="A6659" s="17" t="str">
        <f>"J9200"</f>
        <v>J9200</v>
      </c>
      <c r="B6659" s="5" t="s">
        <v>6665</v>
      </c>
      <c r="C6659" s="17">
        <v>20230101</v>
      </c>
      <c r="D6659" s="17">
        <v>22991231</v>
      </c>
      <c r="E6659" s="25">
        <v>3555.11</v>
      </c>
    </row>
    <row r="6660" spans="1:5" ht="26" x14ac:dyDescent="0.3">
      <c r="A6660" s="17" t="str">
        <f>"J9201"</f>
        <v>J9201</v>
      </c>
      <c r="B6660" s="5" t="s">
        <v>6666</v>
      </c>
      <c r="C6660" s="17">
        <v>20230101</v>
      </c>
      <c r="D6660" s="17">
        <v>22991231</v>
      </c>
      <c r="E6660" s="25">
        <v>0</v>
      </c>
    </row>
    <row r="6661" spans="1:5" x14ac:dyDescent="0.3">
      <c r="A6661" s="17" t="str">
        <f>"J9202"</f>
        <v>J9202</v>
      </c>
      <c r="B6661" s="5" t="s">
        <v>6667</v>
      </c>
      <c r="C6661" s="17">
        <v>20230101</v>
      </c>
      <c r="D6661" s="17">
        <v>22991231</v>
      </c>
      <c r="E6661" s="25">
        <v>581.70000000000005</v>
      </c>
    </row>
    <row r="6662" spans="1:5" x14ac:dyDescent="0.3">
      <c r="A6662" s="17" t="str">
        <f>"J9203"</f>
        <v>J9203</v>
      </c>
      <c r="B6662" s="5" t="s">
        <v>6668</v>
      </c>
      <c r="C6662" s="17">
        <v>20230101</v>
      </c>
      <c r="D6662" s="17">
        <v>22991231</v>
      </c>
      <c r="E6662" s="25">
        <v>216.13</v>
      </c>
    </row>
    <row r="6663" spans="1:5" x14ac:dyDescent="0.3">
      <c r="A6663" s="17" t="str">
        <f>"J9204"</f>
        <v>J9204</v>
      </c>
      <c r="B6663" s="5" t="s">
        <v>6669</v>
      </c>
      <c r="C6663" s="17">
        <v>20230101</v>
      </c>
      <c r="D6663" s="17">
        <v>22991231</v>
      </c>
      <c r="E6663" s="25">
        <v>223.67</v>
      </c>
    </row>
    <row r="6664" spans="1:5" x14ac:dyDescent="0.3">
      <c r="A6664" s="17" t="str">
        <f>"J9205"</f>
        <v>J9205</v>
      </c>
      <c r="B6664" s="5" t="s">
        <v>6670</v>
      </c>
      <c r="C6664" s="17">
        <v>20230101</v>
      </c>
      <c r="D6664" s="17">
        <v>22991231</v>
      </c>
      <c r="E6664" s="25">
        <v>59.24</v>
      </c>
    </row>
    <row r="6665" spans="1:5" x14ac:dyDescent="0.3">
      <c r="A6665" s="17" t="str">
        <f>"J9206"</f>
        <v>J9206</v>
      </c>
      <c r="B6665" s="5" t="s">
        <v>6671</v>
      </c>
      <c r="C6665" s="17">
        <v>20230101</v>
      </c>
      <c r="D6665" s="17">
        <v>22991231</v>
      </c>
      <c r="E6665" s="25">
        <v>0</v>
      </c>
    </row>
    <row r="6666" spans="1:5" x14ac:dyDescent="0.3">
      <c r="A6666" s="17" t="str">
        <f>"J9207"</f>
        <v>J9207</v>
      </c>
      <c r="B6666" s="5" t="s">
        <v>6672</v>
      </c>
      <c r="C6666" s="17">
        <v>20090101</v>
      </c>
      <c r="D6666" s="17">
        <v>22991231</v>
      </c>
      <c r="E6666" s="25">
        <v>122.33</v>
      </c>
    </row>
    <row r="6667" spans="1:5" x14ac:dyDescent="0.3">
      <c r="A6667" s="17" t="str">
        <f>"J9208"</f>
        <v>J9208</v>
      </c>
      <c r="B6667" s="5" t="s">
        <v>6673</v>
      </c>
      <c r="C6667" s="17">
        <v>20230101</v>
      </c>
      <c r="D6667" s="17">
        <v>22991231</v>
      </c>
      <c r="E6667" s="25">
        <v>0</v>
      </c>
    </row>
    <row r="6668" spans="1:5" x14ac:dyDescent="0.3">
      <c r="A6668" s="17" t="str">
        <f>"J9209"</f>
        <v>J9209</v>
      </c>
      <c r="B6668" s="5" t="s">
        <v>6674</v>
      </c>
      <c r="C6668" s="17">
        <v>20230101</v>
      </c>
      <c r="D6668" s="17">
        <v>22991231</v>
      </c>
      <c r="E6668" s="25">
        <v>0</v>
      </c>
    </row>
    <row r="6669" spans="1:5" x14ac:dyDescent="0.3">
      <c r="A6669" s="17" t="str">
        <f>"J9210"</f>
        <v>J9210</v>
      </c>
      <c r="B6669" s="5" t="s">
        <v>6675</v>
      </c>
      <c r="C6669" s="17">
        <v>20230101</v>
      </c>
      <c r="D6669" s="17">
        <v>22991231</v>
      </c>
      <c r="E6669" s="25">
        <v>358.81</v>
      </c>
    </row>
    <row r="6670" spans="1:5" x14ac:dyDescent="0.3">
      <c r="A6670" s="17" t="str">
        <f>"J9211"</f>
        <v>J9211</v>
      </c>
      <c r="B6670" s="5" t="s">
        <v>6676</v>
      </c>
      <c r="C6670" s="17">
        <v>20230101</v>
      </c>
      <c r="D6670" s="17">
        <v>22991231</v>
      </c>
      <c r="E6670" s="25">
        <v>0</v>
      </c>
    </row>
    <row r="6671" spans="1:5" ht="26" x14ac:dyDescent="0.3">
      <c r="A6671" s="17" t="str">
        <f>"J9212"</f>
        <v>J9212</v>
      </c>
      <c r="B6671" s="5" t="s">
        <v>6677</v>
      </c>
      <c r="C6671" s="17">
        <v>20230101</v>
      </c>
      <c r="D6671" s="17">
        <v>22991231</v>
      </c>
      <c r="E6671" s="25">
        <v>0</v>
      </c>
    </row>
    <row r="6672" spans="1:5" ht="26" x14ac:dyDescent="0.3">
      <c r="A6672" s="17" t="str">
        <f>"J9213"</f>
        <v>J9213</v>
      </c>
      <c r="B6672" s="5" t="s">
        <v>6678</v>
      </c>
      <c r="C6672" s="17">
        <v>20230101</v>
      </c>
      <c r="D6672" s="17">
        <v>22991231</v>
      </c>
      <c r="E6672" s="25">
        <v>0</v>
      </c>
    </row>
    <row r="6673" spans="1:5" ht="26" x14ac:dyDescent="0.3">
      <c r="A6673" s="17" t="str">
        <f>"J9214"</f>
        <v>J9214</v>
      </c>
      <c r="B6673" s="5" t="s">
        <v>6679</v>
      </c>
      <c r="C6673" s="17">
        <v>20230101</v>
      </c>
      <c r="D6673" s="17">
        <v>22991231</v>
      </c>
      <c r="E6673" s="25">
        <v>31.11</v>
      </c>
    </row>
    <row r="6674" spans="1:5" ht="26" x14ac:dyDescent="0.3">
      <c r="A6674" s="17" t="str">
        <f>"J9215"</f>
        <v>J9215</v>
      </c>
      <c r="B6674" s="5" t="s">
        <v>6680</v>
      </c>
      <c r="C6674" s="17">
        <v>20230101</v>
      </c>
      <c r="D6674" s="17">
        <v>22991231</v>
      </c>
      <c r="E6674" s="25">
        <v>0</v>
      </c>
    </row>
    <row r="6675" spans="1:5" x14ac:dyDescent="0.3">
      <c r="A6675" s="17" t="str">
        <f>"J9216"</f>
        <v>J9216</v>
      </c>
      <c r="B6675" s="5" t="s">
        <v>6681</v>
      </c>
      <c r="C6675" s="17">
        <v>20230101</v>
      </c>
      <c r="D6675" s="17">
        <v>22991231</v>
      </c>
      <c r="E6675" s="25">
        <v>0</v>
      </c>
    </row>
    <row r="6676" spans="1:5" ht="26" x14ac:dyDescent="0.3">
      <c r="A6676" s="17" t="str">
        <f>"J9217"</f>
        <v>J9217</v>
      </c>
      <c r="B6676" s="5" t="s">
        <v>6682</v>
      </c>
      <c r="C6676" s="17">
        <v>20230101</v>
      </c>
      <c r="D6676" s="17">
        <v>22991231</v>
      </c>
      <c r="E6676" s="25">
        <v>173.17</v>
      </c>
    </row>
    <row r="6677" spans="1:5" x14ac:dyDescent="0.3">
      <c r="A6677" s="17" t="str">
        <f>"J9218"</f>
        <v>J9218</v>
      </c>
      <c r="B6677" s="5" t="s">
        <v>6683</v>
      </c>
      <c r="C6677" s="17">
        <v>20230101</v>
      </c>
      <c r="D6677" s="17">
        <v>22991231</v>
      </c>
      <c r="E6677" s="25">
        <v>13.13</v>
      </c>
    </row>
    <row r="6678" spans="1:5" x14ac:dyDescent="0.3">
      <c r="A6678" s="17" t="str">
        <f>"J9219"</f>
        <v>J9219</v>
      </c>
      <c r="B6678" s="5" t="s">
        <v>6684</v>
      </c>
      <c r="C6678" s="17">
        <v>20230101</v>
      </c>
      <c r="D6678" s="17">
        <v>22991231</v>
      </c>
      <c r="E6678" s="25">
        <v>0</v>
      </c>
    </row>
    <row r="6679" spans="1:5" x14ac:dyDescent="0.3">
      <c r="A6679" s="17" t="str">
        <f>"J9223"</f>
        <v>J9223</v>
      </c>
      <c r="B6679" s="5" t="s">
        <v>6685</v>
      </c>
      <c r="C6679" s="17">
        <v>20230101</v>
      </c>
      <c r="D6679" s="17">
        <v>22991231</v>
      </c>
      <c r="E6679" s="25">
        <v>191.04</v>
      </c>
    </row>
    <row r="6680" spans="1:5" x14ac:dyDescent="0.3">
      <c r="A6680" s="17" t="str">
        <f>"J9225"</f>
        <v>J9225</v>
      </c>
      <c r="B6680" s="5" t="s">
        <v>6686</v>
      </c>
      <c r="C6680" s="17">
        <v>20060101</v>
      </c>
      <c r="D6680" s="17">
        <v>22991231</v>
      </c>
      <c r="E6680" s="25">
        <v>4934.58</v>
      </c>
    </row>
    <row r="6681" spans="1:5" x14ac:dyDescent="0.3">
      <c r="A6681" s="17" t="str">
        <f>"J9226"</f>
        <v>J9226</v>
      </c>
      <c r="B6681" s="5" t="s">
        <v>6687</v>
      </c>
      <c r="C6681" s="17">
        <v>20230101</v>
      </c>
      <c r="D6681" s="17">
        <v>22991231</v>
      </c>
      <c r="E6681" s="25">
        <v>42576.71</v>
      </c>
    </row>
    <row r="6682" spans="1:5" x14ac:dyDescent="0.3">
      <c r="A6682" s="17" t="str">
        <f>"J9227"</f>
        <v>J9227</v>
      </c>
      <c r="B6682" s="5" t="s">
        <v>6688</v>
      </c>
      <c r="C6682" s="17">
        <v>20230101</v>
      </c>
      <c r="D6682" s="17">
        <v>22991231</v>
      </c>
      <c r="E6682" s="25">
        <v>73.069999999999993</v>
      </c>
    </row>
    <row r="6683" spans="1:5" x14ac:dyDescent="0.3">
      <c r="A6683" s="17" t="str">
        <f>"J9228"</f>
        <v>J9228</v>
      </c>
      <c r="B6683" s="5" t="s">
        <v>6689</v>
      </c>
      <c r="C6683" s="17">
        <v>20230101</v>
      </c>
      <c r="D6683" s="17">
        <v>22991231</v>
      </c>
      <c r="E6683" s="25">
        <v>164.69</v>
      </c>
    </row>
    <row r="6684" spans="1:5" x14ac:dyDescent="0.3">
      <c r="A6684" s="17" t="str">
        <f>"J9229"</f>
        <v>J9229</v>
      </c>
      <c r="B6684" s="5" t="s">
        <v>6690</v>
      </c>
      <c r="C6684" s="17">
        <v>20230101</v>
      </c>
      <c r="D6684" s="17">
        <v>22991231</v>
      </c>
      <c r="E6684" s="25">
        <v>2464.4299999999998</v>
      </c>
    </row>
    <row r="6685" spans="1:5" ht="26" x14ac:dyDescent="0.3">
      <c r="A6685" s="17" t="str">
        <f>"J9230"</f>
        <v>J9230</v>
      </c>
      <c r="B6685" s="5" t="s">
        <v>6691</v>
      </c>
      <c r="C6685" s="17">
        <v>20230101</v>
      </c>
      <c r="D6685" s="17">
        <v>22991231</v>
      </c>
      <c r="E6685" s="25">
        <v>0</v>
      </c>
    </row>
    <row r="6686" spans="1:5" ht="26" x14ac:dyDescent="0.3">
      <c r="A6686" s="17" t="str">
        <f>"J9245"</f>
        <v>J9245</v>
      </c>
      <c r="B6686" s="5" t="s">
        <v>6692</v>
      </c>
      <c r="C6686" s="17">
        <v>20230101</v>
      </c>
      <c r="D6686" s="17">
        <v>22991231</v>
      </c>
      <c r="E6686" s="25">
        <v>141.38</v>
      </c>
    </row>
    <row r="6687" spans="1:5" x14ac:dyDescent="0.3">
      <c r="A6687" s="17" t="str">
        <f>"J9246"</f>
        <v>J9246</v>
      </c>
      <c r="B6687" s="5" t="s">
        <v>6693</v>
      </c>
      <c r="C6687" s="17">
        <v>20230101</v>
      </c>
      <c r="D6687" s="17">
        <v>22991231</v>
      </c>
      <c r="E6687" s="25">
        <v>15.75</v>
      </c>
    </row>
    <row r="6688" spans="1:5" x14ac:dyDescent="0.3">
      <c r="A6688" s="17" t="str">
        <f>"J9247"</f>
        <v>J9247</v>
      </c>
      <c r="B6688" s="5" t="s">
        <v>6694</v>
      </c>
      <c r="C6688" s="17">
        <v>20230101</v>
      </c>
      <c r="D6688" s="17">
        <v>22991231</v>
      </c>
      <c r="E6688" s="25">
        <v>480.92</v>
      </c>
    </row>
    <row r="6689" spans="1:5" x14ac:dyDescent="0.3">
      <c r="A6689" s="17" t="str">
        <f>"J9250"</f>
        <v>J9250</v>
      </c>
      <c r="B6689" s="5" t="s">
        <v>7130</v>
      </c>
      <c r="C6689" s="17">
        <v>20240101</v>
      </c>
      <c r="D6689" s="17">
        <v>20240331</v>
      </c>
      <c r="E6689" s="25">
        <v>0</v>
      </c>
    </row>
    <row r="6690" spans="1:5" ht="26" x14ac:dyDescent="0.3">
      <c r="A6690" s="17" t="str">
        <f>"J9255"</f>
        <v>J9255</v>
      </c>
      <c r="B6690" s="5" t="s">
        <v>6695</v>
      </c>
      <c r="C6690" s="17">
        <v>20240101</v>
      </c>
      <c r="D6690" s="17">
        <v>22991231</v>
      </c>
      <c r="E6690" s="25">
        <v>0</v>
      </c>
    </row>
    <row r="6691" spans="1:5" ht="39" x14ac:dyDescent="0.3">
      <c r="A6691" s="17" t="str">
        <f>"J9258"</f>
        <v>J9258</v>
      </c>
      <c r="B6691" s="5" t="s">
        <v>6696</v>
      </c>
      <c r="C6691" s="17">
        <v>20240101</v>
      </c>
      <c r="D6691" s="17">
        <v>22991231</v>
      </c>
      <c r="E6691" s="25">
        <v>0</v>
      </c>
    </row>
    <row r="6692" spans="1:5" ht="39" x14ac:dyDescent="0.3">
      <c r="A6692" s="17" t="str">
        <f>"J9259"</f>
        <v>J9259</v>
      </c>
      <c r="B6692" s="5" t="s">
        <v>6697</v>
      </c>
      <c r="C6692" s="17">
        <v>20240101</v>
      </c>
      <c r="D6692" s="17">
        <v>22991231</v>
      </c>
      <c r="E6692" s="25">
        <v>14.76</v>
      </c>
    </row>
    <row r="6693" spans="1:5" x14ac:dyDescent="0.3">
      <c r="A6693" s="17" t="str">
        <f>"J9260"</f>
        <v>J9260</v>
      </c>
      <c r="B6693" s="5" t="s">
        <v>6698</v>
      </c>
      <c r="C6693" s="17">
        <v>20230101</v>
      </c>
      <c r="D6693" s="17">
        <v>22991231</v>
      </c>
      <c r="E6693" s="25">
        <v>0</v>
      </c>
    </row>
    <row r="6694" spans="1:5" x14ac:dyDescent="0.3">
      <c r="A6694" s="17" t="str">
        <f>"J9261"</f>
        <v>J9261</v>
      </c>
      <c r="B6694" s="5" t="s">
        <v>6699</v>
      </c>
      <c r="C6694" s="17">
        <v>20230101</v>
      </c>
      <c r="D6694" s="17">
        <v>22991231</v>
      </c>
      <c r="E6694" s="25">
        <v>106</v>
      </c>
    </row>
    <row r="6695" spans="1:5" x14ac:dyDescent="0.3">
      <c r="A6695" s="17" t="str">
        <f>"J9262"</f>
        <v>J9262</v>
      </c>
      <c r="B6695" s="5" t="s">
        <v>6700</v>
      </c>
      <c r="C6695" s="17">
        <v>20230101</v>
      </c>
      <c r="D6695" s="17">
        <v>22991231</v>
      </c>
      <c r="E6695" s="25">
        <v>3.78</v>
      </c>
    </row>
    <row r="6696" spans="1:5" x14ac:dyDescent="0.3">
      <c r="A6696" s="17" t="str">
        <f>"J9263"</f>
        <v>J9263</v>
      </c>
      <c r="B6696" s="5" t="s">
        <v>6701</v>
      </c>
      <c r="C6696" s="17">
        <v>20230101</v>
      </c>
      <c r="D6696" s="17">
        <v>22991231</v>
      </c>
      <c r="E6696" s="25">
        <v>0</v>
      </c>
    </row>
    <row r="6697" spans="1:5" ht="26" x14ac:dyDescent="0.3">
      <c r="A6697" s="17" t="str">
        <f>"J9264"</f>
        <v>J9264</v>
      </c>
      <c r="B6697" s="5" t="s">
        <v>6702</v>
      </c>
      <c r="C6697" s="17">
        <v>20060101</v>
      </c>
      <c r="D6697" s="17">
        <v>22991231</v>
      </c>
      <c r="E6697" s="25">
        <v>13.65</v>
      </c>
    </row>
    <row r="6698" spans="1:5" x14ac:dyDescent="0.3">
      <c r="A6698" s="17" t="str">
        <f>"J9266"</f>
        <v>J9266</v>
      </c>
      <c r="B6698" s="5" t="s">
        <v>6703</v>
      </c>
      <c r="C6698" s="17">
        <v>20230101</v>
      </c>
      <c r="D6698" s="17">
        <v>22991231</v>
      </c>
      <c r="E6698" s="25">
        <v>24625.16</v>
      </c>
    </row>
    <row r="6699" spans="1:5" x14ac:dyDescent="0.3">
      <c r="A6699" s="17" t="str">
        <f>"J9267"</f>
        <v>J9267</v>
      </c>
      <c r="B6699" s="5" t="s">
        <v>6704</v>
      </c>
      <c r="C6699" s="17">
        <v>20230101</v>
      </c>
      <c r="D6699" s="17">
        <v>22991231</v>
      </c>
      <c r="E6699" s="25">
        <v>0</v>
      </c>
    </row>
    <row r="6700" spans="1:5" x14ac:dyDescent="0.3">
      <c r="A6700" s="17" t="str">
        <f>"J9268"</f>
        <v>J9268</v>
      </c>
      <c r="B6700" s="5" t="s">
        <v>6705</v>
      </c>
      <c r="C6700" s="17">
        <v>20230101</v>
      </c>
      <c r="D6700" s="17">
        <v>22991231</v>
      </c>
      <c r="E6700" s="25">
        <v>2171.1999999999998</v>
      </c>
    </row>
    <row r="6701" spans="1:5" x14ac:dyDescent="0.3">
      <c r="A6701" s="17" t="str">
        <f>"J9269"</f>
        <v>J9269</v>
      </c>
      <c r="B6701" s="5" t="s">
        <v>6706</v>
      </c>
      <c r="C6701" s="17">
        <v>20230101</v>
      </c>
      <c r="D6701" s="17">
        <v>22991231</v>
      </c>
      <c r="E6701" s="25">
        <v>310.95999999999998</v>
      </c>
    </row>
    <row r="6702" spans="1:5" x14ac:dyDescent="0.3">
      <c r="A6702" s="17" t="str">
        <f>"J9270"</f>
        <v>J9270</v>
      </c>
      <c r="B6702" s="5" t="s">
        <v>6707</v>
      </c>
      <c r="C6702" s="17">
        <v>20230101</v>
      </c>
      <c r="D6702" s="17">
        <v>22991231</v>
      </c>
      <c r="E6702" s="25">
        <v>0</v>
      </c>
    </row>
    <row r="6703" spans="1:5" x14ac:dyDescent="0.3">
      <c r="A6703" s="17" t="str">
        <f>"J9271"</f>
        <v>J9271</v>
      </c>
      <c r="B6703" s="5" t="s">
        <v>6708</v>
      </c>
      <c r="C6703" s="17">
        <v>20230101</v>
      </c>
      <c r="D6703" s="17">
        <v>22991231</v>
      </c>
      <c r="E6703" s="25">
        <v>53.23</v>
      </c>
    </row>
    <row r="6704" spans="1:5" x14ac:dyDescent="0.3">
      <c r="A6704" s="17" t="str">
        <f>"J9272"</f>
        <v>J9272</v>
      </c>
      <c r="B6704" s="5" t="s">
        <v>6709</v>
      </c>
      <c r="C6704" s="17">
        <v>20230101</v>
      </c>
      <c r="D6704" s="17">
        <v>22991231</v>
      </c>
      <c r="E6704" s="25">
        <v>222.8</v>
      </c>
    </row>
    <row r="6705" spans="1:5" x14ac:dyDescent="0.3">
      <c r="A6705" s="17" t="str">
        <f>"J9273"</f>
        <v>J9273</v>
      </c>
      <c r="B6705" s="5" t="s">
        <v>6710</v>
      </c>
      <c r="C6705" s="17">
        <v>20230101</v>
      </c>
      <c r="D6705" s="17">
        <v>22991231</v>
      </c>
      <c r="E6705" s="25">
        <v>160.76</v>
      </c>
    </row>
    <row r="6706" spans="1:5" x14ac:dyDescent="0.3">
      <c r="A6706" s="17" t="str">
        <f>"J9274"</f>
        <v>J9274</v>
      </c>
      <c r="B6706" s="5" t="s">
        <v>6711</v>
      </c>
      <c r="C6706" s="17">
        <v>20230101</v>
      </c>
      <c r="D6706" s="17">
        <v>22991231</v>
      </c>
      <c r="E6706" s="25">
        <v>199.56</v>
      </c>
    </row>
    <row r="6707" spans="1:5" x14ac:dyDescent="0.3">
      <c r="A6707" s="17" t="str">
        <f>"J9280"</f>
        <v>J9280</v>
      </c>
      <c r="B6707" s="5" t="s">
        <v>6712</v>
      </c>
      <c r="C6707" s="17">
        <v>20230101</v>
      </c>
      <c r="D6707" s="17">
        <v>22991231</v>
      </c>
      <c r="E6707" s="25">
        <v>60.51</v>
      </c>
    </row>
    <row r="6708" spans="1:5" x14ac:dyDescent="0.3">
      <c r="A6708" s="17" t="str">
        <f>"J9281"</f>
        <v>J9281</v>
      </c>
      <c r="B6708" s="5" t="s">
        <v>6713</v>
      </c>
      <c r="C6708" s="17">
        <v>20230101</v>
      </c>
      <c r="D6708" s="17">
        <v>22991231</v>
      </c>
      <c r="E6708" s="25">
        <v>287.26</v>
      </c>
    </row>
    <row r="6709" spans="1:5" x14ac:dyDescent="0.3">
      <c r="A6709" s="17" t="str">
        <f>"J9285"</f>
        <v>J9285</v>
      </c>
      <c r="B6709" s="5" t="s">
        <v>6714</v>
      </c>
      <c r="C6709" s="17">
        <v>20230101</v>
      </c>
      <c r="D6709" s="17">
        <v>22991231</v>
      </c>
      <c r="E6709" s="25">
        <v>0</v>
      </c>
    </row>
    <row r="6710" spans="1:5" x14ac:dyDescent="0.3">
      <c r="A6710" s="17" t="str">
        <f>"J9286"</f>
        <v>J9286</v>
      </c>
      <c r="B6710" s="5" t="s">
        <v>6715</v>
      </c>
      <c r="C6710" s="17">
        <v>20240101</v>
      </c>
      <c r="D6710" s="17">
        <v>22991231</v>
      </c>
      <c r="E6710" s="25">
        <v>2586.48</v>
      </c>
    </row>
    <row r="6711" spans="1:5" x14ac:dyDescent="0.3">
      <c r="A6711" s="17" t="str">
        <f>"J9293"</f>
        <v>J9293</v>
      </c>
      <c r="B6711" s="5" t="s">
        <v>6716</v>
      </c>
      <c r="C6711" s="17">
        <v>20230101</v>
      </c>
      <c r="D6711" s="17">
        <v>22991231</v>
      </c>
      <c r="E6711" s="25">
        <v>41.63</v>
      </c>
    </row>
    <row r="6712" spans="1:5" ht="26" x14ac:dyDescent="0.3">
      <c r="A6712" s="17" t="str">
        <f>"J9294"</f>
        <v>J9294</v>
      </c>
      <c r="B6712" s="5" t="s">
        <v>6717</v>
      </c>
      <c r="C6712" s="17">
        <v>20240101</v>
      </c>
      <c r="D6712" s="17">
        <v>22991231</v>
      </c>
      <c r="E6712" s="25">
        <v>10.08</v>
      </c>
    </row>
    <row r="6713" spans="1:5" x14ac:dyDescent="0.3">
      <c r="A6713" s="17" t="str">
        <f>"J9295"</f>
        <v>J9295</v>
      </c>
      <c r="B6713" s="5" t="s">
        <v>6718</v>
      </c>
      <c r="C6713" s="17">
        <v>20230101</v>
      </c>
      <c r="D6713" s="17">
        <v>22991231</v>
      </c>
      <c r="E6713" s="25">
        <v>5.48</v>
      </c>
    </row>
    <row r="6714" spans="1:5" ht="26" x14ac:dyDescent="0.3">
      <c r="A6714" s="17" t="str">
        <f>"J9296"</f>
        <v>J9296</v>
      </c>
      <c r="B6714" s="5" t="s">
        <v>6719</v>
      </c>
      <c r="C6714" s="17">
        <v>20240101</v>
      </c>
      <c r="D6714" s="17">
        <v>22991231</v>
      </c>
      <c r="E6714" s="25">
        <v>9.23</v>
      </c>
    </row>
    <row r="6715" spans="1:5" ht="26" x14ac:dyDescent="0.3">
      <c r="A6715" s="17" t="str">
        <f>"J9297"</f>
        <v>J9297</v>
      </c>
      <c r="B6715" s="5" t="s">
        <v>6720</v>
      </c>
      <c r="C6715" s="17">
        <v>20240101</v>
      </c>
      <c r="D6715" s="17">
        <v>22991231</v>
      </c>
      <c r="E6715" s="25">
        <v>1.24</v>
      </c>
    </row>
    <row r="6716" spans="1:5" ht="26" x14ac:dyDescent="0.3">
      <c r="A6716" s="17" t="str">
        <f>"J9298"</f>
        <v>J9298</v>
      </c>
      <c r="B6716" s="5" t="s">
        <v>6721</v>
      </c>
      <c r="C6716" s="17">
        <v>20230101</v>
      </c>
      <c r="D6716" s="17">
        <v>22991231</v>
      </c>
      <c r="E6716" s="25">
        <v>178.76</v>
      </c>
    </row>
    <row r="6717" spans="1:5" x14ac:dyDescent="0.3">
      <c r="A6717" s="17" t="str">
        <f>"J9299"</f>
        <v>J9299</v>
      </c>
      <c r="B6717" s="5" t="s">
        <v>6722</v>
      </c>
      <c r="C6717" s="17">
        <v>20230101</v>
      </c>
      <c r="D6717" s="17">
        <v>22991231</v>
      </c>
      <c r="E6717" s="25">
        <v>29.7</v>
      </c>
    </row>
    <row r="6718" spans="1:5" x14ac:dyDescent="0.3">
      <c r="A6718" s="17" t="str">
        <f>"J9301"</f>
        <v>J9301</v>
      </c>
      <c r="B6718" s="5" t="s">
        <v>6723</v>
      </c>
      <c r="C6718" s="17">
        <v>20230101</v>
      </c>
      <c r="D6718" s="17">
        <v>22991231</v>
      </c>
      <c r="E6718" s="25">
        <v>67.19</v>
      </c>
    </row>
    <row r="6719" spans="1:5" x14ac:dyDescent="0.3">
      <c r="A6719" s="17" t="str">
        <f>"J9302"</f>
        <v>J9302</v>
      </c>
      <c r="B6719" s="5" t="s">
        <v>6724</v>
      </c>
      <c r="C6719" s="17">
        <v>20230101</v>
      </c>
      <c r="D6719" s="17">
        <v>22991231</v>
      </c>
      <c r="E6719" s="25">
        <v>61.09</v>
      </c>
    </row>
    <row r="6720" spans="1:5" x14ac:dyDescent="0.3">
      <c r="A6720" s="17" t="str">
        <f>"J9303"</f>
        <v>J9303</v>
      </c>
      <c r="B6720" s="5" t="s">
        <v>6725</v>
      </c>
      <c r="C6720" s="17">
        <v>20230101</v>
      </c>
      <c r="D6720" s="17">
        <v>22991231</v>
      </c>
      <c r="E6720" s="25">
        <v>143.9</v>
      </c>
    </row>
    <row r="6721" spans="1:5" x14ac:dyDescent="0.3">
      <c r="A6721" s="17" t="str">
        <f>"J9304"</f>
        <v>J9304</v>
      </c>
      <c r="B6721" s="5" t="s">
        <v>6726</v>
      </c>
      <c r="C6721" s="17">
        <v>20230101</v>
      </c>
      <c r="D6721" s="17">
        <v>22991231</v>
      </c>
      <c r="E6721" s="25">
        <v>59.52</v>
      </c>
    </row>
    <row r="6722" spans="1:5" ht="26" x14ac:dyDescent="0.3">
      <c r="A6722" s="17" t="str">
        <f>"J9305"</f>
        <v>J9305</v>
      </c>
      <c r="B6722" s="5" t="s">
        <v>6727</v>
      </c>
      <c r="C6722" s="17">
        <v>20050101</v>
      </c>
      <c r="D6722" s="17">
        <v>22991231</v>
      </c>
      <c r="E6722" s="25">
        <v>4.17</v>
      </c>
    </row>
    <row r="6723" spans="1:5" x14ac:dyDescent="0.3">
      <c r="A6723" s="17" t="str">
        <f>"J9306"</f>
        <v>J9306</v>
      </c>
      <c r="B6723" s="5" t="s">
        <v>6728</v>
      </c>
      <c r="C6723" s="17">
        <v>20230101</v>
      </c>
      <c r="D6723" s="17">
        <v>22991231</v>
      </c>
      <c r="E6723" s="25">
        <v>14.74</v>
      </c>
    </row>
    <row r="6724" spans="1:5" x14ac:dyDescent="0.3">
      <c r="A6724" s="17" t="str">
        <f>"J9307"</f>
        <v>J9307</v>
      </c>
      <c r="B6724" s="5" t="s">
        <v>6729</v>
      </c>
      <c r="C6724" s="17">
        <v>20230101</v>
      </c>
      <c r="D6724" s="17">
        <v>22991231</v>
      </c>
      <c r="E6724" s="25">
        <v>276.17</v>
      </c>
    </row>
    <row r="6725" spans="1:5" x14ac:dyDescent="0.3">
      <c r="A6725" s="17" t="str">
        <f>"J9308"</f>
        <v>J9308</v>
      </c>
      <c r="B6725" s="5" t="s">
        <v>6730</v>
      </c>
      <c r="C6725" s="17">
        <v>20230101</v>
      </c>
      <c r="D6725" s="17">
        <v>22991231</v>
      </c>
      <c r="E6725" s="25">
        <v>67.09</v>
      </c>
    </row>
    <row r="6726" spans="1:5" x14ac:dyDescent="0.3">
      <c r="A6726" s="17" t="str">
        <f>"J9309"</f>
        <v>J9309</v>
      </c>
      <c r="B6726" s="5" t="s">
        <v>6731</v>
      </c>
      <c r="C6726" s="17">
        <v>20230101</v>
      </c>
      <c r="D6726" s="17">
        <v>22991231</v>
      </c>
      <c r="E6726" s="25">
        <v>118.72</v>
      </c>
    </row>
    <row r="6727" spans="1:5" x14ac:dyDescent="0.3">
      <c r="A6727" s="17" t="str">
        <f>"J9311"</f>
        <v>J9311</v>
      </c>
      <c r="B6727" s="5" t="s">
        <v>6732</v>
      </c>
      <c r="C6727" s="17">
        <v>20230101</v>
      </c>
      <c r="D6727" s="17">
        <v>22991231</v>
      </c>
      <c r="E6727" s="25">
        <v>35.729999999999997</v>
      </c>
    </row>
    <row r="6728" spans="1:5" x14ac:dyDescent="0.3">
      <c r="A6728" s="17" t="str">
        <f>"J9312"</f>
        <v>J9312</v>
      </c>
      <c r="B6728" s="5" t="s">
        <v>6733</v>
      </c>
      <c r="C6728" s="17">
        <v>20230101</v>
      </c>
      <c r="D6728" s="17">
        <v>22991231</v>
      </c>
      <c r="E6728" s="25">
        <v>75.650000000000006</v>
      </c>
    </row>
    <row r="6729" spans="1:5" ht="26" x14ac:dyDescent="0.3">
      <c r="A6729" s="17" t="str">
        <f>"J9313"</f>
        <v>J9313</v>
      </c>
      <c r="B6729" s="5" t="s">
        <v>6734</v>
      </c>
      <c r="C6729" s="17">
        <v>20230101</v>
      </c>
      <c r="D6729" s="17">
        <v>22991231</v>
      </c>
      <c r="E6729" s="25">
        <v>22.34</v>
      </c>
    </row>
    <row r="6730" spans="1:5" ht="26" x14ac:dyDescent="0.3">
      <c r="A6730" s="17" t="str">
        <f>"J9314"</f>
        <v>J9314</v>
      </c>
      <c r="B6730" s="5" t="s">
        <v>6735</v>
      </c>
      <c r="C6730" s="17">
        <v>20230101</v>
      </c>
      <c r="D6730" s="17">
        <v>22991231</v>
      </c>
      <c r="E6730" s="25">
        <v>19.059999999999999</v>
      </c>
    </row>
    <row r="6731" spans="1:5" ht="26" x14ac:dyDescent="0.3">
      <c r="A6731" s="17" t="str">
        <f>"J9316"</f>
        <v>J9316</v>
      </c>
      <c r="B6731" s="5" t="s">
        <v>6736</v>
      </c>
      <c r="C6731" s="17">
        <v>20230101</v>
      </c>
      <c r="D6731" s="17">
        <v>22991231</v>
      </c>
      <c r="E6731" s="25">
        <v>64.040000000000006</v>
      </c>
    </row>
    <row r="6732" spans="1:5" x14ac:dyDescent="0.3">
      <c r="A6732" s="17" t="str">
        <f>"J9317"</f>
        <v>J9317</v>
      </c>
      <c r="B6732" s="5" t="s">
        <v>6737</v>
      </c>
      <c r="C6732" s="17">
        <v>20230101</v>
      </c>
      <c r="D6732" s="17">
        <v>22991231</v>
      </c>
      <c r="E6732" s="25">
        <v>32.549999999999997</v>
      </c>
    </row>
    <row r="6733" spans="1:5" x14ac:dyDescent="0.3">
      <c r="A6733" s="17" t="str">
        <f>"J9318"</f>
        <v>J9318</v>
      </c>
      <c r="B6733" s="5" t="s">
        <v>6738</v>
      </c>
      <c r="C6733" s="17">
        <v>20230101</v>
      </c>
      <c r="D6733" s="17">
        <v>22991231</v>
      </c>
      <c r="E6733" s="25">
        <v>32.39</v>
      </c>
    </row>
    <row r="6734" spans="1:5" x14ac:dyDescent="0.3">
      <c r="A6734" s="17" t="str">
        <f>"J9319"</f>
        <v>J9319</v>
      </c>
      <c r="B6734" s="5" t="s">
        <v>6739</v>
      </c>
      <c r="C6734" s="17">
        <v>20230101</v>
      </c>
      <c r="D6734" s="17">
        <v>22991231</v>
      </c>
      <c r="E6734" s="25">
        <v>30.53</v>
      </c>
    </row>
    <row r="6735" spans="1:5" x14ac:dyDescent="0.3">
      <c r="A6735" s="17" t="str">
        <f>"J9320"</f>
        <v>J9320</v>
      </c>
      <c r="B6735" s="5" t="s">
        <v>6740</v>
      </c>
      <c r="C6735" s="17">
        <v>20230101</v>
      </c>
      <c r="D6735" s="17">
        <v>22991231</v>
      </c>
      <c r="E6735" s="25">
        <v>353.58</v>
      </c>
    </row>
    <row r="6736" spans="1:5" x14ac:dyDescent="0.3">
      <c r="A6736" s="17" t="str">
        <f>"J9321"</f>
        <v>J9321</v>
      </c>
      <c r="B6736" s="5" t="s">
        <v>6741</v>
      </c>
      <c r="C6736" s="17">
        <v>20240101</v>
      </c>
      <c r="D6736" s="17">
        <v>22991231</v>
      </c>
      <c r="E6736" s="25">
        <v>51.39</v>
      </c>
    </row>
    <row r="6737" spans="1:5" ht="26" x14ac:dyDescent="0.3">
      <c r="A6737" s="17" t="str">
        <f>"J9322"</f>
        <v>J9322</v>
      </c>
      <c r="B6737" s="5" t="s">
        <v>6742</v>
      </c>
      <c r="C6737" s="17">
        <v>20240101</v>
      </c>
      <c r="D6737" s="17">
        <v>22991231</v>
      </c>
      <c r="E6737" s="25">
        <v>0</v>
      </c>
    </row>
    <row r="6738" spans="1:5" x14ac:dyDescent="0.3">
      <c r="A6738" s="17" t="str">
        <f>"J9323"</f>
        <v>J9323</v>
      </c>
      <c r="B6738" s="5" t="s">
        <v>6743</v>
      </c>
      <c r="C6738" s="17">
        <v>20240101</v>
      </c>
      <c r="D6738" s="17">
        <v>22991231</v>
      </c>
      <c r="E6738" s="25">
        <v>5.74</v>
      </c>
    </row>
    <row r="6739" spans="1:5" x14ac:dyDescent="0.3">
      <c r="A6739" s="17" t="str">
        <f>"J9324"</f>
        <v>J9324</v>
      </c>
      <c r="B6739" s="5" t="s">
        <v>6744</v>
      </c>
      <c r="C6739" s="17">
        <v>20240101</v>
      </c>
      <c r="D6739" s="17">
        <v>22991231</v>
      </c>
      <c r="E6739" s="25">
        <v>0</v>
      </c>
    </row>
    <row r="6740" spans="1:5" ht="26" x14ac:dyDescent="0.3">
      <c r="A6740" s="17" t="str">
        <f>"J9325"</f>
        <v>J9325</v>
      </c>
      <c r="B6740" s="5" t="s">
        <v>6745</v>
      </c>
      <c r="C6740" s="17">
        <v>20230101</v>
      </c>
      <c r="D6740" s="17">
        <v>22991231</v>
      </c>
      <c r="E6740" s="25">
        <v>63.6</v>
      </c>
    </row>
    <row r="6741" spans="1:5" x14ac:dyDescent="0.3">
      <c r="A6741" s="17" t="str">
        <f>"J9328"</f>
        <v>J9328</v>
      </c>
      <c r="B6741" s="5" t="s">
        <v>6746</v>
      </c>
      <c r="C6741" s="17">
        <v>20230101</v>
      </c>
      <c r="D6741" s="17">
        <v>22991231</v>
      </c>
      <c r="E6741" s="25">
        <v>9.93</v>
      </c>
    </row>
    <row r="6742" spans="1:5" x14ac:dyDescent="0.3">
      <c r="A6742" s="17" t="str">
        <f>"J9330"</f>
        <v>J9330</v>
      </c>
      <c r="B6742" s="5" t="s">
        <v>6747</v>
      </c>
      <c r="C6742" s="17">
        <v>20090101</v>
      </c>
      <c r="D6742" s="17">
        <v>22991231</v>
      </c>
      <c r="E6742" s="25">
        <v>29.6</v>
      </c>
    </row>
    <row r="6743" spans="1:5" ht="26" x14ac:dyDescent="0.3">
      <c r="A6743" s="17" t="str">
        <f>"J9331"</f>
        <v>J9331</v>
      </c>
      <c r="B6743" s="5" t="s">
        <v>6748</v>
      </c>
      <c r="C6743" s="17">
        <v>20230101</v>
      </c>
      <c r="D6743" s="17">
        <v>22991231</v>
      </c>
      <c r="E6743" s="25">
        <v>104.39</v>
      </c>
    </row>
    <row r="6744" spans="1:5" x14ac:dyDescent="0.3">
      <c r="A6744" s="17" t="str">
        <f>"J9332"</f>
        <v>J9332</v>
      </c>
      <c r="B6744" s="5" t="s">
        <v>6749</v>
      </c>
      <c r="C6744" s="17">
        <v>20230101</v>
      </c>
      <c r="D6744" s="17">
        <v>22991231</v>
      </c>
      <c r="E6744" s="25">
        <v>30.64</v>
      </c>
    </row>
    <row r="6745" spans="1:5" x14ac:dyDescent="0.3">
      <c r="A6745" s="17" t="str">
        <f>"J9333"</f>
        <v>J9333</v>
      </c>
      <c r="B6745" s="5" t="s">
        <v>6750</v>
      </c>
      <c r="C6745" s="17">
        <v>20240101</v>
      </c>
      <c r="D6745" s="17">
        <v>22991231</v>
      </c>
      <c r="E6745" s="25">
        <v>21.26</v>
      </c>
    </row>
    <row r="6746" spans="1:5" ht="26" x14ac:dyDescent="0.3">
      <c r="A6746" s="17" t="str">
        <f>"J9334"</f>
        <v>J9334</v>
      </c>
      <c r="B6746" s="5" t="s">
        <v>6751</v>
      </c>
      <c r="C6746" s="17">
        <v>20240101</v>
      </c>
      <c r="D6746" s="17">
        <v>22991231</v>
      </c>
      <c r="E6746" s="25">
        <v>30.79</v>
      </c>
    </row>
    <row r="6747" spans="1:5" x14ac:dyDescent="0.3">
      <c r="A6747" s="17" t="str">
        <f>"J9340"</f>
        <v>J9340</v>
      </c>
      <c r="B6747" s="5" t="s">
        <v>6752</v>
      </c>
      <c r="C6747" s="17">
        <v>20230101</v>
      </c>
      <c r="D6747" s="17">
        <v>22991231</v>
      </c>
      <c r="E6747" s="25">
        <v>239.94</v>
      </c>
    </row>
    <row r="6748" spans="1:5" x14ac:dyDescent="0.3">
      <c r="A6748" s="17" t="str">
        <f>"J9345"</f>
        <v>J9345</v>
      </c>
      <c r="B6748" s="5" t="s">
        <v>6753</v>
      </c>
      <c r="C6748" s="17">
        <v>20240101</v>
      </c>
      <c r="D6748" s="17">
        <v>22991231</v>
      </c>
      <c r="E6748" s="25">
        <v>28.49</v>
      </c>
    </row>
    <row r="6749" spans="1:5" x14ac:dyDescent="0.3">
      <c r="A6749" s="17" t="str">
        <f>"J9347"</f>
        <v>J9347</v>
      </c>
      <c r="B6749" s="5" t="s">
        <v>6754</v>
      </c>
      <c r="C6749" s="17">
        <v>20240101</v>
      </c>
      <c r="D6749" s="17">
        <v>22991231</v>
      </c>
      <c r="E6749" s="25">
        <v>129.99</v>
      </c>
    </row>
    <row r="6750" spans="1:5" x14ac:dyDescent="0.3">
      <c r="A6750" s="17" t="str">
        <f>"J9348"</f>
        <v>J9348</v>
      </c>
      <c r="B6750" s="5" t="s">
        <v>6755</v>
      </c>
      <c r="C6750" s="17">
        <v>20230101</v>
      </c>
      <c r="D6750" s="17">
        <v>22991231</v>
      </c>
      <c r="E6750" s="25">
        <v>582.41999999999996</v>
      </c>
    </row>
    <row r="6751" spans="1:5" x14ac:dyDescent="0.3">
      <c r="A6751" s="17" t="str">
        <f>"J9349"</f>
        <v>J9349</v>
      </c>
      <c r="B6751" s="5" t="s">
        <v>6756</v>
      </c>
      <c r="C6751" s="17">
        <v>20230101</v>
      </c>
      <c r="D6751" s="17">
        <v>22991231</v>
      </c>
      <c r="E6751" s="25">
        <v>12.99</v>
      </c>
    </row>
    <row r="6752" spans="1:5" x14ac:dyDescent="0.3">
      <c r="A6752" s="17" t="str">
        <f>"J9350"</f>
        <v>J9350</v>
      </c>
      <c r="B6752" s="5" t="s">
        <v>6757</v>
      </c>
      <c r="C6752" s="17">
        <v>20240101</v>
      </c>
      <c r="D6752" s="17">
        <v>22991231</v>
      </c>
      <c r="E6752" s="25">
        <v>601.4</v>
      </c>
    </row>
    <row r="6753" spans="1:5" x14ac:dyDescent="0.3">
      <c r="A6753" s="17" t="str">
        <f>"J9351"</f>
        <v>J9351</v>
      </c>
      <c r="B6753" s="5" t="s">
        <v>6758</v>
      </c>
      <c r="C6753" s="17">
        <v>20230101</v>
      </c>
      <c r="D6753" s="17">
        <v>22991231</v>
      </c>
      <c r="E6753" s="25">
        <v>0</v>
      </c>
    </row>
    <row r="6754" spans="1:5" x14ac:dyDescent="0.3">
      <c r="A6754" s="17" t="str">
        <f>"J9352"</f>
        <v>J9352</v>
      </c>
      <c r="B6754" s="5" t="s">
        <v>6759</v>
      </c>
      <c r="C6754" s="17">
        <v>20230101</v>
      </c>
      <c r="D6754" s="17">
        <v>22991231</v>
      </c>
      <c r="E6754" s="25">
        <v>323.22000000000003</v>
      </c>
    </row>
    <row r="6755" spans="1:5" x14ac:dyDescent="0.3">
      <c r="A6755" s="17" t="str">
        <f>"J9353"</f>
        <v>J9353</v>
      </c>
      <c r="B6755" s="5" t="s">
        <v>6760</v>
      </c>
      <c r="C6755" s="17">
        <v>20230101</v>
      </c>
      <c r="D6755" s="17">
        <v>22991231</v>
      </c>
      <c r="E6755" s="25">
        <v>44.94</v>
      </c>
    </row>
    <row r="6756" spans="1:5" x14ac:dyDescent="0.3">
      <c r="A6756" s="17" t="str">
        <f>"J9354"</f>
        <v>J9354</v>
      </c>
      <c r="B6756" s="5" t="s">
        <v>6761</v>
      </c>
      <c r="C6756" s="17">
        <v>20230101</v>
      </c>
      <c r="D6756" s="17">
        <v>22991231</v>
      </c>
      <c r="E6756" s="25">
        <v>36.65</v>
      </c>
    </row>
    <row r="6757" spans="1:5" ht="26" x14ac:dyDescent="0.3">
      <c r="A6757" s="17" t="str">
        <f>"J9355"</f>
        <v>J9355</v>
      </c>
      <c r="B6757" s="5" t="s">
        <v>6762</v>
      </c>
      <c r="C6757" s="17">
        <v>20230101</v>
      </c>
      <c r="D6757" s="17">
        <v>22991231</v>
      </c>
      <c r="E6757" s="25">
        <v>76.86</v>
      </c>
    </row>
    <row r="6758" spans="1:5" ht="26" x14ac:dyDescent="0.3">
      <c r="A6758" s="17" t="str">
        <f>"J9356"</f>
        <v>J9356</v>
      </c>
      <c r="B6758" s="5" t="s">
        <v>6763</v>
      </c>
      <c r="C6758" s="17">
        <v>20230101</v>
      </c>
      <c r="D6758" s="17">
        <v>22991231</v>
      </c>
      <c r="E6758" s="25">
        <v>63.06</v>
      </c>
    </row>
    <row r="6759" spans="1:5" x14ac:dyDescent="0.3">
      <c r="A6759" s="17" t="str">
        <f>"J9357"</f>
        <v>J9357</v>
      </c>
      <c r="B6759" s="5" t="s">
        <v>6764</v>
      </c>
      <c r="C6759" s="17">
        <v>20230101</v>
      </c>
      <c r="D6759" s="17">
        <v>22991231</v>
      </c>
      <c r="E6759" s="25">
        <v>1302.68</v>
      </c>
    </row>
    <row r="6760" spans="1:5" x14ac:dyDescent="0.3">
      <c r="A6760" s="17" t="str">
        <f>"J9358"</f>
        <v>J9358</v>
      </c>
      <c r="B6760" s="5" t="s">
        <v>6765</v>
      </c>
      <c r="C6760" s="17">
        <v>20230101</v>
      </c>
      <c r="D6760" s="17">
        <v>22991231</v>
      </c>
      <c r="E6760" s="25">
        <v>26.02</v>
      </c>
    </row>
    <row r="6761" spans="1:5" x14ac:dyDescent="0.3">
      <c r="A6761" s="17" t="str">
        <f>"J9359"</f>
        <v>J9359</v>
      </c>
      <c r="B6761" s="5" t="s">
        <v>6766</v>
      </c>
      <c r="C6761" s="17">
        <v>20230101</v>
      </c>
      <c r="D6761" s="17">
        <v>22991231</v>
      </c>
      <c r="E6761" s="25">
        <v>191.63</v>
      </c>
    </row>
    <row r="6762" spans="1:5" x14ac:dyDescent="0.3">
      <c r="A6762" s="17" t="str">
        <f>"J9360"</f>
        <v>J9360</v>
      </c>
      <c r="B6762" s="5" t="s">
        <v>6767</v>
      </c>
      <c r="C6762" s="17">
        <v>20230101</v>
      </c>
      <c r="D6762" s="17">
        <v>22991231</v>
      </c>
      <c r="E6762" s="25">
        <v>0</v>
      </c>
    </row>
    <row r="6763" spans="1:5" x14ac:dyDescent="0.3">
      <c r="A6763" s="17" t="str">
        <f>"J9370"</f>
        <v>J9370</v>
      </c>
      <c r="B6763" s="5" t="s">
        <v>6768</v>
      </c>
      <c r="C6763" s="17">
        <v>20230101</v>
      </c>
      <c r="D6763" s="17">
        <v>22991231</v>
      </c>
      <c r="E6763" s="25">
        <v>0</v>
      </c>
    </row>
    <row r="6764" spans="1:5" ht="26" x14ac:dyDescent="0.3">
      <c r="A6764" s="31" t="str">
        <f>"J9371"</f>
        <v>J9371</v>
      </c>
      <c r="B6764" s="32" t="s">
        <v>6769</v>
      </c>
      <c r="C6764" s="31">
        <v>20230101</v>
      </c>
      <c r="D6764" s="31">
        <v>20240630</v>
      </c>
      <c r="E6764" s="33">
        <v>3267.36</v>
      </c>
    </row>
    <row r="6765" spans="1:5" x14ac:dyDescent="0.3">
      <c r="A6765" s="17" t="str">
        <f>"J9380"</f>
        <v>J9380</v>
      </c>
      <c r="B6765" s="5" t="s">
        <v>6770</v>
      </c>
      <c r="C6765" s="17">
        <v>20240101</v>
      </c>
      <c r="D6765" s="17">
        <v>22991231</v>
      </c>
      <c r="E6765" s="25">
        <v>29.47</v>
      </c>
    </row>
    <row r="6766" spans="1:5" x14ac:dyDescent="0.3">
      <c r="A6766" s="17" t="str">
        <f>"J9381"</f>
        <v>J9381</v>
      </c>
      <c r="B6766" s="5" t="s">
        <v>6771</v>
      </c>
      <c r="C6766" s="17">
        <v>20240101</v>
      </c>
      <c r="D6766" s="17">
        <v>22991231</v>
      </c>
      <c r="E6766" s="25">
        <v>34.630000000000003</v>
      </c>
    </row>
    <row r="6767" spans="1:5" x14ac:dyDescent="0.3">
      <c r="A6767" s="17" t="str">
        <f>"J9390"</f>
        <v>J9390</v>
      </c>
      <c r="B6767" s="5" t="s">
        <v>6772</v>
      </c>
      <c r="C6767" s="17">
        <v>20230101</v>
      </c>
      <c r="D6767" s="17">
        <v>22991231</v>
      </c>
      <c r="E6767" s="25">
        <v>0</v>
      </c>
    </row>
    <row r="6768" spans="1:5" ht="26" x14ac:dyDescent="0.3">
      <c r="A6768" s="17" t="str">
        <f>"J9393"</f>
        <v>J9393</v>
      </c>
      <c r="B6768" s="5" t="s">
        <v>6773</v>
      </c>
      <c r="C6768" s="17">
        <v>20230101</v>
      </c>
      <c r="D6768" s="17">
        <v>22991231</v>
      </c>
      <c r="E6768" s="25">
        <v>20.25</v>
      </c>
    </row>
    <row r="6769" spans="1:5" ht="26" x14ac:dyDescent="0.3">
      <c r="A6769" s="17" t="str">
        <f>"J9394"</f>
        <v>J9394</v>
      </c>
      <c r="B6769" s="5" t="s">
        <v>6774</v>
      </c>
      <c r="C6769" s="17">
        <v>20230101</v>
      </c>
      <c r="D6769" s="17">
        <v>22991231</v>
      </c>
      <c r="E6769" s="25">
        <v>50.62</v>
      </c>
    </row>
    <row r="6770" spans="1:5" x14ac:dyDescent="0.3">
      <c r="A6770" s="17" t="str">
        <f>"J9395"</f>
        <v>J9395</v>
      </c>
      <c r="B6770" s="5" t="s">
        <v>6775</v>
      </c>
      <c r="C6770" s="17">
        <v>20230101</v>
      </c>
      <c r="D6770" s="17">
        <v>22991231</v>
      </c>
      <c r="E6770" s="25">
        <v>8.07</v>
      </c>
    </row>
    <row r="6771" spans="1:5" x14ac:dyDescent="0.3">
      <c r="A6771" s="17" t="str">
        <f>"J9400"</f>
        <v>J9400</v>
      </c>
      <c r="B6771" s="5" t="s">
        <v>6776</v>
      </c>
      <c r="C6771" s="17">
        <v>20230101</v>
      </c>
      <c r="D6771" s="17">
        <v>22991231</v>
      </c>
      <c r="E6771" s="25">
        <v>6.95</v>
      </c>
    </row>
    <row r="6772" spans="1:5" x14ac:dyDescent="0.3">
      <c r="A6772" s="17" t="str">
        <f>"J9600"</f>
        <v>J9600</v>
      </c>
      <c r="B6772" s="5" t="s">
        <v>6777</v>
      </c>
      <c r="C6772" s="17">
        <v>20230101</v>
      </c>
      <c r="D6772" s="17">
        <v>22991231</v>
      </c>
      <c r="E6772" s="25">
        <v>21804.32</v>
      </c>
    </row>
    <row r="6773" spans="1:5" x14ac:dyDescent="0.3">
      <c r="A6773" s="17" t="str">
        <f>"J9999"</f>
        <v>J9999</v>
      </c>
      <c r="B6773" s="5" t="s">
        <v>6778</v>
      </c>
      <c r="C6773" s="17">
        <v>20230101</v>
      </c>
      <c r="D6773" s="17">
        <v>22991231</v>
      </c>
      <c r="E6773" s="25">
        <v>0</v>
      </c>
    </row>
    <row r="6774" spans="1:5" ht="26" x14ac:dyDescent="0.3">
      <c r="A6774" s="17" t="str">
        <f>"K0601"</f>
        <v>K0601</v>
      </c>
      <c r="B6774" s="5" t="s">
        <v>6779</v>
      </c>
      <c r="C6774" s="17">
        <v>20040101</v>
      </c>
      <c r="D6774" s="17">
        <v>22991231</v>
      </c>
      <c r="E6774" s="24" t="s">
        <v>7128</v>
      </c>
    </row>
    <row r="6775" spans="1:5" ht="26" x14ac:dyDescent="0.3">
      <c r="A6775" s="17" t="str">
        <f>"K0602"</f>
        <v>K0602</v>
      </c>
      <c r="B6775" s="5" t="s">
        <v>6780</v>
      </c>
      <c r="C6775" s="17">
        <v>20040101</v>
      </c>
      <c r="D6775" s="17">
        <v>22991231</v>
      </c>
      <c r="E6775" s="24" t="s">
        <v>7128</v>
      </c>
    </row>
    <row r="6776" spans="1:5" ht="26" x14ac:dyDescent="0.3">
      <c r="A6776" s="17" t="str">
        <f>"K0603"</f>
        <v>K0603</v>
      </c>
      <c r="B6776" s="5" t="s">
        <v>6781</v>
      </c>
      <c r="C6776" s="17">
        <v>20040101</v>
      </c>
      <c r="D6776" s="17">
        <v>22991231</v>
      </c>
      <c r="E6776" s="24" t="s">
        <v>7128</v>
      </c>
    </row>
    <row r="6777" spans="1:5" ht="26" x14ac:dyDescent="0.3">
      <c r="A6777" s="17" t="str">
        <f>"K0604"</f>
        <v>K0604</v>
      </c>
      <c r="B6777" s="5" t="s">
        <v>6782</v>
      </c>
      <c r="C6777" s="17">
        <v>20040101</v>
      </c>
      <c r="D6777" s="17">
        <v>22991231</v>
      </c>
      <c r="E6777" s="24" t="s">
        <v>7128</v>
      </c>
    </row>
    <row r="6778" spans="1:5" ht="26" x14ac:dyDescent="0.3">
      <c r="A6778" s="17" t="str">
        <f>"K0605"</f>
        <v>K0605</v>
      </c>
      <c r="B6778" s="5" t="s">
        <v>6783</v>
      </c>
      <c r="C6778" s="17">
        <v>20040101</v>
      </c>
      <c r="D6778" s="17">
        <v>22991231</v>
      </c>
      <c r="E6778" s="24" t="s">
        <v>7128</v>
      </c>
    </row>
    <row r="6779" spans="1:5" ht="26" x14ac:dyDescent="0.3">
      <c r="A6779" s="17" t="str">
        <f>"K0607"</f>
        <v>K0607</v>
      </c>
      <c r="B6779" s="5" t="s">
        <v>6784</v>
      </c>
      <c r="C6779" s="17">
        <v>20040101</v>
      </c>
      <c r="D6779" s="17">
        <v>22991231</v>
      </c>
      <c r="E6779" s="24" t="s">
        <v>7128</v>
      </c>
    </row>
    <row r="6780" spans="1:5" ht="26" x14ac:dyDescent="0.3">
      <c r="A6780" s="17" t="str">
        <f>"K0608"</f>
        <v>K0608</v>
      </c>
      <c r="B6780" s="5" t="s">
        <v>6785</v>
      </c>
      <c r="C6780" s="17">
        <v>20040101</v>
      </c>
      <c r="D6780" s="17">
        <v>22991231</v>
      </c>
      <c r="E6780" s="24" t="s">
        <v>7128</v>
      </c>
    </row>
    <row r="6781" spans="1:5" ht="26" x14ac:dyDescent="0.3">
      <c r="A6781" s="17" t="str">
        <f>"K0609"</f>
        <v>K0609</v>
      </c>
      <c r="B6781" s="5" t="s">
        <v>6786</v>
      </c>
      <c r="C6781" s="17">
        <v>20040101</v>
      </c>
      <c r="D6781" s="17">
        <v>22991231</v>
      </c>
      <c r="E6781" s="24" t="s">
        <v>7128</v>
      </c>
    </row>
    <row r="6782" spans="1:5" ht="26" x14ac:dyDescent="0.3">
      <c r="A6782" s="17" t="str">
        <f>"L0861"</f>
        <v>L0861</v>
      </c>
      <c r="B6782" s="5" t="s">
        <v>6787</v>
      </c>
      <c r="C6782" s="17">
        <v>20040101</v>
      </c>
      <c r="D6782" s="17">
        <v>22991231</v>
      </c>
      <c r="E6782" s="24" t="s">
        <v>7128</v>
      </c>
    </row>
    <row r="6783" spans="1:5" ht="39" x14ac:dyDescent="0.3">
      <c r="A6783" s="17" t="str">
        <f>"L1001"</f>
        <v>L1001</v>
      </c>
      <c r="B6783" s="5" t="s">
        <v>6788</v>
      </c>
      <c r="C6783" s="17">
        <v>20070101</v>
      </c>
      <c r="D6783" s="17">
        <v>22991231</v>
      </c>
      <c r="E6783" s="24" t="s">
        <v>7128</v>
      </c>
    </row>
    <row r="6784" spans="1:5" ht="52" x14ac:dyDescent="0.3">
      <c r="A6784" s="17" t="str">
        <f>"L3031"</f>
        <v>L3031</v>
      </c>
      <c r="B6784" s="5" t="s">
        <v>6789</v>
      </c>
      <c r="C6784" s="17">
        <v>20040101</v>
      </c>
      <c r="D6784" s="17">
        <v>22991231</v>
      </c>
      <c r="E6784" s="24" t="s">
        <v>7128</v>
      </c>
    </row>
    <row r="6785" spans="1:5" x14ac:dyDescent="0.3">
      <c r="A6785" s="17" t="str">
        <f>"L8600"</f>
        <v>L8600</v>
      </c>
      <c r="B6785" s="5" t="s">
        <v>6790</v>
      </c>
      <c r="C6785" s="17">
        <v>20230101</v>
      </c>
      <c r="D6785" s="17">
        <v>22991231</v>
      </c>
      <c r="E6785" s="25">
        <v>0</v>
      </c>
    </row>
    <row r="6786" spans="1:5" ht="39" x14ac:dyDescent="0.3">
      <c r="A6786" s="17" t="str">
        <f>"L8603"</f>
        <v>L8603</v>
      </c>
      <c r="B6786" s="5" t="s">
        <v>6791</v>
      </c>
      <c r="C6786" s="17">
        <v>20230101</v>
      </c>
      <c r="D6786" s="17">
        <v>22991231</v>
      </c>
      <c r="E6786" s="25">
        <v>0</v>
      </c>
    </row>
    <row r="6787" spans="1:5" ht="39" x14ac:dyDescent="0.3">
      <c r="A6787" s="17" t="str">
        <f>"L8604"</f>
        <v>L8604</v>
      </c>
      <c r="B6787" s="5" t="s">
        <v>6792</v>
      </c>
      <c r="C6787" s="17">
        <v>20230101</v>
      </c>
      <c r="D6787" s="17">
        <v>22991231</v>
      </c>
      <c r="E6787" s="25">
        <v>0</v>
      </c>
    </row>
    <row r="6788" spans="1:5" ht="39" x14ac:dyDescent="0.3">
      <c r="A6788" s="17" t="str">
        <f>"L8605"</f>
        <v>L8605</v>
      </c>
      <c r="B6788" s="5" t="s">
        <v>6793</v>
      </c>
      <c r="C6788" s="17">
        <v>20230101</v>
      </c>
      <c r="D6788" s="17">
        <v>22991231</v>
      </c>
      <c r="E6788" s="25">
        <v>0</v>
      </c>
    </row>
    <row r="6789" spans="1:5" ht="39" x14ac:dyDescent="0.3">
      <c r="A6789" s="17" t="str">
        <f>"L8606"</f>
        <v>L8606</v>
      </c>
      <c r="B6789" s="5" t="s">
        <v>6794</v>
      </c>
      <c r="C6789" s="17">
        <v>20230101</v>
      </c>
      <c r="D6789" s="17">
        <v>22991231</v>
      </c>
      <c r="E6789" s="25">
        <v>0</v>
      </c>
    </row>
    <row r="6790" spans="1:5" ht="39" x14ac:dyDescent="0.3">
      <c r="A6790" s="17" t="str">
        <f>"L8607"</f>
        <v>L8607</v>
      </c>
      <c r="B6790" s="5" t="s">
        <v>6795</v>
      </c>
      <c r="C6790" s="17">
        <v>20230101</v>
      </c>
      <c r="D6790" s="17">
        <v>22991231</v>
      </c>
      <c r="E6790" s="25">
        <v>0</v>
      </c>
    </row>
    <row r="6791" spans="1:5" ht="39" x14ac:dyDescent="0.3">
      <c r="A6791" s="17" t="str">
        <f>"L8608"</f>
        <v>L8608</v>
      </c>
      <c r="B6791" s="5" t="s">
        <v>6796</v>
      </c>
      <c r="C6791" s="17">
        <v>20240101</v>
      </c>
      <c r="D6791" s="17">
        <v>22991231</v>
      </c>
      <c r="E6791" s="25">
        <v>0</v>
      </c>
    </row>
    <row r="6792" spans="1:5" x14ac:dyDescent="0.3">
      <c r="A6792" s="17" t="str">
        <f>"L8609"</f>
        <v>L8609</v>
      </c>
      <c r="B6792" s="5" t="s">
        <v>6797</v>
      </c>
      <c r="C6792" s="17">
        <v>20230101</v>
      </c>
      <c r="D6792" s="17">
        <v>22991231</v>
      </c>
      <c r="E6792" s="25">
        <v>0</v>
      </c>
    </row>
    <row r="6793" spans="1:5" x14ac:dyDescent="0.3">
      <c r="A6793" s="17" t="str">
        <f>"L8610"</f>
        <v>L8610</v>
      </c>
      <c r="B6793" s="5" t="s">
        <v>6798</v>
      </c>
      <c r="C6793" s="17">
        <v>20230101</v>
      </c>
      <c r="D6793" s="17">
        <v>22991231</v>
      </c>
      <c r="E6793" s="25">
        <v>0</v>
      </c>
    </row>
    <row r="6794" spans="1:5" x14ac:dyDescent="0.3">
      <c r="A6794" s="17" t="str">
        <f>"L8612"</f>
        <v>L8612</v>
      </c>
      <c r="B6794" s="5" t="s">
        <v>6799</v>
      </c>
      <c r="C6794" s="17">
        <v>20230101</v>
      </c>
      <c r="D6794" s="17">
        <v>22991231</v>
      </c>
      <c r="E6794" s="25">
        <v>0</v>
      </c>
    </row>
    <row r="6795" spans="1:5" x14ac:dyDescent="0.3">
      <c r="A6795" s="17" t="str">
        <f>"L8613"</f>
        <v>L8613</v>
      </c>
      <c r="B6795" s="5" t="s">
        <v>6800</v>
      </c>
      <c r="C6795" s="17">
        <v>20230101</v>
      </c>
      <c r="D6795" s="17">
        <v>22991231</v>
      </c>
      <c r="E6795" s="25">
        <v>0</v>
      </c>
    </row>
    <row r="6796" spans="1:5" ht="26" x14ac:dyDescent="0.3">
      <c r="A6796" s="17" t="str">
        <f>"L8614"</f>
        <v>L8614</v>
      </c>
      <c r="B6796" s="5" t="s">
        <v>6801</v>
      </c>
      <c r="C6796" s="17">
        <v>20230101</v>
      </c>
      <c r="D6796" s="17">
        <v>22991231</v>
      </c>
      <c r="E6796" s="25">
        <v>0</v>
      </c>
    </row>
    <row r="6797" spans="1:5" x14ac:dyDescent="0.3">
      <c r="A6797" s="17" t="str">
        <f>"L8630"</f>
        <v>L8630</v>
      </c>
      <c r="B6797" s="5" t="s">
        <v>6802</v>
      </c>
      <c r="C6797" s="17">
        <v>20230101</v>
      </c>
      <c r="D6797" s="17">
        <v>22991231</v>
      </c>
      <c r="E6797" s="25">
        <v>0</v>
      </c>
    </row>
    <row r="6798" spans="1:5" ht="65" x14ac:dyDescent="0.3">
      <c r="A6798" s="17" t="str">
        <f>"L8631"</f>
        <v>L8631</v>
      </c>
      <c r="B6798" s="5" t="s">
        <v>6803</v>
      </c>
      <c r="C6798" s="17">
        <v>20040101</v>
      </c>
      <c r="D6798" s="17">
        <v>22991231</v>
      </c>
      <c r="E6798" s="25">
        <v>0</v>
      </c>
    </row>
    <row r="6799" spans="1:5" x14ac:dyDescent="0.3">
      <c r="A6799" s="17" t="str">
        <f>"L8641"</f>
        <v>L8641</v>
      </c>
      <c r="B6799" s="5" t="s">
        <v>6804</v>
      </c>
      <c r="C6799" s="17">
        <v>20230101</v>
      </c>
      <c r="D6799" s="17">
        <v>22991231</v>
      </c>
      <c r="E6799" s="25">
        <v>0</v>
      </c>
    </row>
    <row r="6800" spans="1:5" x14ac:dyDescent="0.3">
      <c r="A6800" s="17" t="str">
        <f>"L8642"</f>
        <v>L8642</v>
      </c>
      <c r="B6800" s="5" t="s">
        <v>6805</v>
      </c>
      <c r="C6800" s="17">
        <v>20230101</v>
      </c>
      <c r="D6800" s="17">
        <v>22991231</v>
      </c>
      <c r="E6800" s="25">
        <v>0</v>
      </c>
    </row>
    <row r="6801" spans="1:5" ht="26" x14ac:dyDescent="0.3">
      <c r="A6801" s="17" t="str">
        <f>"L8658"</f>
        <v>L8658</v>
      </c>
      <c r="B6801" s="5" t="s">
        <v>6806</v>
      </c>
      <c r="C6801" s="17">
        <v>20230101</v>
      </c>
      <c r="D6801" s="17">
        <v>22991231</v>
      </c>
      <c r="E6801" s="25">
        <v>0</v>
      </c>
    </row>
    <row r="6802" spans="1:5" ht="52" x14ac:dyDescent="0.3">
      <c r="A6802" s="17" t="str">
        <f>"L8659"</f>
        <v>L8659</v>
      </c>
      <c r="B6802" s="5" t="s">
        <v>6807</v>
      </c>
      <c r="C6802" s="17">
        <v>20040101</v>
      </c>
      <c r="D6802" s="17">
        <v>22991231</v>
      </c>
      <c r="E6802" s="25">
        <v>0</v>
      </c>
    </row>
    <row r="6803" spans="1:5" x14ac:dyDescent="0.3">
      <c r="A6803" s="17" t="str">
        <f>"L8670"</f>
        <v>L8670</v>
      </c>
      <c r="B6803" s="5" t="s">
        <v>6808</v>
      </c>
      <c r="C6803" s="17">
        <v>20230101</v>
      </c>
      <c r="D6803" s="17">
        <v>22991231</v>
      </c>
      <c r="E6803" s="25">
        <v>0</v>
      </c>
    </row>
    <row r="6804" spans="1:5" ht="26" x14ac:dyDescent="0.3">
      <c r="A6804" s="17" t="str">
        <f>"L8678"</f>
        <v>L8678</v>
      </c>
      <c r="B6804" s="5" t="s">
        <v>6809</v>
      </c>
      <c r="C6804" s="17">
        <v>20240101</v>
      </c>
      <c r="D6804" s="17">
        <v>22991231</v>
      </c>
      <c r="E6804" s="25">
        <v>0</v>
      </c>
    </row>
    <row r="6805" spans="1:5" ht="26" x14ac:dyDescent="0.3">
      <c r="A6805" s="17" t="str">
        <f>"L8679"</f>
        <v>L8679</v>
      </c>
      <c r="B6805" s="5" t="s">
        <v>6810</v>
      </c>
      <c r="C6805" s="17">
        <v>20230101</v>
      </c>
      <c r="D6805" s="17">
        <v>22991231</v>
      </c>
      <c r="E6805" s="25">
        <v>0</v>
      </c>
    </row>
    <row r="6806" spans="1:5" x14ac:dyDescent="0.3">
      <c r="A6806" s="17" t="str">
        <f>"L8680"</f>
        <v>L8680</v>
      </c>
      <c r="B6806" s="5" t="s">
        <v>6811</v>
      </c>
      <c r="C6806" s="17">
        <v>20100501</v>
      </c>
      <c r="D6806" s="17">
        <v>22991231</v>
      </c>
      <c r="E6806" s="24" t="s">
        <v>7128</v>
      </c>
    </row>
    <row r="6807" spans="1:5" ht="39" x14ac:dyDescent="0.3">
      <c r="A6807" s="17" t="str">
        <f>"L8681"</f>
        <v>L8681</v>
      </c>
      <c r="B6807" s="5" t="s">
        <v>6812</v>
      </c>
      <c r="C6807" s="17">
        <v>20160101</v>
      </c>
      <c r="D6807" s="17">
        <v>22991231</v>
      </c>
      <c r="E6807" s="24" t="s">
        <v>7128</v>
      </c>
    </row>
    <row r="6808" spans="1:5" ht="26" x14ac:dyDescent="0.3">
      <c r="A6808" s="17" t="str">
        <f>"L8682"</f>
        <v>L8682</v>
      </c>
      <c r="B6808" s="5" t="s">
        <v>6813</v>
      </c>
      <c r="C6808" s="17">
        <v>20230101</v>
      </c>
      <c r="D6808" s="17">
        <v>22991231</v>
      </c>
      <c r="E6808" s="25">
        <v>0</v>
      </c>
    </row>
    <row r="6809" spans="1:5" ht="39" x14ac:dyDescent="0.3">
      <c r="A6809" s="17" t="str">
        <f>"L8686"</f>
        <v>L8686</v>
      </c>
      <c r="B6809" s="5" t="s">
        <v>6814</v>
      </c>
      <c r="C6809" s="17">
        <v>20160101</v>
      </c>
      <c r="D6809" s="17">
        <v>22991231</v>
      </c>
      <c r="E6809" s="24" t="s">
        <v>7128</v>
      </c>
    </row>
    <row r="6810" spans="1:5" ht="26" x14ac:dyDescent="0.3">
      <c r="A6810" s="17" t="str">
        <f>"L8690"</f>
        <v>L8690</v>
      </c>
      <c r="B6810" s="5" t="s">
        <v>6815</v>
      </c>
      <c r="C6810" s="17">
        <v>20230101</v>
      </c>
      <c r="D6810" s="17">
        <v>22991231</v>
      </c>
      <c r="E6810" s="25">
        <v>0</v>
      </c>
    </row>
    <row r="6811" spans="1:5" x14ac:dyDescent="0.3">
      <c r="A6811" s="17" t="str">
        <f>"L8699"</f>
        <v>L8699</v>
      </c>
      <c r="B6811" s="5" t="s">
        <v>6816</v>
      </c>
      <c r="C6811" s="17">
        <v>20030201</v>
      </c>
      <c r="D6811" s="17">
        <v>22991231</v>
      </c>
      <c r="E6811" s="25">
        <v>0</v>
      </c>
    </row>
    <row r="6812" spans="1:5" ht="39" x14ac:dyDescent="0.3">
      <c r="A6812" s="17" t="str">
        <f>"L9900"</f>
        <v>L9900</v>
      </c>
      <c r="B6812" s="5" t="s">
        <v>6817</v>
      </c>
      <c r="C6812" s="17">
        <v>20000101</v>
      </c>
      <c r="D6812" s="17">
        <v>22991231</v>
      </c>
      <c r="E6812" s="25">
        <v>0</v>
      </c>
    </row>
    <row r="6813" spans="1:5" ht="78" x14ac:dyDescent="0.3">
      <c r="A6813" s="17" t="str">
        <f>"M0201"</f>
        <v>M0201</v>
      </c>
      <c r="B6813" s="5" t="s">
        <v>6818</v>
      </c>
      <c r="C6813" s="17">
        <v>20220101</v>
      </c>
      <c r="D6813" s="17">
        <v>22991231</v>
      </c>
      <c r="E6813" s="24" t="s">
        <v>7128</v>
      </c>
    </row>
    <row r="6814" spans="1:5" ht="117" x14ac:dyDescent="0.3">
      <c r="A6814" s="17" t="str">
        <f>"M0249"</f>
        <v>M0249</v>
      </c>
      <c r="B6814" s="5" t="s">
        <v>6819</v>
      </c>
      <c r="C6814" s="17">
        <v>20211001</v>
      </c>
      <c r="D6814" s="17">
        <v>22991231</v>
      </c>
      <c r="E6814" s="24" t="s">
        <v>7128</v>
      </c>
    </row>
    <row r="6815" spans="1:5" ht="117" x14ac:dyDescent="0.3">
      <c r="A6815" s="17" t="str">
        <f>"M0250"</f>
        <v>M0250</v>
      </c>
      <c r="B6815" s="5" t="s">
        <v>6820</v>
      </c>
      <c r="C6815" s="17">
        <v>20211001</v>
      </c>
      <c r="D6815" s="17">
        <v>22991231</v>
      </c>
      <c r="E6815" s="24" t="s">
        <v>7128</v>
      </c>
    </row>
    <row r="6816" spans="1:5" x14ac:dyDescent="0.3">
      <c r="A6816" s="17" t="str">
        <f>"P9034"</f>
        <v>P9034</v>
      </c>
      <c r="B6816" s="5" t="s">
        <v>6821</v>
      </c>
      <c r="C6816" s="17">
        <v>20100101</v>
      </c>
      <c r="D6816" s="17">
        <v>22991231</v>
      </c>
      <c r="E6816" s="24" t="s">
        <v>7128</v>
      </c>
    </row>
    <row r="6817" spans="1:5" x14ac:dyDescent="0.3">
      <c r="A6817" s="17" t="str">
        <f>"P9041"</f>
        <v>P9041</v>
      </c>
      <c r="B6817" s="5" t="s">
        <v>6822</v>
      </c>
      <c r="C6817" s="17">
        <v>20230101</v>
      </c>
      <c r="D6817" s="17">
        <v>22991231</v>
      </c>
      <c r="E6817" s="25">
        <v>10.14</v>
      </c>
    </row>
    <row r="6818" spans="1:5" x14ac:dyDescent="0.3">
      <c r="A6818" s="17" t="str">
        <f>"P9045"</f>
        <v>P9045</v>
      </c>
      <c r="B6818" s="5" t="s">
        <v>6823</v>
      </c>
      <c r="C6818" s="17">
        <v>20230101</v>
      </c>
      <c r="D6818" s="17">
        <v>22991231</v>
      </c>
      <c r="E6818" s="25">
        <v>50.7</v>
      </c>
    </row>
    <row r="6819" spans="1:5" x14ac:dyDescent="0.3">
      <c r="A6819" s="17" t="str">
        <f>"P9046"</f>
        <v>P9046</v>
      </c>
      <c r="B6819" s="5" t="s">
        <v>6824</v>
      </c>
      <c r="C6819" s="17">
        <v>20230101</v>
      </c>
      <c r="D6819" s="17">
        <v>22991231</v>
      </c>
      <c r="E6819" s="25">
        <v>20.28</v>
      </c>
    </row>
    <row r="6820" spans="1:5" x14ac:dyDescent="0.3">
      <c r="A6820" s="17" t="str">
        <f>"P9047"</f>
        <v>P9047</v>
      </c>
      <c r="B6820" s="5" t="s">
        <v>6825</v>
      </c>
      <c r="C6820" s="17">
        <v>20230101</v>
      </c>
      <c r="D6820" s="17">
        <v>22991231</v>
      </c>
      <c r="E6820" s="25">
        <v>50.7</v>
      </c>
    </row>
    <row r="6821" spans="1:5" x14ac:dyDescent="0.3">
      <c r="A6821" s="17" t="str">
        <f>"P9050"</f>
        <v>P9050</v>
      </c>
      <c r="B6821" s="5" t="s">
        <v>6826</v>
      </c>
      <c r="C6821" s="17">
        <v>20230101</v>
      </c>
      <c r="D6821" s="17">
        <v>22991231</v>
      </c>
      <c r="E6821" s="25">
        <v>0</v>
      </c>
    </row>
    <row r="6822" spans="1:5" x14ac:dyDescent="0.3">
      <c r="A6822" s="17" t="str">
        <f>"Q0035"</f>
        <v>Q0035</v>
      </c>
      <c r="B6822" s="5" t="s">
        <v>6827</v>
      </c>
      <c r="C6822" s="17">
        <v>20240101</v>
      </c>
      <c r="D6822" s="17">
        <v>22991231</v>
      </c>
      <c r="E6822" s="25">
        <v>0</v>
      </c>
    </row>
    <row r="6823" spans="1:5" x14ac:dyDescent="0.3">
      <c r="A6823" s="17" t="str">
        <f>"Q0092"</f>
        <v>Q0092</v>
      </c>
      <c r="B6823" s="5" t="s">
        <v>6828</v>
      </c>
      <c r="C6823" s="17">
        <v>20240101</v>
      </c>
      <c r="D6823" s="17">
        <v>22991231</v>
      </c>
      <c r="E6823" s="25">
        <v>0</v>
      </c>
    </row>
    <row r="6824" spans="1:5" ht="26" x14ac:dyDescent="0.3">
      <c r="A6824" s="17" t="str">
        <f>"Q0138"</f>
        <v>Q0138</v>
      </c>
      <c r="B6824" s="5" t="s">
        <v>6829</v>
      </c>
      <c r="C6824" s="17">
        <v>20230101</v>
      </c>
      <c r="D6824" s="17">
        <v>22991231</v>
      </c>
      <c r="E6824" s="25">
        <v>0.34</v>
      </c>
    </row>
    <row r="6825" spans="1:5" ht="26" x14ac:dyDescent="0.3">
      <c r="A6825" s="17" t="str">
        <f>"Q0139"</f>
        <v>Q0139</v>
      </c>
      <c r="B6825" s="5" t="s">
        <v>6830</v>
      </c>
      <c r="C6825" s="17">
        <v>20230101</v>
      </c>
      <c r="D6825" s="17">
        <v>22991231</v>
      </c>
      <c r="E6825" s="25">
        <v>0.34</v>
      </c>
    </row>
    <row r="6826" spans="1:5" ht="65" x14ac:dyDescent="0.3">
      <c r="A6826" s="17" t="str">
        <f>"Q0161"</f>
        <v>Q0161</v>
      </c>
      <c r="B6826" s="5" t="s">
        <v>6831</v>
      </c>
      <c r="C6826" s="17">
        <v>20230101</v>
      </c>
      <c r="D6826" s="17">
        <v>22991231</v>
      </c>
      <c r="E6826" s="25">
        <v>0</v>
      </c>
    </row>
    <row r="6827" spans="1:5" ht="65" x14ac:dyDescent="0.3">
      <c r="A6827" s="17" t="str">
        <f>"Q0162"</f>
        <v>Q0162</v>
      </c>
      <c r="B6827" s="5" t="s">
        <v>6832</v>
      </c>
      <c r="C6827" s="17">
        <v>20230101</v>
      </c>
      <c r="D6827" s="17">
        <v>22991231</v>
      </c>
      <c r="E6827" s="25">
        <v>0</v>
      </c>
    </row>
    <row r="6828" spans="1:5" ht="65" x14ac:dyDescent="0.3">
      <c r="A6828" s="17" t="str">
        <f>"Q0163"</f>
        <v>Q0163</v>
      </c>
      <c r="B6828" s="5" t="s">
        <v>6833</v>
      </c>
      <c r="C6828" s="17">
        <v>20230101</v>
      </c>
      <c r="D6828" s="17">
        <v>22991231</v>
      </c>
      <c r="E6828" s="25">
        <v>0</v>
      </c>
    </row>
    <row r="6829" spans="1:5" ht="65" x14ac:dyDescent="0.3">
      <c r="A6829" s="17" t="str">
        <f>"Q0164"</f>
        <v>Q0164</v>
      </c>
      <c r="B6829" s="5" t="s">
        <v>6834</v>
      </c>
      <c r="C6829" s="17">
        <v>20230101</v>
      </c>
      <c r="D6829" s="17">
        <v>22991231</v>
      </c>
      <c r="E6829" s="25">
        <v>0</v>
      </c>
    </row>
    <row r="6830" spans="1:5" ht="65" x14ac:dyDescent="0.3">
      <c r="A6830" s="17" t="str">
        <f>"Q0166"</f>
        <v>Q0166</v>
      </c>
      <c r="B6830" s="5" t="s">
        <v>6835</v>
      </c>
      <c r="C6830" s="17">
        <v>20230101</v>
      </c>
      <c r="D6830" s="17">
        <v>22991231</v>
      </c>
      <c r="E6830" s="25">
        <v>0</v>
      </c>
    </row>
    <row r="6831" spans="1:5" ht="65" x14ac:dyDescent="0.3">
      <c r="A6831" s="17" t="str">
        <f>"Q0167"</f>
        <v>Q0167</v>
      </c>
      <c r="B6831" s="5" t="s">
        <v>6836</v>
      </c>
      <c r="C6831" s="17">
        <v>20230101</v>
      </c>
      <c r="D6831" s="17">
        <v>22991231</v>
      </c>
      <c r="E6831" s="25">
        <v>0</v>
      </c>
    </row>
    <row r="6832" spans="1:5" ht="65" x14ac:dyDescent="0.3">
      <c r="A6832" s="17" t="str">
        <f>"Q0169"</f>
        <v>Q0169</v>
      </c>
      <c r="B6832" s="5" t="s">
        <v>6837</v>
      </c>
      <c r="C6832" s="17">
        <v>20230101</v>
      </c>
      <c r="D6832" s="17">
        <v>22991231</v>
      </c>
      <c r="E6832" s="25">
        <v>0</v>
      </c>
    </row>
    <row r="6833" spans="1:5" ht="65" x14ac:dyDescent="0.3">
      <c r="A6833" s="17" t="str">
        <f>"Q0173"</f>
        <v>Q0173</v>
      </c>
      <c r="B6833" s="5" t="s">
        <v>6838</v>
      </c>
      <c r="C6833" s="17">
        <v>20230101</v>
      </c>
      <c r="D6833" s="17">
        <v>22991231</v>
      </c>
      <c r="E6833" s="25">
        <v>0</v>
      </c>
    </row>
    <row r="6834" spans="1:5" ht="65" x14ac:dyDescent="0.3">
      <c r="A6834" s="17" t="str">
        <f>"Q0174"</f>
        <v>Q0174</v>
      </c>
      <c r="B6834" s="5" t="s">
        <v>6839</v>
      </c>
      <c r="C6834" s="17">
        <v>20230101</v>
      </c>
      <c r="D6834" s="17">
        <v>22991231</v>
      </c>
      <c r="E6834" s="25">
        <v>0</v>
      </c>
    </row>
    <row r="6835" spans="1:5" ht="65" x14ac:dyDescent="0.3">
      <c r="A6835" s="17" t="str">
        <f>"Q0175"</f>
        <v>Q0175</v>
      </c>
      <c r="B6835" s="5" t="s">
        <v>6840</v>
      </c>
      <c r="C6835" s="17">
        <v>20230101</v>
      </c>
      <c r="D6835" s="17">
        <v>22991231</v>
      </c>
      <c r="E6835" s="25">
        <v>0</v>
      </c>
    </row>
    <row r="6836" spans="1:5" ht="65" x14ac:dyDescent="0.3">
      <c r="A6836" s="17" t="str">
        <f>"Q0177"</f>
        <v>Q0177</v>
      </c>
      <c r="B6836" s="5" t="s">
        <v>6841</v>
      </c>
      <c r="C6836" s="17">
        <v>20230101</v>
      </c>
      <c r="D6836" s="17">
        <v>22991231</v>
      </c>
      <c r="E6836" s="25">
        <v>0</v>
      </c>
    </row>
    <row r="6837" spans="1:5" ht="65" x14ac:dyDescent="0.3">
      <c r="A6837" s="17" t="str">
        <f>"Q0180"</f>
        <v>Q0180</v>
      </c>
      <c r="B6837" s="5" t="s">
        <v>6842</v>
      </c>
      <c r="C6837" s="17">
        <v>20230101</v>
      </c>
      <c r="D6837" s="17">
        <v>22991231</v>
      </c>
      <c r="E6837" s="25">
        <v>0</v>
      </c>
    </row>
    <row r="6838" spans="1:5" ht="65" x14ac:dyDescent="0.3">
      <c r="A6838" s="17" t="str">
        <f>"Q0181"</f>
        <v>Q0181</v>
      </c>
      <c r="B6838" s="5" t="s">
        <v>6843</v>
      </c>
      <c r="C6838" s="17">
        <v>20230101</v>
      </c>
      <c r="D6838" s="17">
        <v>22991231</v>
      </c>
      <c r="E6838" s="25">
        <v>0</v>
      </c>
    </row>
    <row r="6839" spans="1:5" ht="195" x14ac:dyDescent="0.3">
      <c r="A6839" s="17" t="str">
        <f>"Q0220"</f>
        <v>Q0220</v>
      </c>
      <c r="B6839" s="5" t="s">
        <v>6844</v>
      </c>
      <c r="C6839" s="17">
        <v>20240101</v>
      </c>
      <c r="D6839" s="17">
        <v>22991231</v>
      </c>
      <c r="E6839" s="25">
        <v>0</v>
      </c>
    </row>
    <row r="6840" spans="1:5" ht="195" x14ac:dyDescent="0.3">
      <c r="A6840" s="17" t="str">
        <f>"Q0221"</f>
        <v>Q0221</v>
      </c>
      <c r="B6840" s="5" t="s">
        <v>6845</v>
      </c>
      <c r="C6840" s="17">
        <v>20240101</v>
      </c>
      <c r="D6840" s="17">
        <v>22991231</v>
      </c>
      <c r="E6840" s="25">
        <v>0</v>
      </c>
    </row>
    <row r="6841" spans="1:5" x14ac:dyDescent="0.3">
      <c r="A6841" s="17" t="str">
        <f>"Q0222"</f>
        <v>Q0222</v>
      </c>
      <c r="B6841" s="5" t="s">
        <v>6846</v>
      </c>
      <c r="C6841" s="17">
        <v>20240101</v>
      </c>
      <c r="D6841" s="17">
        <v>22991231</v>
      </c>
      <c r="E6841" s="25">
        <v>0</v>
      </c>
    </row>
    <row r="6842" spans="1:5" x14ac:dyDescent="0.3">
      <c r="A6842" s="17" t="str">
        <f>"Q0240"</f>
        <v>Q0240</v>
      </c>
      <c r="B6842" s="5" t="s">
        <v>6847</v>
      </c>
      <c r="C6842" s="17">
        <v>20230101</v>
      </c>
      <c r="D6842" s="17">
        <v>22991231</v>
      </c>
      <c r="E6842" s="25">
        <v>0</v>
      </c>
    </row>
    <row r="6843" spans="1:5" x14ac:dyDescent="0.3">
      <c r="A6843" s="17" t="str">
        <f>"Q0243"</f>
        <v>Q0243</v>
      </c>
      <c r="B6843" s="5" t="s">
        <v>6848</v>
      </c>
      <c r="C6843" s="17">
        <v>20230101</v>
      </c>
      <c r="D6843" s="17">
        <v>22991231</v>
      </c>
      <c r="E6843" s="25">
        <v>0</v>
      </c>
    </row>
    <row r="6844" spans="1:5" x14ac:dyDescent="0.3">
      <c r="A6844" s="17" t="str">
        <f>"Q0244"</f>
        <v>Q0244</v>
      </c>
      <c r="B6844" s="5" t="s">
        <v>6849</v>
      </c>
      <c r="C6844" s="17">
        <v>20230101</v>
      </c>
      <c r="D6844" s="17">
        <v>22991231</v>
      </c>
      <c r="E6844" s="25">
        <v>0</v>
      </c>
    </row>
    <row r="6845" spans="1:5" ht="26" x14ac:dyDescent="0.3">
      <c r="A6845" s="17" t="str">
        <f>"Q0245"</f>
        <v>Q0245</v>
      </c>
      <c r="B6845" s="5" t="s">
        <v>6850</v>
      </c>
      <c r="C6845" s="17">
        <v>20230101</v>
      </c>
      <c r="D6845" s="17">
        <v>22991231</v>
      </c>
      <c r="E6845" s="25">
        <v>0</v>
      </c>
    </row>
    <row r="6846" spans="1:5" x14ac:dyDescent="0.3">
      <c r="A6846" s="17" t="str">
        <f>"Q0247"</f>
        <v>Q0247</v>
      </c>
      <c r="B6846" s="5" t="s">
        <v>6851</v>
      </c>
      <c r="C6846" s="17">
        <v>20230101</v>
      </c>
      <c r="D6846" s="17">
        <v>22991231</v>
      </c>
      <c r="E6846" s="25">
        <v>0</v>
      </c>
    </row>
    <row r="6847" spans="1:5" ht="91" x14ac:dyDescent="0.3">
      <c r="A6847" s="17" t="str">
        <f>"Q0249"</f>
        <v>Q0249</v>
      </c>
      <c r="B6847" s="5" t="s">
        <v>6852</v>
      </c>
      <c r="C6847" s="17">
        <v>20230101</v>
      </c>
      <c r="D6847" s="17">
        <v>22991231</v>
      </c>
      <c r="E6847" s="25">
        <v>0</v>
      </c>
    </row>
    <row r="6848" spans="1:5" x14ac:dyDescent="0.3">
      <c r="A6848" s="17" t="str">
        <f>"Q0515"</f>
        <v>Q0515</v>
      </c>
      <c r="B6848" s="5" t="s">
        <v>6853</v>
      </c>
      <c r="C6848" s="17">
        <v>20230101</v>
      </c>
      <c r="D6848" s="17">
        <v>22991231</v>
      </c>
      <c r="E6848" s="25">
        <v>0</v>
      </c>
    </row>
    <row r="6849" spans="1:5" ht="26" x14ac:dyDescent="0.3">
      <c r="A6849" s="17" t="str">
        <f>"Q2004"</f>
        <v>Q2004</v>
      </c>
      <c r="B6849" s="5" t="s">
        <v>6854</v>
      </c>
      <c r="C6849" s="17">
        <v>20230101</v>
      </c>
      <c r="D6849" s="17">
        <v>22991231</v>
      </c>
      <c r="E6849" s="25">
        <v>140.33000000000001</v>
      </c>
    </row>
    <row r="6850" spans="1:5" ht="26" x14ac:dyDescent="0.3">
      <c r="A6850" s="17" t="str">
        <f>"Q2009"</f>
        <v>Q2009</v>
      </c>
      <c r="B6850" s="5" t="s">
        <v>6855</v>
      </c>
      <c r="C6850" s="17">
        <v>20230101</v>
      </c>
      <c r="D6850" s="17">
        <v>22991231</v>
      </c>
      <c r="E6850" s="25">
        <v>4.58</v>
      </c>
    </row>
    <row r="6851" spans="1:5" x14ac:dyDescent="0.3">
      <c r="A6851" s="17" t="str">
        <f>"Q2017"</f>
        <v>Q2017</v>
      </c>
      <c r="B6851" s="5" t="s">
        <v>6856</v>
      </c>
      <c r="C6851" s="17">
        <v>20230101</v>
      </c>
      <c r="D6851" s="17">
        <v>22991231</v>
      </c>
      <c r="E6851" s="25">
        <v>0</v>
      </c>
    </row>
    <row r="6852" spans="1:5" x14ac:dyDescent="0.3">
      <c r="A6852" s="17" t="str">
        <f>"Q2026"</f>
        <v>Q2026</v>
      </c>
      <c r="B6852" s="5" t="s">
        <v>6857</v>
      </c>
      <c r="C6852" s="17">
        <v>20230101</v>
      </c>
      <c r="D6852" s="17">
        <v>22991231</v>
      </c>
      <c r="E6852" s="25">
        <v>285.33</v>
      </c>
    </row>
    <row r="6853" spans="1:5" x14ac:dyDescent="0.3">
      <c r="A6853" s="17" t="str">
        <f>"Q2028"</f>
        <v>Q2028</v>
      </c>
      <c r="B6853" s="5" t="s">
        <v>6858</v>
      </c>
      <c r="C6853" s="17">
        <v>20230101</v>
      </c>
      <c r="D6853" s="17">
        <v>22991231</v>
      </c>
      <c r="E6853" s="25">
        <v>1.34</v>
      </c>
    </row>
    <row r="6854" spans="1:5" ht="26" x14ac:dyDescent="0.3">
      <c r="A6854" s="17" t="str">
        <f>"Q2034"</f>
        <v>Q2034</v>
      </c>
      <c r="B6854" s="5" t="s">
        <v>6859</v>
      </c>
      <c r="C6854" s="17">
        <v>20230101</v>
      </c>
      <c r="D6854" s="17">
        <v>22991231</v>
      </c>
      <c r="E6854" s="25">
        <v>0</v>
      </c>
    </row>
    <row r="6855" spans="1:5" ht="39" x14ac:dyDescent="0.3">
      <c r="A6855" s="17" t="str">
        <f>"Q2035"</f>
        <v>Q2035</v>
      </c>
      <c r="B6855" s="5" t="s">
        <v>6860</v>
      </c>
      <c r="C6855" s="17">
        <v>20230101</v>
      </c>
      <c r="D6855" s="17">
        <v>22991231</v>
      </c>
      <c r="E6855" s="25">
        <v>0</v>
      </c>
    </row>
    <row r="6856" spans="1:5" ht="39" x14ac:dyDescent="0.3">
      <c r="A6856" s="17" t="str">
        <f>"Q2036"</f>
        <v>Q2036</v>
      </c>
      <c r="B6856" s="5" t="s">
        <v>6861</v>
      </c>
      <c r="C6856" s="17">
        <v>20230101</v>
      </c>
      <c r="D6856" s="17">
        <v>22991231</v>
      </c>
      <c r="E6856" s="25">
        <v>0</v>
      </c>
    </row>
    <row r="6857" spans="1:5" ht="39" x14ac:dyDescent="0.3">
      <c r="A6857" s="17" t="str">
        <f>"Q2037"</f>
        <v>Q2037</v>
      </c>
      <c r="B6857" s="5" t="s">
        <v>6862</v>
      </c>
      <c r="C6857" s="17">
        <v>20230101</v>
      </c>
      <c r="D6857" s="17">
        <v>22991231</v>
      </c>
      <c r="E6857" s="25">
        <v>0</v>
      </c>
    </row>
    <row r="6858" spans="1:5" ht="39" x14ac:dyDescent="0.3">
      <c r="A6858" s="17" t="str">
        <f>"Q2038"</f>
        <v>Q2038</v>
      </c>
      <c r="B6858" s="5" t="s">
        <v>6863</v>
      </c>
      <c r="C6858" s="17">
        <v>20230101</v>
      </c>
      <c r="D6858" s="17">
        <v>22991231</v>
      </c>
      <c r="E6858" s="25">
        <v>0</v>
      </c>
    </row>
    <row r="6859" spans="1:5" x14ac:dyDescent="0.3">
      <c r="A6859" s="17" t="str">
        <f>"Q2039"</f>
        <v>Q2039</v>
      </c>
      <c r="B6859" s="5" t="s">
        <v>6864</v>
      </c>
      <c r="C6859" s="17">
        <v>20230101</v>
      </c>
      <c r="D6859" s="17">
        <v>22991231</v>
      </c>
      <c r="E6859" s="25">
        <v>0</v>
      </c>
    </row>
    <row r="6860" spans="1:5" ht="52" x14ac:dyDescent="0.3">
      <c r="A6860" s="17" t="str">
        <f>"Q2043"</f>
        <v>Q2043</v>
      </c>
      <c r="B6860" s="5" t="s">
        <v>6865</v>
      </c>
      <c r="C6860" s="17">
        <v>20230101</v>
      </c>
      <c r="D6860" s="17">
        <v>22991231</v>
      </c>
      <c r="E6860" s="25">
        <v>51030.47</v>
      </c>
    </row>
    <row r="6861" spans="1:5" ht="26" x14ac:dyDescent="0.3">
      <c r="A6861" s="17" t="str">
        <f>"Q2049"</f>
        <v>Q2049</v>
      </c>
      <c r="B6861" s="5" t="s">
        <v>6866</v>
      </c>
      <c r="C6861" s="17">
        <v>20230101</v>
      </c>
      <c r="D6861" s="17">
        <v>22991231</v>
      </c>
      <c r="E6861" s="25">
        <v>373.86</v>
      </c>
    </row>
    <row r="6862" spans="1:5" ht="26" x14ac:dyDescent="0.3">
      <c r="A6862" s="17" t="str">
        <f>"Q2050"</f>
        <v>Q2050</v>
      </c>
      <c r="B6862" s="5" t="s">
        <v>6867</v>
      </c>
      <c r="C6862" s="17">
        <v>20230101</v>
      </c>
      <c r="D6862" s="17">
        <v>22991231</v>
      </c>
      <c r="E6862" s="25">
        <v>81.650000000000006</v>
      </c>
    </row>
    <row r="6863" spans="1:5" ht="26" x14ac:dyDescent="0.3">
      <c r="A6863" s="17" t="str">
        <f>"Q3027"</f>
        <v>Q3027</v>
      </c>
      <c r="B6863" s="5" t="s">
        <v>6868</v>
      </c>
      <c r="C6863" s="17">
        <v>20230101</v>
      </c>
      <c r="D6863" s="17">
        <v>22991231</v>
      </c>
      <c r="E6863" s="25">
        <v>51.28</v>
      </c>
    </row>
    <row r="6864" spans="1:5" x14ac:dyDescent="0.3">
      <c r="A6864" s="17" t="str">
        <f>"Q3031"</f>
        <v>Q3031</v>
      </c>
      <c r="B6864" s="5" t="s">
        <v>6869</v>
      </c>
      <c r="C6864" s="17">
        <v>20230101</v>
      </c>
      <c r="D6864" s="17">
        <v>22991231</v>
      </c>
      <c r="E6864" s="25">
        <v>0</v>
      </c>
    </row>
    <row r="6865" spans="1:5" x14ac:dyDescent="0.3">
      <c r="A6865" s="17" t="str">
        <f>"Q4100"</f>
        <v>Q4100</v>
      </c>
      <c r="B6865" s="5" t="s">
        <v>6870</v>
      </c>
      <c r="C6865" s="17">
        <v>20090101</v>
      </c>
      <c r="D6865" s="17">
        <v>22991231</v>
      </c>
      <c r="E6865" s="25">
        <v>0</v>
      </c>
    </row>
    <row r="6866" spans="1:5" x14ac:dyDescent="0.3">
      <c r="A6866" s="17" t="str">
        <f>"Q4101"</f>
        <v>Q4101</v>
      </c>
      <c r="B6866" s="5" t="s">
        <v>6871</v>
      </c>
      <c r="C6866" s="17">
        <v>20090101</v>
      </c>
      <c r="D6866" s="17">
        <v>22991231</v>
      </c>
      <c r="E6866" s="25">
        <v>0</v>
      </c>
    </row>
    <row r="6867" spans="1:5" x14ac:dyDescent="0.3">
      <c r="A6867" s="17" t="str">
        <f>"Q4102"</f>
        <v>Q4102</v>
      </c>
      <c r="B6867" s="5" t="s">
        <v>6872</v>
      </c>
      <c r="C6867" s="17">
        <v>20090101</v>
      </c>
      <c r="D6867" s="17">
        <v>22991231</v>
      </c>
      <c r="E6867" s="25">
        <v>0</v>
      </c>
    </row>
    <row r="6868" spans="1:5" x14ac:dyDescent="0.3">
      <c r="A6868" s="17" t="str">
        <f>"Q4103"</f>
        <v>Q4103</v>
      </c>
      <c r="B6868" s="5" t="s">
        <v>6873</v>
      </c>
      <c r="C6868" s="17">
        <v>20090101</v>
      </c>
      <c r="D6868" s="17">
        <v>22991231</v>
      </c>
      <c r="E6868" s="25">
        <v>0</v>
      </c>
    </row>
    <row r="6869" spans="1:5" ht="26" x14ac:dyDescent="0.3">
      <c r="A6869" s="17" t="str">
        <f>"Q4104"</f>
        <v>Q4104</v>
      </c>
      <c r="B6869" s="5" t="s">
        <v>6874</v>
      </c>
      <c r="C6869" s="17">
        <v>20090101</v>
      </c>
      <c r="D6869" s="17">
        <v>22991231</v>
      </c>
      <c r="E6869" s="25">
        <v>0</v>
      </c>
    </row>
    <row r="6870" spans="1:5" ht="39" x14ac:dyDescent="0.3">
      <c r="A6870" s="17" t="str">
        <f>"Q4105"</f>
        <v>Q4105</v>
      </c>
      <c r="B6870" s="5" t="s">
        <v>6875</v>
      </c>
      <c r="C6870" s="17">
        <v>20090101</v>
      </c>
      <c r="D6870" s="17">
        <v>22991231</v>
      </c>
      <c r="E6870" s="25">
        <v>0</v>
      </c>
    </row>
    <row r="6871" spans="1:5" x14ac:dyDescent="0.3">
      <c r="A6871" s="17" t="str">
        <f>"Q4106"</f>
        <v>Q4106</v>
      </c>
      <c r="B6871" s="5" t="s">
        <v>6876</v>
      </c>
      <c r="C6871" s="17">
        <v>20090101</v>
      </c>
      <c r="D6871" s="17">
        <v>22991231</v>
      </c>
      <c r="E6871" s="25">
        <v>0</v>
      </c>
    </row>
    <row r="6872" spans="1:5" x14ac:dyDescent="0.3">
      <c r="A6872" s="17" t="str">
        <f>"Q4107"</f>
        <v>Q4107</v>
      </c>
      <c r="B6872" s="5" t="s">
        <v>6877</v>
      </c>
      <c r="C6872" s="17">
        <v>20090101</v>
      </c>
      <c r="D6872" s="17">
        <v>22991231</v>
      </c>
      <c r="E6872" s="25">
        <v>0</v>
      </c>
    </row>
    <row r="6873" spans="1:5" x14ac:dyDescent="0.3">
      <c r="A6873" s="17" t="str">
        <f>"Q4108"</f>
        <v>Q4108</v>
      </c>
      <c r="B6873" s="5" t="s">
        <v>6878</v>
      </c>
      <c r="C6873" s="17">
        <v>20090101</v>
      </c>
      <c r="D6873" s="17">
        <v>22991231</v>
      </c>
      <c r="E6873" s="25">
        <v>0</v>
      </c>
    </row>
    <row r="6874" spans="1:5" x14ac:dyDescent="0.3">
      <c r="A6874" s="17" t="str">
        <f>"Q4110"</f>
        <v>Q4110</v>
      </c>
      <c r="B6874" s="5" t="s">
        <v>6879</v>
      </c>
      <c r="C6874" s="17">
        <v>20090101</v>
      </c>
      <c r="D6874" s="17">
        <v>22991231</v>
      </c>
      <c r="E6874" s="25">
        <v>0</v>
      </c>
    </row>
    <row r="6875" spans="1:5" x14ac:dyDescent="0.3">
      <c r="A6875" s="17" t="str">
        <f>"Q4111"</f>
        <v>Q4111</v>
      </c>
      <c r="B6875" s="5" t="s">
        <v>6880</v>
      </c>
      <c r="C6875" s="17">
        <v>20090101</v>
      </c>
      <c r="D6875" s="17">
        <v>22991231</v>
      </c>
      <c r="E6875" s="25">
        <v>0</v>
      </c>
    </row>
    <row r="6876" spans="1:5" x14ac:dyDescent="0.3">
      <c r="A6876" s="17" t="str">
        <f>"Q4112"</f>
        <v>Q4112</v>
      </c>
      <c r="B6876" s="5" t="s">
        <v>6881</v>
      </c>
      <c r="C6876" s="17">
        <v>20090101</v>
      </c>
      <c r="D6876" s="17">
        <v>22991231</v>
      </c>
      <c r="E6876" s="25">
        <v>0</v>
      </c>
    </row>
    <row r="6877" spans="1:5" x14ac:dyDescent="0.3">
      <c r="A6877" s="17" t="str">
        <f>"Q4113"</f>
        <v>Q4113</v>
      </c>
      <c r="B6877" s="5" t="s">
        <v>6882</v>
      </c>
      <c r="C6877" s="17">
        <v>20090101</v>
      </c>
      <c r="D6877" s="17">
        <v>22991231</v>
      </c>
      <c r="E6877" s="25">
        <v>0</v>
      </c>
    </row>
    <row r="6878" spans="1:5" x14ac:dyDescent="0.3">
      <c r="A6878" s="17" t="str">
        <f>"Q4114"</f>
        <v>Q4114</v>
      </c>
      <c r="B6878" s="5" t="s">
        <v>6883</v>
      </c>
      <c r="C6878" s="17">
        <v>20090101</v>
      </c>
      <c r="D6878" s="17">
        <v>22991231</v>
      </c>
      <c r="E6878" s="25">
        <v>0</v>
      </c>
    </row>
    <row r="6879" spans="1:5" x14ac:dyDescent="0.3">
      <c r="A6879" s="17" t="str">
        <f>"Q4115"</f>
        <v>Q4115</v>
      </c>
      <c r="B6879" s="5" t="s">
        <v>6884</v>
      </c>
      <c r="C6879" s="17">
        <v>20100101</v>
      </c>
      <c r="D6879" s="17">
        <v>22991231</v>
      </c>
      <c r="E6879" s="25">
        <v>0</v>
      </c>
    </row>
    <row r="6880" spans="1:5" x14ac:dyDescent="0.3">
      <c r="A6880" s="17" t="str">
        <f>"Q4116"</f>
        <v>Q4116</v>
      </c>
      <c r="B6880" s="5" t="s">
        <v>6885</v>
      </c>
      <c r="C6880" s="17">
        <v>20100101</v>
      </c>
      <c r="D6880" s="17">
        <v>22991231</v>
      </c>
      <c r="E6880" s="25">
        <v>0</v>
      </c>
    </row>
    <row r="6881" spans="1:5" x14ac:dyDescent="0.3">
      <c r="A6881" s="17" t="str">
        <f>"Q4117"</f>
        <v>Q4117</v>
      </c>
      <c r="B6881" s="5" t="s">
        <v>6886</v>
      </c>
      <c r="C6881" s="17">
        <v>20230101</v>
      </c>
      <c r="D6881" s="17">
        <v>22991231</v>
      </c>
      <c r="E6881" s="25">
        <v>0</v>
      </c>
    </row>
    <row r="6882" spans="1:5" x14ac:dyDescent="0.3">
      <c r="A6882" s="17" t="str">
        <f>"Q4118"</f>
        <v>Q4118</v>
      </c>
      <c r="B6882" s="5" t="s">
        <v>6887</v>
      </c>
      <c r="C6882" s="17">
        <v>20230101</v>
      </c>
      <c r="D6882" s="17">
        <v>22991231</v>
      </c>
      <c r="E6882" s="25">
        <v>0</v>
      </c>
    </row>
    <row r="6883" spans="1:5" x14ac:dyDescent="0.3">
      <c r="A6883" s="17" t="str">
        <f>"Q4121"</f>
        <v>Q4121</v>
      </c>
      <c r="B6883" s="5" t="s">
        <v>6888</v>
      </c>
      <c r="C6883" s="17">
        <v>20230101</v>
      </c>
      <c r="D6883" s="17">
        <v>22991231</v>
      </c>
      <c r="E6883" s="25">
        <v>0</v>
      </c>
    </row>
    <row r="6884" spans="1:5" ht="26" x14ac:dyDescent="0.3">
      <c r="A6884" s="17" t="str">
        <f>"Q4122"</f>
        <v>Q4122</v>
      </c>
      <c r="B6884" s="5" t="s">
        <v>6889</v>
      </c>
      <c r="C6884" s="17">
        <v>20230101</v>
      </c>
      <c r="D6884" s="17">
        <v>22991231</v>
      </c>
      <c r="E6884" s="25">
        <v>0</v>
      </c>
    </row>
    <row r="6885" spans="1:5" x14ac:dyDescent="0.3">
      <c r="A6885" s="17" t="str">
        <f>"Q4123"</f>
        <v>Q4123</v>
      </c>
      <c r="B6885" s="5" t="s">
        <v>6890</v>
      </c>
      <c r="C6885" s="17">
        <v>20230101</v>
      </c>
      <c r="D6885" s="17">
        <v>22991231</v>
      </c>
      <c r="E6885" s="25">
        <v>0</v>
      </c>
    </row>
    <row r="6886" spans="1:5" ht="26" x14ac:dyDescent="0.3">
      <c r="A6886" s="17" t="str">
        <f>"Q4124"</f>
        <v>Q4124</v>
      </c>
      <c r="B6886" s="5" t="s">
        <v>6891</v>
      </c>
      <c r="C6886" s="17">
        <v>20230101</v>
      </c>
      <c r="D6886" s="17">
        <v>22991231</v>
      </c>
      <c r="E6886" s="25">
        <v>0</v>
      </c>
    </row>
    <row r="6887" spans="1:5" x14ac:dyDescent="0.3">
      <c r="A6887" s="17" t="str">
        <f>"Q4125"</f>
        <v>Q4125</v>
      </c>
      <c r="B6887" s="5" t="s">
        <v>6892</v>
      </c>
      <c r="C6887" s="17">
        <v>20230101</v>
      </c>
      <c r="D6887" s="17">
        <v>22991231</v>
      </c>
      <c r="E6887" s="25">
        <v>0</v>
      </c>
    </row>
    <row r="6888" spans="1:5" ht="26" x14ac:dyDescent="0.3">
      <c r="A6888" s="17" t="str">
        <f>"Q4126"</f>
        <v>Q4126</v>
      </c>
      <c r="B6888" s="5" t="s">
        <v>6893</v>
      </c>
      <c r="C6888" s="17">
        <v>20230101</v>
      </c>
      <c r="D6888" s="17">
        <v>22991231</v>
      </c>
      <c r="E6888" s="25">
        <v>0</v>
      </c>
    </row>
    <row r="6889" spans="1:5" x14ac:dyDescent="0.3">
      <c r="A6889" s="17" t="str">
        <f>"Q4127"</f>
        <v>Q4127</v>
      </c>
      <c r="B6889" s="5" t="s">
        <v>6894</v>
      </c>
      <c r="C6889" s="17">
        <v>20230101</v>
      </c>
      <c r="D6889" s="17">
        <v>22991231</v>
      </c>
      <c r="E6889" s="25">
        <v>0</v>
      </c>
    </row>
    <row r="6890" spans="1:5" x14ac:dyDescent="0.3">
      <c r="A6890" s="17" t="str">
        <f>"Q4128"</f>
        <v>Q4128</v>
      </c>
      <c r="B6890" s="5" t="s">
        <v>6895</v>
      </c>
      <c r="C6890" s="17">
        <v>20230101</v>
      </c>
      <c r="D6890" s="17">
        <v>22991231</v>
      </c>
      <c r="E6890" s="25">
        <v>0</v>
      </c>
    </row>
    <row r="6891" spans="1:5" x14ac:dyDescent="0.3">
      <c r="A6891" s="17" t="str">
        <f>"Q4130"</f>
        <v>Q4130</v>
      </c>
      <c r="B6891" s="5" t="s">
        <v>6896</v>
      </c>
      <c r="C6891" s="17">
        <v>20230101</v>
      </c>
      <c r="D6891" s="17">
        <v>22991231</v>
      </c>
      <c r="E6891" s="25">
        <v>0</v>
      </c>
    </row>
    <row r="6892" spans="1:5" ht="26" x14ac:dyDescent="0.3">
      <c r="A6892" s="17" t="str">
        <f>"Q4132"</f>
        <v>Q4132</v>
      </c>
      <c r="B6892" s="5" t="s">
        <v>6897</v>
      </c>
      <c r="C6892" s="17">
        <v>20230101</v>
      </c>
      <c r="D6892" s="17">
        <v>22991231</v>
      </c>
      <c r="E6892" s="25">
        <v>0</v>
      </c>
    </row>
    <row r="6893" spans="1:5" ht="26" x14ac:dyDescent="0.3">
      <c r="A6893" s="17" t="str">
        <f>"Q4133"</f>
        <v>Q4133</v>
      </c>
      <c r="B6893" s="5" t="s">
        <v>6898</v>
      </c>
      <c r="C6893" s="17">
        <v>20230101</v>
      </c>
      <c r="D6893" s="17">
        <v>22991231</v>
      </c>
      <c r="E6893" s="25">
        <v>0</v>
      </c>
    </row>
    <row r="6894" spans="1:5" x14ac:dyDescent="0.3">
      <c r="A6894" s="17" t="str">
        <f>"Q4134"</f>
        <v>Q4134</v>
      </c>
      <c r="B6894" s="5" t="s">
        <v>6899</v>
      </c>
      <c r="C6894" s="17">
        <v>20230101</v>
      </c>
      <c r="D6894" s="17">
        <v>22991231</v>
      </c>
      <c r="E6894" s="25">
        <v>0</v>
      </c>
    </row>
    <row r="6895" spans="1:5" x14ac:dyDescent="0.3">
      <c r="A6895" s="17" t="str">
        <f>"Q4135"</f>
        <v>Q4135</v>
      </c>
      <c r="B6895" s="5" t="s">
        <v>6900</v>
      </c>
      <c r="C6895" s="17">
        <v>20230101</v>
      </c>
      <c r="D6895" s="17">
        <v>22991231</v>
      </c>
      <c r="E6895" s="25">
        <v>0</v>
      </c>
    </row>
    <row r="6896" spans="1:5" x14ac:dyDescent="0.3">
      <c r="A6896" s="17" t="str">
        <f>"Q4136"</f>
        <v>Q4136</v>
      </c>
      <c r="B6896" s="5" t="s">
        <v>6901</v>
      </c>
      <c r="C6896" s="17">
        <v>20230101</v>
      </c>
      <c r="D6896" s="17">
        <v>22991231</v>
      </c>
      <c r="E6896" s="25">
        <v>0</v>
      </c>
    </row>
    <row r="6897" spans="1:5" ht="26" x14ac:dyDescent="0.3">
      <c r="A6897" s="17" t="str">
        <f>"Q4137"</f>
        <v>Q4137</v>
      </c>
      <c r="B6897" s="5" t="s">
        <v>6902</v>
      </c>
      <c r="C6897" s="17">
        <v>20230101</v>
      </c>
      <c r="D6897" s="17">
        <v>22991231</v>
      </c>
      <c r="E6897" s="25">
        <v>0</v>
      </c>
    </row>
    <row r="6898" spans="1:5" x14ac:dyDescent="0.3">
      <c r="A6898" s="17" t="str">
        <f>"Q4138"</f>
        <v>Q4138</v>
      </c>
      <c r="B6898" s="5" t="s">
        <v>6903</v>
      </c>
      <c r="C6898" s="17">
        <v>20230101</v>
      </c>
      <c r="D6898" s="17">
        <v>22991231</v>
      </c>
      <c r="E6898" s="25">
        <v>0</v>
      </c>
    </row>
    <row r="6899" spans="1:5" x14ac:dyDescent="0.3">
      <c r="A6899" s="17" t="str">
        <f>"Q4139"</f>
        <v>Q4139</v>
      </c>
      <c r="B6899" s="5" t="s">
        <v>6904</v>
      </c>
      <c r="C6899" s="17">
        <v>20230101</v>
      </c>
      <c r="D6899" s="17">
        <v>22991231</v>
      </c>
      <c r="E6899" s="25">
        <v>0</v>
      </c>
    </row>
    <row r="6900" spans="1:5" x14ac:dyDescent="0.3">
      <c r="A6900" s="17" t="str">
        <f>"Q4140"</f>
        <v>Q4140</v>
      </c>
      <c r="B6900" s="5" t="s">
        <v>6905</v>
      </c>
      <c r="C6900" s="17">
        <v>20230101</v>
      </c>
      <c r="D6900" s="17">
        <v>22991231</v>
      </c>
      <c r="E6900" s="25">
        <v>0</v>
      </c>
    </row>
    <row r="6901" spans="1:5" x14ac:dyDescent="0.3">
      <c r="A6901" s="17" t="str">
        <f>"Q4141"</f>
        <v>Q4141</v>
      </c>
      <c r="B6901" s="5" t="s">
        <v>6906</v>
      </c>
      <c r="C6901" s="17">
        <v>20230101</v>
      </c>
      <c r="D6901" s="17">
        <v>22991231</v>
      </c>
      <c r="E6901" s="25">
        <v>0</v>
      </c>
    </row>
    <row r="6902" spans="1:5" ht="26" x14ac:dyDescent="0.3">
      <c r="A6902" s="17" t="str">
        <f>"Q4142"</f>
        <v>Q4142</v>
      </c>
      <c r="B6902" s="5" t="s">
        <v>6907</v>
      </c>
      <c r="C6902" s="17">
        <v>20230101</v>
      </c>
      <c r="D6902" s="17">
        <v>22991231</v>
      </c>
      <c r="E6902" s="25">
        <v>0</v>
      </c>
    </row>
    <row r="6903" spans="1:5" x14ac:dyDescent="0.3">
      <c r="A6903" s="17" t="str">
        <f>"Q4143"</f>
        <v>Q4143</v>
      </c>
      <c r="B6903" s="5" t="s">
        <v>6908</v>
      </c>
      <c r="C6903" s="17">
        <v>20230101</v>
      </c>
      <c r="D6903" s="17">
        <v>22991231</v>
      </c>
      <c r="E6903" s="25">
        <v>0</v>
      </c>
    </row>
    <row r="6904" spans="1:5" x14ac:dyDescent="0.3">
      <c r="A6904" s="17" t="str">
        <f>"Q4145"</f>
        <v>Q4145</v>
      </c>
      <c r="B6904" s="5" t="s">
        <v>6909</v>
      </c>
      <c r="C6904" s="17">
        <v>20230101</v>
      </c>
      <c r="D6904" s="17">
        <v>22991231</v>
      </c>
      <c r="E6904" s="25">
        <v>0</v>
      </c>
    </row>
    <row r="6905" spans="1:5" x14ac:dyDescent="0.3">
      <c r="A6905" s="17" t="str">
        <f>"Q4146"</f>
        <v>Q4146</v>
      </c>
      <c r="B6905" s="5" t="s">
        <v>6910</v>
      </c>
      <c r="C6905" s="17">
        <v>20230101</v>
      </c>
      <c r="D6905" s="17">
        <v>22991231</v>
      </c>
      <c r="E6905" s="25">
        <v>0</v>
      </c>
    </row>
    <row r="6906" spans="1:5" ht="26" x14ac:dyDescent="0.3">
      <c r="A6906" s="17" t="str">
        <f>"Q4147"</f>
        <v>Q4147</v>
      </c>
      <c r="B6906" s="5" t="s">
        <v>6911</v>
      </c>
      <c r="C6906" s="17">
        <v>20230101</v>
      </c>
      <c r="D6906" s="17">
        <v>22991231</v>
      </c>
      <c r="E6906" s="25">
        <v>0</v>
      </c>
    </row>
    <row r="6907" spans="1:5" ht="26" x14ac:dyDescent="0.3">
      <c r="A6907" s="17" t="str">
        <f>"Q4148"</f>
        <v>Q4148</v>
      </c>
      <c r="B6907" s="5" t="s">
        <v>6912</v>
      </c>
      <c r="C6907" s="17">
        <v>20230101</v>
      </c>
      <c r="D6907" s="17">
        <v>22991231</v>
      </c>
      <c r="E6907" s="25">
        <v>0</v>
      </c>
    </row>
    <row r="6908" spans="1:5" x14ac:dyDescent="0.3">
      <c r="A6908" s="17" t="str">
        <f>"Q4149"</f>
        <v>Q4149</v>
      </c>
      <c r="B6908" s="5" t="s">
        <v>6913</v>
      </c>
      <c r="C6908" s="17">
        <v>20230101</v>
      </c>
      <c r="D6908" s="17">
        <v>22991231</v>
      </c>
      <c r="E6908" s="25">
        <v>0</v>
      </c>
    </row>
    <row r="6909" spans="1:5" x14ac:dyDescent="0.3">
      <c r="A6909" s="17" t="str">
        <f>"Q4150"</f>
        <v>Q4150</v>
      </c>
      <c r="B6909" s="5" t="s">
        <v>6914</v>
      </c>
      <c r="C6909" s="17">
        <v>20230101</v>
      </c>
      <c r="D6909" s="17">
        <v>22991231</v>
      </c>
      <c r="E6909" s="25">
        <v>0</v>
      </c>
    </row>
    <row r="6910" spans="1:5" x14ac:dyDescent="0.3">
      <c r="A6910" s="17" t="str">
        <f>"Q4151"</f>
        <v>Q4151</v>
      </c>
      <c r="B6910" s="5" t="s">
        <v>6915</v>
      </c>
      <c r="C6910" s="17">
        <v>20230101</v>
      </c>
      <c r="D6910" s="17">
        <v>22991231</v>
      </c>
      <c r="E6910" s="25">
        <v>0</v>
      </c>
    </row>
    <row r="6911" spans="1:5" x14ac:dyDescent="0.3">
      <c r="A6911" s="17" t="str">
        <f>"Q4152"</f>
        <v>Q4152</v>
      </c>
      <c r="B6911" s="5" t="s">
        <v>6916</v>
      </c>
      <c r="C6911" s="17">
        <v>20230101</v>
      </c>
      <c r="D6911" s="17">
        <v>22991231</v>
      </c>
      <c r="E6911" s="25">
        <v>0</v>
      </c>
    </row>
    <row r="6912" spans="1:5" x14ac:dyDescent="0.3">
      <c r="A6912" s="17" t="str">
        <f>"Q4153"</f>
        <v>Q4153</v>
      </c>
      <c r="B6912" s="5" t="s">
        <v>6917</v>
      </c>
      <c r="C6912" s="17">
        <v>20230101</v>
      </c>
      <c r="D6912" s="17">
        <v>22991231</v>
      </c>
      <c r="E6912" s="25">
        <v>0</v>
      </c>
    </row>
    <row r="6913" spans="1:5" x14ac:dyDescent="0.3">
      <c r="A6913" s="17" t="str">
        <f>"Q4154"</f>
        <v>Q4154</v>
      </c>
      <c r="B6913" s="5" t="s">
        <v>6918</v>
      </c>
      <c r="C6913" s="17">
        <v>20230101</v>
      </c>
      <c r="D6913" s="17">
        <v>22991231</v>
      </c>
      <c r="E6913" s="25">
        <v>0</v>
      </c>
    </row>
    <row r="6914" spans="1:5" x14ac:dyDescent="0.3">
      <c r="A6914" s="17" t="str">
        <f>"Q4155"</f>
        <v>Q4155</v>
      </c>
      <c r="B6914" s="5" t="s">
        <v>6919</v>
      </c>
      <c r="C6914" s="17">
        <v>20230101</v>
      </c>
      <c r="D6914" s="17">
        <v>22991231</v>
      </c>
      <c r="E6914" s="25">
        <v>0</v>
      </c>
    </row>
    <row r="6915" spans="1:5" x14ac:dyDescent="0.3">
      <c r="A6915" s="17" t="str">
        <f>"Q4156"</f>
        <v>Q4156</v>
      </c>
      <c r="B6915" s="5" t="s">
        <v>6920</v>
      </c>
      <c r="C6915" s="17">
        <v>20230101</v>
      </c>
      <c r="D6915" s="17">
        <v>22991231</v>
      </c>
      <c r="E6915" s="25">
        <v>0</v>
      </c>
    </row>
    <row r="6916" spans="1:5" x14ac:dyDescent="0.3">
      <c r="A6916" s="17" t="str">
        <f>"Q4157"</f>
        <v>Q4157</v>
      </c>
      <c r="B6916" s="5" t="s">
        <v>6921</v>
      </c>
      <c r="C6916" s="17">
        <v>20230101</v>
      </c>
      <c r="D6916" s="17">
        <v>22991231</v>
      </c>
      <c r="E6916" s="25">
        <v>0</v>
      </c>
    </row>
    <row r="6917" spans="1:5" x14ac:dyDescent="0.3">
      <c r="A6917" s="17" t="str">
        <f>"Q4158"</f>
        <v>Q4158</v>
      </c>
      <c r="B6917" s="5" t="s">
        <v>6922</v>
      </c>
      <c r="C6917" s="17">
        <v>20230101</v>
      </c>
      <c r="D6917" s="17">
        <v>22991231</v>
      </c>
      <c r="E6917" s="25">
        <v>0</v>
      </c>
    </row>
    <row r="6918" spans="1:5" x14ac:dyDescent="0.3">
      <c r="A6918" s="17" t="str">
        <f>"Q4159"</f>
        <v>Q4159</v>
      </c>
      <c r="B6918" s="5" t="s">
        <v>6923</v>
      </c>
      <c r="C6918" s="17">
        <v>20230101</v>
      </c>
      <c r="D6918" s="17">
        <v>22991231</v>
      </c>
      <c r="E6918" s="25">
        <v>0</v>
      </c>
    </row>
    <row r="6919" spans="1:5" x14ac:dyDescent="0.3">
      <c r="A6919" s="17" t="str">
        <f>"Q4160"</f>
        <v>Q4160</v>
      </c>
      <c r="B6919" s="5" t="s">
        <v>6924</v>
      </c>
      <c r="C6919" s="17">
        <v>20230101</v>
      </c>
      <c r="D6919" s="17">
        <v>22991231</v>
      </c>
      <c r="E6919" s="25">
        <v>0</v>
      </c>
    </row>
    <row r="6920" spans="1:5" ht="26" x14ac:dyDescent="0.3">
      <c r="A6920" s="17" t="str">
        <f>"Q4161"</f>
        <v>Q4161</v>
      </c>
      <c r="B6920" s="5" t="s">
        <v>6925</v>
      </c>
      <c r="C6920" s="17">
        <v>20230101</v>
      </c>
      <c r="D6920" s="17">
        <v>22991231</v>
      </c>
      <c r="E6920" s="25">
        <v>0</v>
      </c>
    </row>
    <row r="6921" spans="1:5" x14ac:dyDescent="0.3">
      <c r="A6921" s="17" t="str">
        <f>"Q4162"</f>
        <v>Q4162</v>
      </c>
      <c r="B6921" s="5" t="s">
        <v>6926</v>
      </c>
      <c r="C6921" s="17">
        <v>20230101</v>
      </c>
      <c r="D6921" s="17">
        <v>22991231</v>
      </c>
      <c r="E6921" s="25">
        <v>0</v>
      </c>
    </row>
    <row r="6922" spans="1:5" x14ac:dyDescent="0.3">
      <c r="A6922" s="17" t="str">
        <f>"Q4163"</f>
        <v>Q4163</v>
      </c>
      <c r="B6922" s="5" t="s">
        <v>6927</v>
      </c>
      <c r="C6922" s="17">
        <v>20230101</v>
      </c>
      <c r="D6922" s="17">
        <v>22991231</v>
      </c>
      <c r="E6922" s="25">
        <v>0</v>
      </c>
    </row>
    <row r="6923" spans="1:5" x14ac:dyDescent="0.3">
      <c r="A6923" s="17" t="str">
        <f>"Q4164"</f>
        <v>Q4164</v>
      </c>
      <c r="B6923" s="5" t="s">
        <v>6928</v>
      </c>
      <c r="C6923" s="17">
        <v>20230101</v>
      </c>
      <c r="D6923" s="17">
        <v>22991231</v>
      </c>
      <c r="E6923" s="25">
        <v>0</v>
      </c>
    </row>
    <row r="6924" spans="1:5" x14ac:dyDescent="0.3">
      <c r="A6924" s="17" t="str">
        <f>"Q4165"</f>
        <v>Q4165</v>
      </c>
      <c r="B6924" s="5" t="s">
        <v>6929</v>
      </c>
      <c r="C6924" s="17">
        <v>20230101</v>
      </c>
      <c r="D6924" s="17">
        <v>22991231</v>
      </c>
      <c r="E6924" s="25">
        <v>0</v>
      </c>
    </row>
    <row r="6925" spans="1:5" x14ac:dyDescent="0.3">
      <c r="A6925" s="17" t="str">
        <f>"Q4166"</f>
        <v>Q4166</v>
      </c>
      <c r="B6925" s="5" t="s">
        <v>6930</v>
      </c>
      <c r="C6925" s="17">
        <v>20230101</v>
      </c>
      <c r="D6925" s="17">
        <v>22991231</v>
      </c>
      <c r="E6925" s="25">
        <v>0</v>
      </c>
    </row>
    <row r="6926" spans="1:5" x14ac:dyDescent="0.3">
      <c r="A6926" s="17" t="str">
        <f>"Q4167"</f>
        <v>Q4167</v>
      </c>
      <c r="B6926" s="5" t="s">
        <v>6931</v>
      </c>
      <c r="C6926" s="17">
        <v>20230101</v>
      </c>
      <c r="D6926" s="17">
        <v>22991231</v>
      </c>
      <c r="E6926" s="25">
        <v>0</v>
      </c>
    </row>
    <row r="6927" spans="1:5" x14ac:dyDescent="0.3">
      <c r="A6927" s="17" t="str">
        <f>"Q4168"</f>
        <v>Q4168</v>
      </c>
      <c r="B6927" s="5" t="s">
        <v>6932</v>
      </c>
      <c r="C6927" s="17">
        <v>20230101</v>
      </c>
      <c r="D6927" s="17">
        <v>22991231</v>
      </c>
      <c r="E6927" s="25">
        <v>0</v>
      </c>
    </row>
    <row r="6928" spans="1:5" x14ac:dyDescent="0.3">
      <c r="A6928" s="17" t="str">
        <f>"Q4169"</f>
        <v>Q4169</v>
      </c>
      <c r="B6928" s="5" t="s">
        <v>6933</v>
      </c>
      <c r="C6928" s="17">
        <v>20230101</v>
      </c>
      <c r="D6928" s="17">
        <v>22991231</v>
      </c>
      <c r="E6928" s="25">
        <v>0</v>
      </c>
    </row>
    <row r="6929" spans="1:5" x14ac:dyDescent="0.3">
      <c r="A6929" s="17" t="str">
        <f>"Q4170"</f>
        <v>Q4170</v>
      </c>
      <c r="B6929" s="5" t="s">
        <v>6934</v>
      </c>
      <c r="C6929" s="17">
        <v>20230101</v>
      </c>
      <c r="D6929" s="17">
        <v>22991231</v>
      </c>
      <c r="E6929" s="25">
        <v>0</v>
      </c>
    </row>
    <row r="6930" spans="1:5" x14ac:dyDescent="0.3">
      <c r="A6930" s="17" t="str">
        <f>"Q4171"</f>
        <v>Q4171</v>
      </c>
      <c r="B6930" s="5" t="s">
        <v>6935</v>
      </c>
      <c r="C6930" s="17">
        <v>20230101</v>
      </c>
      <c r="D6930" s="17">
        <v>22991231</v>
      </c>
      <c r="E6930" s="25">
        <v>0</v>
      </c>
    </row>
    <row r="6931" spans="1:5" ht="26" x14ac:dyDescent="0.3">
      <c r="A6931" s="17" t="str">
        <f>"Q4173"</f>
        <v>Q4173</v>
      </c>
      <c r="B6931" s="5" t="s">
        <v>6936</v>
      </c>
      <c r="C6931" s="17">
        <v>20230101</v>
      </c>
      <c r="D6931" s="17">
        <v>22991231</v>
      </c>
      <c r="E6931" s="25">
        <v>0</v>
      </c>
    </row>
    <row r="6932" spans="1:5" x14ac:dyDescent="0.3">
      <c r="A6932" s="17" t="str">
        <f>"Q4174"</f>
        <v>Q4174</v>
      </c>
      <c r="B6932" s="5" t="s">
        <v>6937</v>
      </c>
      <c r="C6932" s="17">
        <v>20230101</v>
      </c>
      <c r="D6932" s="17">
        <v>22991231</v>
      </c>
      <c r="E6932" s="25">
        <v>0</v>
      </c>
    </row>
    <row r="6933" spans="1:5" x14ac:dyDescent="0.3">
      <c r="A6933" s="17" t="str">
        <f>"Q4175"</f>
        <v>Q4175</v>
      </c>
      <c r="B6933" s="5" t="s">
        <v>6938</v>
      </c>
      <c r="C6933" s="17">
        <v>20230101</v>
      </c>
      <c r="D6933" s="17">
        <v>22991231</v>
      </c>
      <c r="E6933" s="25">
        <v>0</v>
      </c>
    </row>
    <row r="6934" spans="1:5" x14ac:dyDescent="0.3">
      <c r="A6934" s="17" t="str">
        <f>"Q4176"</f>
        <v>Q4176</v>
      </c>
      <c r="B6934" s="5" t="s">
        <v>6939</v>
      </c>
      <c r="C6934" s="17">
        <v>20230101</v>
      </c>
      <c r="D6934" s="17">
        <v>22991231</v>
      </c>
      <c r="E6934" s="25">
        <v>0</v>
      </c>
    </row>
    <row r="6935" spans="1:5" x14ac:dyDescent="0.3">
      <c r="A6935" s="17" t="str">
        <f>"Q4177"</f>
        <v>Q4177</v>
      </c>
      <c r="B6935" s="5" t="s">
        <v>6940</v>
      </c>
      <c r="C6935" s="17">
        <v>20230101</v>
      </c>
      <c r="D6935" s="17">
        <v>22991231</v>
      </c>
      <c r="E6935" s="25">
        <v>0</v>
      </c>
    </row>
    <row r="6936" spans="1:5" x14ac:dyDescent="0.3">
      <c r="A6936" s="17" t="str">
        <f>"Q4178"</f>
        <v>Q4178</v>
      </c>
      <c r="B6936" s="5" t="s">
        <v>6941</v>
      </c>
      <c r="C6936" s="17">
        <v>20230101</v>
      </c>
      <c r="D6936" s="17">
        <v>22991231</v>
      </c>
      <c r="E6936" s="25">
        <v>0</v>
      </c>
    </row>
    <row r="6937" spans="1:5" x14ac:dyDescent="0.3">
      <c r="A6937" s="17" t="str">
        <f>"Q4179"</f>
        <v>Q4179</v>
      </c>
      <c r="B6937" s="5" t="s">
        <v>6942</v>
      </c>
      <c r="C6937" s="17">
        <v>20230101</v>
      </c>
      <c r="D6937" s="17">
        <v>22991231</v>
      </c>
      <c r="E6937" s="25">
        <v>0</v>
      </c>
    </row>
    <row r="6938" spans="1:5" x14ac:dyDescent="0.3">
      <c r="A6938" s="17" t="str">
        <f>"Q4180"</f>
        <v>Q4180</v>
      </c>
      <c r="B6938" s="5" t="s">
        <v>6943</v>
      </c>
      <c r="C6938" s="17">
        <v>20230101</v>
      </c>
      <c r="D6938" s="17">
        <v>22991231</v>
      </c>
      <c r="E6938" s="25">
        <v>0</v>
      </c>
    </row>
    <row r="6939" spans="1:5" x14ac:dyDescent="0.3">
      <c r="A6939" s="17" t="str">
        <f>"Q4181"</f>
        <v>Q4181</v>
      </c>
      <c r="B6939" s="5" t="s">
        <v>6944</v>
      </c>
      <c r="C6939" s="17">
        <v>20230101</v>
      </c>
      <c r="D6939" s="17">
        <v>22991231</v>
      </c>
      <c r="E6939" s="25">
        <v>0</v>
      </c>
    </row>
    <row r="6940" spans="1:5" x14ac:dyDescent="0.3">
      <c r="A6940" s="17" t="str">
        <f>"Q4182"</f>
        <v>Q4182</v>
      </c>
      <c r="B6940" s="5" t="s">
        <v>6945</v>
      </c>
      <c r="C6940" s="17">
        <v>20230101</v>
      </c>
      <c r="D6940" s="17">
        <v>22991231</v>
      </c>
      <c r="E6940" s="25">
        <v>0</v>
      </c>
    </row>
    <row r="6941" spans="1:5" x14ac:dyDescent="0.3">
      <c r="A6941" s="17" t="str">
        <f>"Q4183"</f>
        <v>Q4183</v>
      </c>
      <c r="B6941" s="5" t="s">
        <v>6946</v>
      </c>
      <c r="C6941" s="17">
        <v>20230101</v>
      </c>
      <c r="D6941" s="17">
        <v>22991231</v>
      </c>
      <c r="E6941" s="25">
        <v>0</v>
      </c>
    </row>
    <row r="6942" spans="1:5" x14ac:dyDescent="0.3">
      <c r="A6942" s="17" t="str">
        <f>"Q4184"</f>
        <v>Q4184</v>
      </c>
      <c r="B6942" s="5" t="s">
        <v>6947</v>
      </c>
      <c r="C6942" s="17">
        <v>20230101</v>
      </c>
      <c r="D6942" s="17">
        <v>22991231</v>
      </c>
      <c r="E6942" s="25">
        <v>0</v>
      </c>
    </row>
    <row r="6943" spans="1:5" ht="26" x14ac:dyDescent="0.3">
      <c r="A6943" s="17" t="str">
        <f>"Q4185"</f>
        <v>Q4185</v>
      </c>
      <c r="B6943" s="5" t="s">
        <v>6948</v>
      </c>
      <c r="C6943" s="17">
        <v>20230101</v>
      </c>
      <c r="D6943" s="17">
        <v>22991231</v>
      </c>
      <c r="E6943" s="25">
        <v>0</v>
      </c>
    </row>
    <row r="6944" spans="1:5" x14ac:dyDescent="0.3">
      <c r="A6944" s="17" t="str">
        <f>"Q4186"</f>
        <v>Q4186</v>
      </c>
      <c r="B6944" s="5" t="s">
        <v>6949</v>
      </c>
      <c r="C6944" s="17">
        <v>20230101</v>
      </c>
      <c r="D6944" s="17">
        <v>22991231</v>
      </c>
      <c r="E6944" s="25">
        <v>0</v>
      </c>
    </row>
    <row r="6945" spans="1:5" x14ac:dyDescent="0.3">
      <c r="A6945" s="17" t="str">
        <f>"Q4187"</f>
        <v>Q4187</v>
      </c>
      <c r="B6945" s="5" t="s">
        <v>6950</v>
      </c>
      <c r="C6945" s="17">
        <v>20230101</v>
      </c>
      <c r="D6945" s="17">
        <v>22991231</v>
      </c>
      <c r="E6945" s="25">
        <v>0</v>
      </c>
    </row>
    <row r="6946" spans="1:5" x14ac:dyDescent="0.3">
      <c r="A6946" s="17" t="str">
        <f>"Q4188"</f>
        <v>Q4188</v>
      </c>
      <c r="B6946" s="5" t="s">
        <v>6951</v>
      </c>
      <c r="C6946" s="17">
        <v>20230101</v>
      </c>
      <c r="D6946" s="17">
        <v>22991231</v>
      </c>
      <c r="E6946" s="25">
        <v>0</v>
      </c>
    </row>
    <row r="6947" spans="1:5" x14ac:dyDescent="0.3">
      <c r="A6947" s="17" t="str">
        <f>"Q4189"</f>
        <v>Q4189</v>
      </c>
      <c r="B6947" s="5" t="s">
        <v>6952</v>
      </c>
      <c r="C6947" s="17">
        <v>20230101</v>
      </c>
      <c r="D6947" s="17">
        <v>22991231</v>
      </c>
      <c r="E6947" s="25">
        <v>0</v>
      </c>
    </row>
    <row r="6948" spans="1:5" x14ac:dyDescent="0.3">
      <c r="A6948" s="17" t="str">
        <f>"Q4190"</f>
        <v>Q4190</v>
      </c>
      <c r="B6948" s="5" t="s">
        <v>6953</v>
      </c>
      <c r="C6948" s="17">
        <v>20230101</v>
      </c>
      <c r="D6948" s="17">
        <v>22991231</v>
      </c>
      <c r="E6948" s="25">
        <v>0</v>
      </c>
    </row>
    <row r="6949" spans="1:5" x14ac:dyDescent="0.3">
      <c r="A6949" s="17" t="str">
        <f>"Q4191"</f>
        <v>Q4191</v>
      </c>
      <c r="B6949" s="5" t="s">
        <v>6954</v>
      </c>
      <c r="C6949" s="17">
        <v>20230101</v>
      </c>
      <c r="D6949" s="17">
        <v>22991231</v>
      </c>
      <c r="E6949" s="25">
        <v>0</v>
      </c>
    </row>
    <row r="6950" spans="1:5" x14ac:dyDescent="0.3">
      <c r="A6950" s="17" t="str">
        <f>"Q4192"</f>
        <v>Q4192</v>
      </c>
      <c r="B6950" s="5" t="s">
        <v>6955</v>
      </c>
      <c r="C6950" s="17">
        <v>20230101</v>
      </c>
      <c r="D6950" s="17">
        <v>22991231</v>
      </c>
      <c r="E6950" s="25">
        <v>0</v>
      </c>
    </row>
    <row r="6951" spans="1:5" x14ac:dyDescent="0.3">
      <c r="A6951" s="17" t="str">
        <f>"Q4193"</f>
        <v>Q4193</v>
      </c>
      <c r="B6951" s="5" t="s">
        <v>6956</v>
      </c>
      <c r="C6951" s="17">
        <v>20230101</v>
      </c>
      <c r="D6951" s="17">
        <v>22991231</v>
      </c>
      <c r="E6951" s="25">
        <v>0</v>
      </c>
    </row>
    <row r="6952" spans="1:5" x14ac:dyDescent="0.3">
      <c r="A6952" s="17" t="str">
        <f>"Q4194"</f>
        <v>Q4194</v>
      </c>
      <c r="B6952" s="5" t="s">
        <v>6957</v>
      </c>
      <c r="C6952" s="17">
        <v>20230101</v>
      </c>
      <c r="D6952" s="17">
        <v>22991231</v>
      </c>
      <c r="E6952" s="25">
        <v>0</v>
      </c>
    </row>
    <row r="6953" spans="1:5" x14ac:dyDescent="0.3">
      <c r="A6953" s="17" t="str">
        <f>"Q4195"</f>
        <v>Q4195</v>
      </c>
      <c r="B6953" s="5" t="s">
        <v>6958</v>
      </c>
      <c r="C6953" s="17">
        <v>20230101</v>
      </c>
      <c r="D6953" s="17">
        <v>22991231</v>
      </c>
      <c r="E6953" s="25">
        <v>0</v>
      </c>
    </row>
    <row r="6954" spans="1:5" x14ac:dyDescent="0.3">
      <c r="A6954" s="17" t="str">
        <f>"Q4196"</f>
        <v>Q4196</v>
      </c>
      <c r="B6954" s="5" t="s">
        <v>6959</v>
      </c>
      <c r="C6954" s="17">
        <v>20230101</v>
      </c>
      <c r="D6954" s="17">
        <v>22991231</v>
      </c>
      <c r="E6954" s="25">
        <v>0</v>
      </c>
    </row>
    <row r="6955" spans="1:5" x14ac:dyDescent="0.3">
      <c r="A6955" s="17" t="str">
        <f>"Q4197"</f>
        <v>Q4197</v>
      </c>
      <c r="B6955" s="5" t="s">
        <v>6960</v>
      </c>
      <c r="C6955" s="17">
        <v>20230101</v>
      </c>
      <c r="D6955" s="17">
        <v>22991231</v>
      </c>
      <c r="E6955" s="25">
        <v>0</v>
      </c>
    </row>
    <row r="6956" spans="1:5" ht="26" x14ac:dyDescent="0.3">
      <c r="A6956" s="17" t="str">
        <f>"Q4198"</f>
        <v>Q4198</v>
      </c>
      <c r="B6956" s="5" t="s">
        <v>6961</v>
      </c>
      <c r="C6956" s="17">
        <v>20230101</v>
      </c>
      <c r="D6956" s="17">
        <v>22991231</v>
      </c>
      <c r="E6956" s="25">
        <v>0</v>
      </c>
    </row>
    <row r="6957" spans="1:5" x14ac:dyDescent="0.3">
      <c r="A6957" s="17" t="str">
        <f>"Q4199"</f>
        <v>Q4199</v>
      </c>
      <c r="B6957" s="5" t="s">
        <v>6962</v>
      </c>
      <c r="C6957" s="17">
        <v>20230101</v>
      </c>
      <c r="D6957" s="17">
        <v>22991231</v>
      </c>
      <c r="E6957" s="25">
        <v>0</v>
      </c>
    </row>
    <row r="6958" spans="1:5" x14ac:dyDescent="0.3">
      <c r="A6958" s="17" t="str">
        <f>"Q4200"</f>
        <v>Q4200</v>
      </c>
      <c r="B6958" s="5" t="s">
        <v>6963</v>
      </c>
      <c r="C6958" s="17">
        <v>20230101</v>
      </c>
      <c r="D6958" s="17">
        <v>22991231</v>
      </c>
      <c r="E6958" s="25">
        <v>0</v>
      </c>
    </row>
    <row r="6959" spans="1:5" x14ac:dyDescent="0.3">
      <c r="A6959" s="17" t="str">
        <f>"Q4201"</f>
        <v>Q4201</v>
      </c>
      <c r="B6959" s="5" t="s">
        <v>6964</v>
      </c>
      <c r="C6959" s="17">
        <v>20230101</v>
      </c>
      <c r="D6959" s="17">
        <v>22991231</v>
      </c>
      <c r="E6959" s="25">
        <v>0</v>
      </c>
    </row>
    <row r="6960" spans="1:5" x14ac:dyDescent="0.3">
      <c r="A6960" s="17" t="str">
        <f>"Q4202"</f>
        <v>Q4202</v>
      </c>
      <c r="B6960" s="5" t="s">
        <v>6965</v>
      </c>
      <c r="C6960" s="17">
        <v>20230101</v>
      </c>
      <c r="D6960" s="17">
        <v>22991231</v>
      </c>
      <c r="E6960" s="25">
        <v>0</v>
      </c>
    </row>
    <row r="6961" spans="1:5" x14ac:dyDescent="0.3">
      <c r="A6961" s="17" t="str">
        <f>"Q4203"</f>
        <v>Q4203</v>
      </c>
      <c r="B6961" s="5" t="s">
        <v>6966</v>
      </c>
      <c r="C6961" s="17">
        <v>20230101</v>
      </c>
      <c r="D6961" s="17">
        <v>22991231</v>
      </c>
      <c r="E6961" s="25">
        <v>0</v>
      </c>
    </row>
    <row r="6962" spans="1:5" x14ac:dyDescent="0.3">
      <c r="A6962" s="17" t="str">
        <f>"Q4204"</f>
        <v>Q4204</v>
      </c>
      <c r="B6962" s="5" t="s">
        <v>6967</v>
      </c>
      <c r="C6962" s="17">
        <v>20230101</v>
      </c>
      <c r="D6962" s="17">
        <v>22991231</v>
      </c>
      <c r="E6962" s="25">
        <v>0</v>
      </c>
    </row>
    <row r="6963" spans="1:5" ht="26" x14ac:dyDescent="0.3">
      <c r="A6963" s="17" t="str">
        <f>"Q4205"</f>
        <v>Q4205</v>
      </c>
      <c r="B6963" s="5" t="s">
        <v>6968</v>
      </c>
      <c r="C6963" s="17">
        <v>20230101</v>
      </c>
      <c r="D6963" s="17">
        <v>22991231</v>
      </c>
      <c r="E6963" s="25">
        <v>0</v>
      </c>
    </row>
    <row r="6964" spans="1:5" x14ac:dyDescent="0.3">
      <c r="A6964" s="17" t="str">
        <f>"Q4206"</f>
        <v>Q4206</v>
      </c>
      <c r="B6964" s="5" t="s">
        <v>6969</v>
      </c>
      <c r="C6964" s="17">
        <v>20230101</v>
      </c>
      <c r="D6964" s="17">
        <v>22991231</v>
      </c>
      <c r="E6964" s="25">
        <v>0</v>
      </c>
    </row>
    <row r="6965" spans="1:5" x14ac:dyDescent="0.3">
      <c r="A6965" s="17" t="str">
        <f>"Q4208"</f>
        <v>Q4208</v>
      </c>
      <c r="B6965" s="5" t="s">
        <v>6970</v>
      </c>
      <c r="C6965" s="17">
        <v>20230101</v>
      </c>
      <c r="D6965" s="17">
        <v>22991231</v>
      </c>
      <c r="E6965" s="25">
        <v>0</v>
      </c>
    </row>
    <row r="6966" spans="1:5" x14ac:dyDescent="0.3">
      <c r="A6966" s="17" t="str">
        <f>"Q4209"</f>
        <v>Q4209</v>
      </c>
      <c r="B6966" s="5" t="s">
        <v>6971</v>
      </c>
      <c r="C6966" s="17">
        <v>20230101</v>
      </c>
      <c r="D6966" s="17">
        <v>22991231</v>
      </c>
      <c r="E6966" s="25">
        <v>0</v>
      </c>
    </row>
    <row r="6967" spans="1:5" ht="26" x14ac:dyDescent="0.3">
      <c r="A6967" s="17" t="s">
        <v>22</v>
      </c>
      <c r="B6967" s="5" t="s">
        <v>6972</v>
      </c>
      <c r="C6967" s="17">
        <v>20230101</v>
      </c>
      <c r="D6967" s="17">
        <v>20240630</v>
      </c>
      <c r="E6967" s="25">
        <v>0</v>
      </c>
    </row>
    <row r="6968" spans="1:5" ht="26" x14ac:dyDescent="0.3">
      <c r="A6968" s="17" t="str">
        <f>"Q4211"</f>
        <v>Q4211</v>
      </c>
      <c r="B6968" s="5" t="s">
        <v>6973</v>
      </c>
      <c r="C6968" s="17">
        <v>20230101</v>
      </c>
      <c r="D6968" s="17">
        <v>22991231</v>
      </c>
      <c r="E6968" s="25">
        <v>0</v>
      </c>
    </row>
    <row r="6969" spans="1:5" x14ac:dyDescent="0.3">
      <c r="A6969" s="17" t="str">
        <f>"Q4212"</f>
        <v>Q4212</v>
      </c>
      <c r="B6969" s="5" t="s">
        <v>6974</v>
      </c>
      <c r="C6969" s="17">
        <v>20240101</v>
      </c>
      <c r="D6969" s="17">
        <v>22991231</v>
      </c>
      <c r="E6969" s="25">
        <v>0</v>
      </c>
    </row>
    <row r="6970" spans="1:5" x14ac:dyDescent="0.3">
      <c r="A6970" s="17" t="str">
        <f>"Q4213"</f>
        <v>Q4213</v>
      </c>
      <c r="B6970" s="5" t="s">
        <v>6975</v>
      </c>
      <c r="C6970" s="17">
        <v>20240101</v>
      </c>
      <c r="D6970" s="17">
        <v>22991231</v>
      </c>
      <c r="E6970" s="25">
        <v>0</v>
      </c>
    </row>
    <row r="6971" spans="1:5" x14ac:dyDescent="0.3">
      <c r="A6971" s="17" t="str">
        <f>"Q4214"</f>
        <v>Q4214</v>
      </c>
      <c r="B6971" s="5" t="s">
        <v>6976</v>
      </c>
      <c r="C6971" s="17">
        <v>20230101</v>
      </c>
      <c r="D6971" s="17">
        <v>22991231</v>
      </c>
      <c r="E6971" s="25">
        <v>0</v>
      </c>
    </row>
    <row r="6972" spans="1:5" x14ac:dyDescent="0.3">
      <c r="A6972" s="17" t="str">
        <f>"Q4215"</f>
        <v>Q4215</v>
      </c>
      <c r="B6972" s="5" t="s">
        <v>6977</v>
      </c>
      <c r="C6972" s="17">
        <v>20240101</v>
      </c>
      <c r="D6972" s="17">
        <v>22991231</v>
      </c>
      <c r="E6972" s="25">
        <v>0</v>
      </c>
    </row>
    <row r="6973" spans="1:5" x14ac:dyDescent="0.3">
      <c r="A6973" s="17" t="str">
        <f>"Q4216"</f>
        <v>Q4216</v>
      </c>
      <c r="B6973" s="5" t="s">
        <v>6978</v>
      </c>
      <c r="C6973" s="17">
        <v>20230101</v>
      </c>
      <c r="D6973" s="17">
        <v>22991231</v>
      </c>
      <c r="E6973" s="25">
        <v>0</v>
      </c>
    </row>
    <row r="6974" spans="1:5" ht="39" x14ac:dyDescent="0.3">
      <c r="A6974" s="17" t="str">
        <f>"Q4217"</f>
        <v>Q4217</v>
      </c>
      <c r="B6974" s="5" t="s">
        <v>6979</v>
      </c>
      <c r="C6974" s="17">
        <v>20230101</v>
      </c>
      <c r="D6974" s="17">
        <v>22991231</v>
      </c>
      <c r="E6974" s="25">
        <v>0</v>
      </c>
    </row>
    <row r="6975" spans="1:5" x14ac:dyDescent="0.3">
      <c r="A6975" s="17" t="str">
        <f>"Q4218"</f>
        <v>Q4218</v>
      </c>
      <c r="B6975" s="5" t="s">
        <v>6980</v>
      </c>
      <c r="C6975" s="17">
        <v>20230101</v>
      </c>
      <c r="D6975" s="17">
        <v>22991231</v>
      </c>
      <c r="E6975" s="25">
        <v>0</v>
      </c>
    </row>
    <row r="6976" spans="1:5" x14ac:dyDescent="0.3">
      <c r="A6976" s="17" t="str">
        <f>"Q4219"</f>
        <v>Q4219</v>
      </c>
      <c r="B6976" s="5" t="s">
        <v>6981</v>
      </c>
      <c r="C6976" s="17">
        <v>20230101</v>
      </c>
      <c r="D6976" s="17">
        <v>22991231</v>
      </c>
      <c r="E6976" s="25">
        <v>0</v>
      </c>
    </row>
    <row r="6977" spans="1:5" x14ac:dyDescent="0.3">
      <c r="A6977" s="17" t="str">
        <f>"Q4220"</f>
        <v>Q4220</v>
      </c>
      <c r="B6977" s="5" t="s">
        <v>6982</v>
      </c>
      <c r="C6977" s="17">
        <v>20230101</v>
      </c>
      <c r="D6977" s="17">
        <v>22991231</v>
      </c>
      <c r="E6977" s="25">
        <v>0</v>
      </c>
    </row>
    <row r="6978" spans="1:5" x14ac:dyDescent="0.3">
      <c r="A6978" s="17" t="str">
        <f>"Q4221"</f>
        <v>Q4221</v>
      </c>
      <c r="B6978" s="5" t="s">
        <v>6983</v>
      </c>
      <c r="C6978" s="17">
        <v>20230101</v>
      </c>
      <c r="D6978" s="17">
        <v>22991231</v>
      </c>
      <c r="E6978" s="25">
        <v>0</v>
      </c>
    </row>
    <row r="6979" spans="1:5" x14ac:dyDescent="0.3">
      <c r="A6979" s="17" t="str">
        <f>"Q4222"</f>
        <v>Q4222</v>
      </c>
      <c r="B6979" s="5" t="s">
        <v>6984</v>
      </c>
      <c r="C6979" s="17">
        <v>20230101</v>
      </c>
      <c r="D6979" s="17">
        <v>22991231</v>
      </c>
      <c r="E6979" s="25">
        <v>0</v>
      </c>
    </row>
    <row r="6980" spans="1:5" ht="26" x14ac:dyDescent="0.3">
      <c r="A6980" s="17" t="str">
        <f>"Q4224"</f>
        <v>Q4224</v>
      </c>
      <c r="B6980" s="5" t="s">
        <v>6985</v>
      </c>
      <c r="C6980" s="17">
        <v>20230101</v>
      </c>
      <c r="D6980" s="17">
        <v>22991231</v>
      </c>
      <c r="E6980" s="25">
        <v>0</v>
      </c>
    </row>
    <row r="6981" spans="1:5" ht="26" x14ac:dyDescent="0.3">
      <c r="A6981" s="17" t="str">
        <f>"Q4225"</f>
        <v>Q4225</v>
      </c>
      <c r="B6981" s="5" t="s">
        <v>6986</v>
      </c>
      <c r="C6981" s="17">
        <v>20230101</v>
      </c>
      <c r="D6981" s="17">
        <v>22991231</v>
      </c>
      <c r="E6981" s="25">
        <v>0</v>
      </c>
    </row>
    <row r="6982" spans="1:5" ht="26" x14ac:dyDescent="0.3">
      <c r="A6982" s="17" t="str">
        <f>"Q4226"</f>
        <v>Q4226</v>
      </c>
      <c r="B6982" s="5" t="s">
        <v>6987</v>
      </c>
      <c r="C6982" s="17">
        <v>20230101</v>
      </c>
      <c r="D6982" s="17">
        <v>22991231</v>
      </c>
      <c r="E6982" s="25">
        <v>0</v>
      </c>
    </row>
    <row r="6983" spans="1:5" x14ac:dyDescent="0.3">
      <c r="A6983" s="17" t="str">
        <f>"Q4227"</f>
        <v>Q4227</v>
      </c>
      <c r="B6983" s="5" t="s">
        <v>6988</v>
      </c>
      <c r="C6983" s="17">
        <v>20230101</v>
      </c>
      <c r="D6983" s="17">
        <v>22991231</v>
      </c>
      <c r="E6983" s="25">
        <v>0</v>
      </c>
    </row>
    <row r="6984" spans="1:5" ht="26" x14ac:dyDescent="0.3">
      <c r="A6984" s="17" t="str">
        <f>"Q4229"</f>
        <v>Q4229</v>
      </c>
      <c r="B6984" s="5" t="s">
        <v>6989</v>
      </c>
      <c r="C6984" s="17">
        <v>20230101</v>
      </c>
      <c r="D6984" s="17">
        <v>22991231</v>
      </c>
      <c r="E6984" s="25">
        <v>0</v>
      </c>
    </row>
    <row r="6985" spans="1:5" x14ac:dyDescent="0.3">
      <c r="A6985" s="17" t="str">
        <f>"Q4230"</f>
        <v>Q4230</v>
      </c>
      <c r="B6985" s="5" t="s">
        <v>6990</v>
      </c>
      <c r="C6985" s="17">
        <v>20230101</v>
      </c>
      <c r="D6985" s="17">
        <v>22991231</v>
      </c>
      <c r="E6985" s="25">
        <v>0</v>
      </c>
    </row>
    <row r="6986" spans="1:5" x14ac:dyDescent="0.3">
      <c r="A6986" s="17" t="str">
        <f>"Q4231"</f>
        <v>Q4231</v>
      </c>
      <c r="B6986" s="5" t="s">
        <v>6991</v>
      </c>
      <c r="C6986" s="17">
        <v>20230101</v>
      </c>
      <c r="D6986" s="17">
        <v>22991231</v>
      </c>
      <c r="E6986" s="25">
        <v>0</v>
      </c>
    </row>
    <row r="6987" spans="1:5" x14ac:dyDescent="0.3">
      <c r="A6987" s="17" t="str">
        <f>"Q4232"</f>
        <v>Q4232</v>
      </c>
      <c r="B6987" s="5" t="s">
        <v>6992</v>
      </c>
      <c r="C6987" s="17">
        <v>20230101</v>
      </c>
      <c r="D6987" s="17">
        <v>22991231</v>
      </c>
      <c r="E6987" s="25">
        <v>0</v>
      </c>
    </row>
    <row r="6988" spans="1:5" x14ac:dyDescent="0.3">
      <c r="A6988" s="17" t="str">
        <f>"Q4233"</f>
        <v>Q4233</v>
      </c>
      <c r="B6988" s="5" t="s">
        <v>6993</v>
      </c>
      <c r="C6988" s="17">
        <v>20230101</v>
      </c>
      <c r="D6988" s="17">
        <v>22991231</v>
      </c>
      <c r="E6988" s="25">
        <v>0</v>
      </c>
    </row>
    <row r="6989" spans="1:5" x14ac:dyDescent="0.3">
      <c r="A6989" s="17" t="str">
        <f>"Q4234"</f>
        <v>Q4234</v>
      </c>
      <c r="B6989" s="5" t="s">
        <v>6994</v>
      </c>
      <c r="C6989" s="17">
        <v>20230101</v>
      </c>
      <c r="D6989" s="17">
        <v>22991231</v>
      </c>
      <c r="E6989" s="25">
        <v>0</v>
      </c>
    </row>
    <row r="6990" spans="1:5" x14ac:dyDescent="0.3">
      <c r="A6990" s="17" t="str">
        <f>"Q4235"</f>
        <v>Q4235</v>
      </c>
      <c r="B6990" s="5" t="s">
        <v>6995</v>
      </c>
      <c r="C6990" s="17">
        <v>20230101</v>
      </c>
      <c r="D6990" s="17">
        <v>22991231</v>
      </c>
      <c r="E6990" s="25">
        <v>0</v>
      </c>
    </row>
    <row r="6991" spans="1:5" x14ac:dyDescent="0.3">
      <c r="A6991" s="17" t="str">
        <f>"Q4236"</f>
        <v>Q4236</v>
      </c>
      <c r="B6991" s="5" t="s">
        <v>6996</v>
      </c>
      <c r="C6991" s="17">
        <v>20230101</v>
      </c>
      <c r="D6991" s="17">
        <v>22991231</v>
      </c>
      <c r="E6991" s="25">
        <v>0</v>
      </c>
    </row>
    <row r="6992" spans="1:5" x14ac:dyDescent="0.3">
      <c r="A6992" s="17" t="str">
        <f>"Q4237"</f>
        <v>Q4237</v>
      </c>
      <c r="B6992" s="5" t="s">
        <v>6997</v>
      </c>
      <c r="C6992" s="17">
        <v>20230101</v>
      </c>
      <c r="D6992" s="17">
        <v>22991231</v>
      </c>
      <c r="E6992" s="25">
        <v>0</v>
      </c>
    </row>
    <row r="6993" spans="1:5" x14ac:dyDescent="0.3">
      <c r="A6993" s="17" t="str">
        <f>"Q4238"</f>
        <v>Q4238</v>
      </c>
      <c r="B6993" s="5" t="s">
        <v>6998</v>
      </c>
      <c r="C6993" s="17">
        <v>20230101</v>
      </c>
      <c r="D6993" s="17">
        <v>22991231</v>
      </c>
      <c r="E6993" s="25">
        <v>0</v>
      </c>
    </row>
    <row r="6994" spans="1:5" ht="26" x14ac:dyDescent="0.3">
      <c r="A6994" s="17" t="str">
        <f>"Q4239"</f>
        <v>Q4239</v>
      </c>
      <c r="B6994" s="5" t="s">
        <v>6999</v>
      </c>
      <c r="C6994" s="17">
        <v>20230101</v>
      </c>
      <c r="D6994" s="17">
        <v>22991231</v>
      </c>
      <c r="E6994" s="25">
        <v>0</v>
      </c>
    </row>
    <row r="6995" spans="1:5" x14ac:dyDescent="0.3">
      <c r="A6995" s="17" t="str">
        <f>"Q4240"</f>
        <v>Q4240</v>
      </c>
      <c r="B6995" s="5" t="s">
        <v>7000</v>
      </c>
      <c r="C6995" s="17">
        <v>20230101</v>
      </c>
      <c r="D6995" s="17">
        <v>22991231</v>
      </c>
      <c r="E6995" s="25">
        <v>0</v>
      </c>
    </row>
    <row r="6996" spans="1:5" x14ac:dyDescent="0.3">
      <c r="A6996" s="17" t="str">
        <f>"Q4241"</f>
        <v>Q4241</v>
      </c>
      <c r="B6996" s="5" t="s">
        <v>7001</v>
      </c>
      <c r="C6996" s="17">
        <v>20230101</v>
      </c>
      <c r="D6996" s="17">
        <v>22991231</v>
      </c>
      <c r="E6996" s="25">
        <v>0</v>
      </c>
    </row>
    <row r="6997" spans="1:5" x14ac:dyDescent="0.3">
      <c r="A6997" s="17" t="str">
        <f>"Q4242"</f>
        <v>Q4242</v>
      </c>
      <c r="B6997" s="5" t="s">
        <v>7002</v>
      </c>
      <c r="C6997" s="17">
        <v>20230101</v>
      </c>
      <c r="D6997" s="17">
        <v>22991231</v>
      </c>
      <c r="E6997" s="25">
        <v>0</v>
      </c>
    </row>
    <row r="6998" spans="1:5" x14ac:dyDescent="0.3">
      <c r="A6998" s="17" t="s">
        <v>23</v>
      </c>
      <c r="B6998" s="5" t="s">
        <v>7003</v>
      </c>
      <c r="C6998" s="17">
        <v>20230101</v>
      </c>
      <c r="D6998" s="17">
        <v>20240331</v>
      </c>
      <c r="E6998" s="25">
        <v>0</v>
      </c>
    </row>
    <row r="6999" spans="1:5" x14ac:dyDescent="0.3">
      <c r="A6999" s="17" t="str">
        <f>"Q4245"</f>
        <v>Q4245</v>
      </c>
      <c r="B6999" s="5" t="s">
        <v>7004</v>
      </c>
      <c r="C6999" s="17">
        <v>20230101</v>
      </c>
      <c r="D6999" s="17">
        <v>22991231</v>
      </c>
      <c r="E6999" s="25">
        <v>0</v>
      </c>
    </row>
    <row r="7000" spans="1:5" x14ac:dyDescent="0.3">
      <c r="A7000" s="17" t="str">
        <f>"Q4246"</f>
        <v>Q4246</v>
      </c>
      <c r="B7000" s="5" t="s">
        <v>7005</v>
      </c>
      <c r="C7000" s="17">
        <v>20230101</v>
      </c>
      <c r="D7000" s="17">
        <v>22991231</v>
      </c>
      <c r="E7000" s="25">
        <v>0</v>
      </c>
    </row>
    <row r="7001" spans="1:5" x14ac:dyDescent="0.3">
      <c r="A7001" s="17" t="str">
        <f>"Q4247"</f>
        <v>Q4247</v>
      </c>
      <c r="B7001" s="5" t="s">
        <v>7006</v>
      </c>
      <c r="C7001" s="17">
        <v>20230101</v>
      </c>
      <c r="D7001" s="17">
        <v>22991231</v>
      </c>
      <c r="E7001" s="25">
        <v>0</v>
      </c>
    </row>
    <row r="7002" spans="1:5" ht="26" x14ac:dyDescent="0.3">
      <c r="A7002" s="17" t="str">
        <f>"Q4248"</f>
        <v>Q4248</v>
      </c>
      <c r="B7002" s="5" t="s">
        <v>7007</v>
      </c>
      <c r="C7002" s="17">
        <v>20230101</v>
      </c>
      <c r="D7002" s="17">
        <v>22991231</v>
      </c>
      <c r="E7002" s="25">
        <v>0</v>
      </c>
    </row>
    <row r="7003" spans="1:5" ht="26" x14ac:dyDescent="0.3">
      <c r="A7003" s="17" t="str">
        <f>"Q4249"</f>
        <v>Q4249</v>
      </c>
      <c r="B7003" s="5" t="s">
        <v>7008</v>
      </c>
      <c r="C7003" s="17">
        <v>20230101</v>
      </c>
      <c r="D7003" s="17">
        <v>22991231</v>
      </c>
      <c r="E7003" s="25">
        <v>0</v>
      </c>
    </row>
    <row r="7004" spans="1:5" x14ac:dyDescent="0.3">
      <c r="A7004" s="17" t="str">
        <f>"Q4250"</f>
        <v>Q4250</v>
      </c>
      <c r="B7004" s="5" t="s">
        <v>7009</v>
      </c>
      <c r="C7004" s="17">
        <v>20230101</v>
      </c>
      <c r="D7004" s="17">
        <v>22991231</v>
      </c>
      <c r="E7004" s="25">
        <v>0</v>
      </c>
    </row>
    <row r="7005" spans="1:5" x14ac:dyDescent="0.3">
      <c r="A7005" s="17" t="str">
        <f>"Q4251"</f>
        <v>Q4251</v>
      </c>
      <c r="B7005" s="5" t="s">
        <v>7010</v>
      </c>
      <c r="C7005" s="17">
        <v>20230101</v>
      </c>
      <c r="D7005" s="17">
        <v>22991231</v>
      </c>
      <c r="E7005" s="25">
        <v>0</v>
      </c>
    </row>
    <row r="7006" spans="1:5" x14ac:dyDescent="0.3">
      <c r="A7006" s="17" t="str">
        <f>"Q4252"</f>
        <v>Q4252</v>
      </c>
      <c r="B7006" s="5" t="s">
        <v>7011</v>
      </c>
      <c r="C7006" s="17">
        <v>20230101</v>
      </c>
      <c r="D7006" s="17">
        <v>22991231</v>
      </c>
      <c r="E7006" s="25">
        <v>0</v>
      </c>
    </row>
    <row r="7007" spans="1:5" ht="26" x14ac:dyDescent="0.3">
      <c r="A7007" s="17" t="str">
        <f>"Q4253"</f>
        <v>Q4253</v>
      </c>
      <c r="B7007" s="5" t="s">
        <v>7012</v>
      </c>
      <c r="C7007" s="17">
        <v>20230101</v>
      </c>
      <c r="D7007" s="17">
        <v>22991231</v>
      </c>
      <c r="E7007" s="25">
        <v>0</v>
      </c>
    </row>
    <row r="7008" spans="1:5" x14ac:dyDescent="0.3">
      <c r="A7008" s="17" t="str">
        <f>"Q4254"</f>
        <v>Q4254</v>
      </c>
      <c r="B7008" s="5" t="s">
        <v>7013</v>
      </c>
      <c r="C7008" s="17">
        <v>20230101</v>
      </c>
      <c r="D7008" s="17">
        <v>22991231</v>
      </c>
      <c r="E7008" s="25">
        <v>0</v>
      </c>
    </row>
    <row r="7009" spans="1:5" ht="26" x14ac:dyDescent="0.3">
      <c r="A7009" s="17" t="str">
        <f>"Q4255"</f>
        <v>Q4255</v>
      </c>
      <c r="B7009" s="5" t="s">
        <v>7014</v>
      </c>
      <c r="C7009" s="17">
        <v>20230101</v>
      </c>
      <c r="D7009" s="17">
        <v>22991231</v>
      </c>
      <c r="E7009" s="25">
        <v>0</v>
      </c>
    </row>
    <row r="7010" spans="1:5" x14ac:dyDescent="0.3">
      <c r="A7010" s="17" t="str">
        <f>"Q4256"</f>
        <v>Q4256</v>
      </c>
      <c r="B7010" s="5" t="s">
        <v>7015</v>
      </c>
      <c r="C7010" s="17">
        <v>20230101</v>
      </c>
      <c r="D7010" s="17">
        <v>22991231</v>
      </c>
      <c r="E7010" s="25">
        <v>0</v>
      </c>
    </row>
    <row r="7011" spans="1:5" x14ac:dyDescent="0.3">
      <c r="A7011" s="17" t="str">
        <f>"Q4257"</f>
        <v>Q4257</v>
      </c>
      <c r="B7011" s="5" t="s">
        <v>7016</v>
      </c>
      <c r="C7011" s="17">
        <v>20230101</v>
      </c>
      <c r="D7011" s="17">
        <v>22991231</v>
      </c>
      <c r="E7011" s="25">
        <v>0</v>
      </c>
    </row>
    <row r="7012" spans="1:5" x14ac:dyDescent="0.3">
      <c r="A7012" s="17" t="str">
        <f>"Q4258"</f>
        <v>Q4258</v>
      </c>
      <c r="B7012" s="5" t="s">
        <v>7017</v>
      </c>
      <c r="C7012" s="17">
        <v>20230101</v>
      </c>
      <c r="D7012" s="17">
        <v>22991231</v>
      </c>
      <c r="E7012" s="25">
        <v>0</v>
      </c>
    </row>
    <row r="7013" spans="1:5" ht="26" x14ac:dyDescent="0.3">
      <c r="A7013" s="17" t="str">
        <f>"Q4259"</f>
        <v>Q4259</v>
      </c>
      <c r="B7013" s="5" t="s">
        <v>7018</v>
      </c>
      <c r="C7013" s="17">
        <v>20230101</v>
      </c>
      <c r="D7013" s="17">
        <v>22991231</v>
      </c>
      <c r="E7013" s="25">
        <v>0</v>
      </c>
    </row>
    <row r="7014" spans="1:5" x14ac:dyDescent="0.3">
      <c r="A7014" s="17" t="str">
        <f>"Q4260"</f>
        <v>Q4260</v>
      </c>
      <c r="B7014" s="5" t="s">
        <v>7019</v>
      </c>
      <c r="C7014" s="17">
        <v>20230101</v>
      </c>
      <c r="D7014" s="17">
        <v>22991231</v>
      </c>
      <c r="E7014" s="25">
        <v>0</v>
      </c>
    </row>
    <row r="7015" spans="1:5" x14ac:dyDescent="0.3">
      <c r="A7015" s="17" t="str">
        <f>"Q4261"</f>
        <v>Q4261</v>
      </c>
      <c r="B7015" s="5" t="s">
        <v>7020</v>
      </c>
      <c r="C7015" s="17">
        <v>20230101</v>
      </c>
      <c r="D7015" s="17">
        <v>22991231</v>
      </c>
      <c r="E7015" s="25">
        <v>0</v>
      </c>
    </row>
    <row r="7016" spans="1:5" ht="26" x14ac:dyDescent="0.3">
      <c r="A7016" s="17" t="str">
        <f>"Q4262"</f>
        <v>Q4262</v>
      </c>
      <c r="B7016" s="5" t="s">
        <v>7021</v>
      </c>
      <c r="C7016" s="17">
        <v>20230101</v>
      </c>
      <c r="D7016" s="17">
        <v>22991231</v>
      </c>
      <c r="E7016" s="25">
        <v>0</v>
      </c>
    </row>
    <row r="7017" spans="1:5" x14ac:dyDescent="0.3">
      <c r="A7017" s="17" t="str">
        <f>"Q4263"</f>
        <v>Q4263</v>
      </c>
      <c r="B7017" s="5" t="s">
        <v>7022</v>
      </c>
      <c r="C7017" s="17">
        <v>20230101</v>
      </c>
      <c r="D7017" s="17">
        <v>22991231</v>
      </c>
      <c r="E7017" s="25">
        <v>0</v>
      </c>
    </row>
    <row r="7018" spans="1:5" x14ac:dyDescent="0.3">
      <c r="A7018" s="17" t="str">
        <f>"Q4264"</f>
        <v>Q4264</v>
      </c>
      <c r="B7018" s="5" t="s">
        <v>7023</v>
      </c>
      <c r="C7018" s="17">
        <v>20230101</v>
      </c>
      <c r="D7018" s="17">
        <v>22991231</v>
      </c>
      <c r="E7018" s="25">
        <v>0</v>
      </c>
    </row>
    <row r="7019" spans="1:5" x14ac:dyDescent="0.3">
      <c r="A7019" s="17" t="str">
        <f>"Q4265"</f>
        <v>Q4265</v>
      </c>
      <c r="B7019" s="5" t="s">
        <v>7024</v>
      </c>
      <c r="C7019" s="17">
        <v>20240101</v>
      </c>
      <c r="D7019" s="17">
        <v>22991231</v>
      </c>
      <c r="E7019" s="25">
        <v>0</v>
      </c>
    </row>
    <row r="7020" spans="1:5" x14ac:dyDescent="0.3">
      <c r="A7020" s="17" t="str">
        <f>"Q4266"</f>
        <v>Q4266</v>
      </c>
      <c r="B7020" s="5" t="s">
        <v>7025</v>
      </c>
      <c r="C7020" s="17">
        <v>20240101</v>
      </c>
      <c r="D7020" s="17">
        <v>22991231</v>
      </c>
      <c r="E7020" s="25">
        <v>0</v>
      </c>
    </row>
    <row r="7021" spans="1:5" x14ac:dyDescent="0.3">
      <c r="A7021" s="17" t="str">
        <f>"Q4267"</f>
        <v>Q4267</v>
      </c>
      <c r="B7021" s="5" t="s">
        <v>7026</v>
      </c>
      <c r="C7021" s="17">
        <v>20240101</v>
      </c>
      <c r="D7021" s="17">
        <v>22991231</v>
      </c>
      <c r="E7021" s="25">
        <v>0</v>
      </c>
    </row>
    <row r="7022" spans="1:5" x14ac:dyDescent="0.3">
      <c r="A7022" s="17" t="str">
        <f>"Q4268"</f>
        <v>Q4268</v>
      </c>
      <c r="B7022" s="5" t="s">
        <v>7027</v>
      </c>
      <c r="C7022" s="17">
        <v>20240101</v>
      </c>
      <c r="D7022" s="17">
        <v>22991231</v>
      </c>
      <c r="E7022" s="25">
        <v>0</v>
      </c>
    </row>
    <row r="7023" spans="1:5" x14ac:dyDescent="0.3">
      <c r="A7023" s="17" t="str">
        <f>"Q4269"</f>
        <v>Q4269</v>
      </c>
      <c r="B7023" s="5" t="s">
        <v>7028</v>
      </c>
      <c r="C7023" s="17">
        <v>20240101</v>
      </c>
      <c r="D7023" s="17">
        <v>22991231</v>
      </c>
      <c r="E7023" s="25">
        <v>0</v>
      </c>
    </row>
    <row r="7024" spans="1:5" x14ac:dyDescent="0.3">
      <c r="A7024" s="17" t="str">
        <f>"Q4270"</f>
        <v>Q4270</v>
      </c>
      <c r="B7024" s="5" t="s">
        <v>7029</v>
      </c>
      <c r="C7024" s="17">
        <v>20240101</v>
      </c>
      <c r="D7024" s="17">
        <v>22991231</v>
      </c>
      <c r="E7024" s="25">
        <v>0</v>
      </c>
    </row>
    <row r="7025" spans="1:5" x14ac:dyDescent="0.3">
      <c r="A7025" s="17" t="str">
        <f>"Q4271"</f>
        <v>Q4271</v>
      </c>
      <c r="B7025" s="5" t="s">
        <v>7030</v>
      </c>
      <c r="C7025" s="17">
        <v>20240101</v>
      </c>
      <c r="D7025" s="17">
        <v>22991231</v>
      </c>
      <c r="E7025" s="25">
        <v>0</v>
      </c>
    </row>
    <row r="7026" spans="1:5" x14ac:dyDescent="0.3">
      <c r="A7026" s="17" t="str">
        <f>"Q4272"</f>
        <v>Q4272</v>
      </c>
      <c r="B7026" s="5" t="s">
        <v>7031</v>
      </c>
      <c r="C7026" s="17">
        <v>20240101</v>
      </c>
      <c r="D7026" s="17">
        <v>22991231</v>
      </c>
      <c r="E7026" s="25">
        <v>0</v>
      </c>
    </row>
    <row r="7027" spans="1:5" x14ac:dyDescent="0.3">
      <c r="A7027" s="17" t="str">
        <f>"Q4273"</f>
        <v>Q4273</v>
      </c>
      <c r="B7027" s="5" t="s">
        <v>7032</v>
      </c>
      <c r="C7027" s="17">
        <v>20240101</v>
      </c>
      <c r="D7027" s="17">
        <v>22991231</v>
      </c>
      <c r="E7027" s="25">
        <v>0</v>
      </c>
    </row>
    <row r="7028" spans="1:5" x14ac:dyDescent="0.3">
      <c r="A7028" s="17" t="str">
        <f>"Q4274"</f>
        <v>Q4274</v>
      </c>
      <c r="B7028" s="5" t="s">
        <v>7033</v>
      </c>
      <c r="C7028" s="17">
        <v>20240101</v>
      </c>
      <c r="D7028" s="17">
        <v>22991231</v>
      </c>
      <c r="E7028" s="25">
        <v>0</v>
      </c>
    </row>
    <row r="7029" spans="1:5" x14ac:dyDescent="0.3">
      <c r="A7029" s="17" t="str">
        <f>"Q4275"</f>
        <v>Q4275</v>
      </c>
      <c r="B7029" s="5" t="s">
        <v>7034</v>
      </c>
      <c r="C7029" s="17">
        <v>20240101</v>
      </c>
      <c r="D7029" s="17">
        <v>22991231</v>
      </c>
      <c r="E7029" s="25">
        <v>0</v>
      </c>
    </row>
    <row r="7030" spans="1:5" x14ac:dyDescent="0.3">
      <c r="A7030" s="17" t="str">
        <f>"Q4276"</f>
        <v>Q4276</v>
      </c>
      <c r="B7030" s="5" t="s">
        <v>7035</v>
      </c>
      <c r="C7030" s="17">
        <v>20240101</v>
      </c>
      <c r="D7030" s="17">
        <v>22991231</v>
      </c>
      <c r="E7030" s="25">
        <v>0</v>
      </c>
    </row>
    <row r="7031" spans="1:5" ht="26" x14ac:dyDescent="0.3">
      <c r="A7031" s="17" t="s">
        <v>7036</v>
      </c>
      <c r="B7031" s="5" t="s">
        <v>7037</v>
      </c>
      <c r="C7031" s="17">
        <v>20240101</v>
      </c>
      <c r="D7031" s="17">
        <v>20240630</v>
      </c>
      <c r="E7031" s="25">
        <v>0</v>
      </c>
    </row>
    <row r="7032" spans="1:5" x14ac:dyDescent="0.3">
      <c r="A7032" s="17" t="str">
        <f>"Q4278"</f>
        <v>Q4278</v>
      </c>
      <c r="B7032" s="5" t="s">
        <v>7038</v>
      </c>
      <c r="C7032" s="17">
        <v>20240101</v>
      </c>
      <c r="D7032" s="17">
        <v>22991231</v>
      </c>
      <c r="E7032" s="25">
        <v>0</v>
      </c>
    </row>
    <row r="7033" spans="1:5" x14ac:dyDescent="0.3">
      <c r="A7033" s="17" t="str">
        <f>"Q4279"</f>
        <v>Q4279</v>
      </c>
      <c r="B7033" s="5" t="s">
        <v>7039</v>
      </c>
      <c r="C7033" s="17">
        <v>20240101</v>
      </c>
      <c r="D7033" s="17">
        <v>22991231</v>
      </c>
      <c r="E7033" s="25">
        <v>0</v>
      </c>
    </row>
    <row r="7034" spans="1:5" x14ac:dyDescent="0.3">
      <c r="A7034" s="17" t="str">
        <f>"Q4280"</f>
        <v>Q4280</v>
      </c>
      <c r="B7034" s="5" t="s">
        <v>7040</v>
      </c>
      <c r="C7034" s="17">
        <v>20240101</v>
      </c>
      <c r="D7034" s="17">
        <v>22991231</v>
      </c>
      <c r="E7034" s="25">
        <v>0</v>
      </c>
    </row>
    <row r="7035" spans="1:5" x14ac:dyDescent="0.3">
      <c r="A7035" s="17" t="str">
        <f>"Q4281"</f>
        <v>Q4281</v>
      </c>
      <c r="B7035" s="5" t="s">
        <v>7041</v>
      </c>
      <c r="C7035" s="17">
        <v>20240101</v>
      </c>
      <c r="D7035" s="17">
        <v>22991231</v>
      </c>
      <c r="E7035" s="25">
        <v>0</v>
      </c>
    </row>
    <row r="7036" spans="1:5" x14ac:dyDescent="0.3">
      <c r="A7036" s="17" t="str">
        <f>"Q4282"</f>
        <v>Q4282</v>
      </c>
      <c r="B7036" s="5" t="s">
        <v>7042</v>
      </c>
      <c r="C7036" s="17">
        <v>20240101</v>
      </c>
      <c r="D7036" s="17">
        <v>22991231</v>
      </c>
      <c r="E7036" s="25">
        <v>0</v>
      </c>
    </row>
    <row r="7037" spans="1:5" ht="26" x14ac:dyDescent="0.3">
      <c r="A7037" s="17" t="str">
        <f>"Q4283"</f>
        <v>Q4283</v>
      </c>
      <c r="B7037" s="5" t="s">
        <v>7043</v>
      </c>
      <c r="C7037" s="17">
        <v>20240101</v>
      </c>
      <c r="D7037" s="17">
        <v>22991231</v>
      </c>
      <c r="E7037" s="25">
        <v>0</v>
      </c>
    </row>
    <row r="7038" spans="1:5" x14ac:dyDescent="0.3">
      <c r="A7038" s="17" t="str">
        <f>"Q4284"</f>
        <v>Q4284</v>
      </c>
      <c r="B7038" s="5" t="s">
        <v>7044</v>
      </c>
      <c r="C7038" s="17">
        <v>20240101</v>
      </c>
      <c r="D7038" s="17">
        <v>22991231</v>
      </c>
      <c r="E7038" s="25">
        <v>0</v>
      </c>
    </row>
    <row r="7039" spans="1:5" ht="26" x14ac:dyDescent="0.3">
      <c r="A7039" s="17" t="str">
        <f>"Q4285"</f>
        <v>Q4285</v>
      </c>
      <c r="B7039" s="5" t="s">
        <v>7045</v>
      </c>
      <c r="C7039" s="17">
        <v>20240101</v>
      </c>
      <c r="D7039" s="17">
        <v>22991231</v>
      </c>
      <c r="E7039" s="25">
        <v>0</v>
      </c>
    </row>
    <row r="7040" spans="1:5" x14ac:dyDescent="0.3">
      <c r="A7040" s="17" t="str">
        <f>"Q4286"</f>
        <v>Q4286</v>
      </c>
      <c r="B7040" s="5" t="s">
        <v>7046</v>
      </c>
      <c r="C7040" s="17">
        <v>20240101</v>
      </c>
      <c r="D7040" s="17">
        <v>22991231</v>
      </c>
      <c r="E7040" s="25">
        <v>0</v>
      </c>
    </row>
    <row r="7041" spans="1:5" x14ac:dyDescent="0.3">
      <c r="A7041" s="17" t="str">
        <f>"Q4287"</f>
        <v>Q4287</v>
      </c>
      <c r="B7041" s="5" t="s">
        <v>7047</v>
      </c>
      <c r="C7041" s="17">
        <v>20240101</v>
      </c>
      <c r="D7041" s="17">
        <v>22991231</v>
      </c>
      <c r="E7041" s="25">
        <v>0</v>
      </c>
    </row>
    <row r="7042" spans="1:5" x14ac:dyDescent="0.3">
      <c r="A7042" s="17" t="str">
        <f>"Q4288"</f>
        <v>Q4288</v>
      </c>
      <c r="B7042" s="5" t="s">
        <v>7048</v>
      </c>
      <c r="C7042" s="17">
        <v>20240101</v>
      </c>
      <c r="D7042" s="28">
        <v>22991231</v>
      </c>
      <c r="E7042" s="25">
        <v>0</v>
      </c>
    </row>
    <row r="7043" spans="1:5" ht="26" x14ac:dyDescent="0.3">
      <c r="A7043" s="17" t="str">
        <f>"Q4289"</f>
        <v>Q4289</v>
      </c>
      <c r="B7043" s="5" t="s">
        <v>7049</v>
      </c>
      <c r="C7043" s="17">
        <v>20240101</v>
      </c>
      <c r="D7043" s="28">
        <v>22991231</v>
      </c>
      <c r="E7043" s="25">
        <v>0</v>
      </c>
    </row>
    <row r="7044" spans="1:5" x14ac:dyDescent="0.3">
      <c r="A7044" s="17" t="str">
        <f>"Q4290"</f>
        <v>Q4290</v>
      </c>
      <c r="B7044" s="5" t="s">
        <v>7050</v>
      </c>
      <c r="C7044" s="17">
        <v>20240101</v>
      </c>
      <c r="D7044" s="28">
        <v>22991231</v>
      </c>
      <c r="E7044" s="25">
        <v>0</v>
      </c>
    </row>
    <row r="7045" spans="1:5" x14ac:dyDescent="0.3">
      <c r="A7045" s="17" t="str">
        <f>"Q4291"</f>
        <v>Q4291</v>
      </c>
      <c r="B7045" s="5" t="s">
        <v>7051</v>
      </c>
      <c r="C7045" s="17">
        <v>20240101</v>
      </c>
      <c r="D7045" s="28">
        <v>22991231</v>
      </c>
      <c r="E7045" s="25">
        <v>0</v>
      </c>
    </row>
    <row r="7046" spans="1:5" x14ac:dyDescent="0.3">
      <c r="A7046" s="17" t="str">
        <f>"Q4292"</f>
        <v>Q4292</v>
      </c>
      <c r="B7046" s="5" t="s">
        <v>7052</v>
      </c>
      <c r="C7046" s="17">
        <v>20240101</v>
      </c>
      <c r="D7046" s="28">
        <v>22991231</v>
      </c>
      <c r="E7046" s="25">
        <v>0</v>
      </c>
    </row>
    <row r="7047" spans="1:5" x14ac:dyDescent="0.3">
      <c r="A7047" s="17" t="str">
        <f>"Q4293"</f>
        <v>Q4293</v>
      </c>
      <c r="B7047" s="5" t="s">
        <v>7053</v>
      </c>
      <c r="C7047" s="17">
        <v>20240101</v>
      </c>
      <c r="D7047" s="28">
        <v>22991231</v>
      </c>
      <c r="E7047" s="25">
        <v>0</v>
      </c>
    </row>
    <row r="7048" spans="1:5" x14ac:dyDescent="0.3">
      <c r="A7048" s="17" t="str">
        <f>"Q4294"</f>
        <v>Q4294</v>
      </c>
      <c r="B7048" s="5" t="s">
        <v>7054</v>
      </c>
      <c r="C7048" s="17">
        <v>20240101</v>
      </c>
      <c r="D7048" s="28">
        <v>22991231</v>
      </c>
      <c r="E7048" s="25">
        <v>0</v>
      </c>
    </row>
    <row r="7049" spans="1:5" x14ac:dyDescent="0.3">
      <c r="A7049" s="17" t="str">
        <f>"Q4295"</f>
        <v>Q4295</v>
      </c>
      <c r="B7049" s="5" t="s">
        <v>7055</v>
      </c>
      <c r="C7049" s="17">
        <v>20240101</v>
      </c>
      <c r="D7049" s="28">
        <v>22991231</v>
      </c>
      <c r="E7049" s="25">
        <v>0</v>
      </c>
    </row>
    <row r="7050" spans="1:5" x14ac:dyDescent="0.3">
      <c r="A7050" s="17" t="str">
        <f>"Q4296"</f>
        <v>Q4296</v>
      </c>
      <c r="B7050" s="5" t="s">
        <v>7056</v>
      </c>
      <c r="C7050" s="17">
        <v>20240101</v>
      </c>
      <c r="D7050" s="28">
        <v>22991231</v>
      </c>
      <c r="E7050" s="25">
        <v>0</v>
      </c>
    </row>
    <row r="7051" spans="1:5" x14ac:dyDescent="0.3">
      <c r="A7051" s="17" t="str">
        <f>"Q4297"</f>
        <v>Q4297</v>
      </c>
      <c r="B7051" s="5" t="s">
        <v>7057</v>
      </c>
      <c r="C7051" s="17">
        <v>20240101</v>
      </c>
      <c r="D7051" s="28">
        <v>22991231</v>
      </c>
      <c r="E7051" s="25">
        <v>0</v>
      </c>
    </row>
    <row r="7052" spans="1:5" x14ac:dyDescent="0.3">
      <c r="A7052" s="17" t="str">
        <f>"Q4298"</f>
        <v>Q4298</v>
      </c>
      <c r="B7052" s="5" t="s">
        <v>7058</v>
      </c>
      <c r="C7052" s="17">
        <v>20240101</v>
      </c>
      <c r="D7052" s="28">
        <v>22991231</v>
      </c>
      <c r="E7052" s="25">
        <v>0</v>
      </c>
    </row>
    <row r="7053" spans="1:5" x14ac:dyDescent="0.3">
      <c r="A7053" s="17" t="str">
        <f>"Q4299"</f>
        <v>Q4299</v>
      </c>
      <c r="B7053" s="5" t="s">
        <v>7059</v>
      </c>
      <c r="C7053" s="17">
        <v>20240101</v>
      </c>
      <c r="D7053" s="28">
        <v>22991231</v>
      </c>
      <c r="E7053" s="25">
        <v>0</v>
      </c>
    </row>
    <row r="7054" spans="1:5" x14ac:dyDescent="0.3">
      <c r="A7054" s="17" t="str">
        <f>"Q4300"</f>
        <v>Q4300</v>
      </c>
      <c r="B7054" s="5" t="s">
        <v>7060</v>
      </c>
      <c r="C7054" s="17">
        <v>20240101</v>
      </c>
      <c r="D7054" s="28">
        <v>22991231</v>
      </c>
      <c r="E7054" s="25">
        <v>0</v>
      </c>
    </row>
    <row r="7055" spans="1:5" x14ac:dyDescent="0.3">
      <c r="A7055" s="17" t="str">
        <f>"Q4301"</f>
        <v>Q4301</v>
      </c>
      <c r="B7055" s="5" t="s">
        <v>7061</v>
      </c>
      <c r="C7055" s="17">
        <v>20240101</v>
      </c>
      <c r="D7055" s="28">
        <v>22991231</v>
      </c>
      <c r="E7055" s="25">
        <v>0</v>
      </c>
    </row>
    <row r="7056" spans="1:5" x14ac:dyDescent="0.3">
      <c r="A7056" s="17" t="str">
        <f>"Q4302"</f>
        <v>Q4302</v>
      </c>
      <c r="B7056" s="5" t="s">
        <v>7062</v>
      </c>
      <c r="C7056" s="17">
        <v>20240101</v>
      </c>
      <c r="D7056" s="28">
        <v>22991231</v>
      </c>
      <c r="E7056" s="25">
        <v>0</v>
      </c>
    </row>
    <row r="7057" spans="1:5" x14ac:dyDescent="0.3">
      <c r="A7057" s="17" t="str">
        <f>"Q4303"</f>
        <v>Q4303</v>
      </c>
      <c r="B7057" s="5" t="s">
        <v>7063</v>
      </c>
      <c r="C7057" s="17">
        <v>20240101</v>
      </c>
      <c r="D7057" s="28">
        <v>22991231</v>
      </c>
      <c r="E7057" s="25">
        <v>0</v>
      </c>
    </row>
    <row r="7058" spans="1:5" x14ac:dyDescent="0.3">
      <c r="A7058" s="17" t="str">
        <f>"Q4304"</f>
        <v>Q4304</v>
      </c>
      <c r="B7058" s="5" t="s">
        <v>7064</v>
      </c>
      <c r="C7058" s="17">
        <v>20240101</v>
      </c>
      <c r="D7058" s="28">
        <v>22991231</v>
      </c>
      <c r="E7058" s="25">
        <v>0</v>
      </c>
    </row>
    <row r="7059" spans="1:5" ht="26" x14ac:dyDescent="0.3">
      <c r="A7059" s="17" t="str">
        <f>"Q5101"</f>
        <v>Q5101</v>
      </c>
      <c r="B7059" s="5" t="s">
        <v>7065</v>
      </c>
      <c r="C7059" s="17">
        <v>20230101</v>
      </c>
      <c r="D7059" s="28">
        <v>22991231</v>
      </c>
      <c r="E7059" s="25">
        <v>0.31</v>
      </c>
    </row>
    <row r="7060" spans="1:5" ht="26" x14ac:dyDescent="0.3">
      <c r="A7060" s="17" t="str">
        <f>"Q5103"</f>
        <v>Q5103</v>
      </c>
      <c r="B7060" s="5" t="s">
        <v>7066</v>
      </c>
      <c r="C7060" s="17">
        <v>20230101</v>
      </c>
      <c r="D7060" s="28">
        <v>22991231</v>
      </c>
      <c r="E7060" s="25">
        <v>13.65</v>
      </c>
    </row>
    <row r="7061" spans="1:5" ht="26" x14ac:dyDescent="0.3">
      <c r="A7061" s="17" t="str">
        <f>"Q5104"</f>
        <v>Q5104</v>
      </c>
      <c r="B7061" s="5" t="s">
        <v>7067</v>
      </c>
      <c r="C7061" s="17">
        <v>20230101</v>
      </c>
      <c r="D7061" s="28">
        <v>22991231</v>
      </c>
      <c r="E7061" s="25">
        <v>30.09</v>
      </c>
    </row>
    <row r="7062" spans="1:5" ht="26" x14ac:dyDescent="0.3">
      <c r="A7062" s="17" t="str">
        <f>"Q5105"</f>
        <v>Q5105</v>
      </c>
      <c r="B7062" s="5" t="s">
        <v>7068</v>
      </c>
      <c r="C7062" s="17">
        <v>20230101</v>
      </c>
      <c r="D7062" s="28">
        <v>22991231</v>
      </c>
      <c r="E7062" s="25">
        <v>0.75</v>
      </c>
    </row>
    <row r="7063" spans="1:5" ht="26" x14ac:dyDescent="0.3">
      <c r="A7063" s="17" t="str">
        <f>"Q5106"</f>
        <v>Q5106</v>
      </c>
      <c r="B7063" s="5" t="s">
        <v>7069</v>
      </c>
      <c r="C7063" s="17">
        <v>20230101</v>
      </c>
      <c r="D7063" s="28">
        <v>22991231</v>
      </c>
      <c r="E7063" s="25">
        <v>7.47</v>
      </c>
    </row>
    <row r="7064" spans="1:5" ht="26" x14ac:dyDescent="0.3">
      <c r="A7064" s="17" t="str">
        <f>"Q5107"</f>
        <v>Q5107</v>
      </c>
      <c r="B7064" s="5" t="s">
        <v>7070</v>
      </c>
      <c r="C7064" s="17">
        <v>20230101</v>
      </c>
      <c r="D7064" s="28">
        <v>22991231</v>
      </c>
      <c r="E7064" s="25">
        <v>24.47</v>
      </c>
    </row>
    <row r="7065" spans="1:5" ht="26" x14ac:dyDescent="0.3">
      <c r="A7065" s="17" t="str">
        <f>"Q5108"</f>
        <v>Q5108</v>
      </c>
      <c r="B7065" s="5" t="s">
        <v>7071</v>
      </c>
      <c r="C7065" s="17">
        <v>20230101</v>
      </c>
      <c r="D7065" s="28">
        <v>22991231</v>
      </c>
      <c r="E7065" s="25">
        <v>117.04</v>
      </c>
    </row>
    <row r="7066" spans="1:5" ht="26" x14ac:dyDescent="0.3">
      <c r="A7066" s="17" t="str">
        <f>"Q5109"</f>
        <v>Q5109</v>
      </c>
      <c r="B7066" s="5" t="s">
        <v>7072</v>
      </c>
      <c r="C7066" s="17">
        <v>20230101</v>
      </c>
      <c r="D7066" s="28">
        <v>22991231</v>
      </c>
      <c r="E7066" s="25">
        <v>0</v>
      </c>
    </row>
    <row r="7067" spans="1:5" ht="26" x14ac:dyDescent="0.3">
      <c r="A7067" s="17" t="str">
        <f>"Q5110"</f>
        <v>Q5110</v>
      </c>
      <c r="B7067" s="5" t="s">
        <v>7073</v>
      </c>
      <c r="C7067" s="17">
        <v>20230101</v>
      </c>
      <c r="D7067" s="28">
        <v>22991231</v>
      </c>
      <c r="E7067" s="25">
        <v>0.28000000000000003</v>
      </c>
    </row>
    <row r="7068" spans="1:5" ht="26" x14ac:dyDescent="0.3">
      <c r="A7068" s="17" t="str">
        <f>"Q5111"</f>
        <v>Q5111</v>
      </c>
      <c r="B7068" s="5" t="s">
        <v>7074</v>
      </c>
      <c r="C7068" s="17">
        <v>20230101</v>
      </c>
      <c r="D7068" s="28">
        <v>22991231</v>
      </c>
      <c r="E7068" s="25">
        <v>116.62</v>
      </c>
    </row>
    <row r="7069" spans="1:5" ht="26" x14ac:dyDescent="0.3">
      <c r="A7069" s="17" t="str">
        <f>"Q5112"</f>
        <v>Q5112</v>
      </c>
      <c r="B7069" s="5" t="s">
        <v>7075</v>
      </c>
      <c r="C7069" s="17">
        <v>20230101</v>
      </c>
      <c r="D7069" s="28">
        <v>22991231</v>
      </c>
      <c r="E7069" s="25">
        <v>37.19</v>
      </c>
    </row>
    <row r="7070" spans="1:5" ht="26" x14ac:dyDescent="0.3">
      <c r="A7070" s="17" t="str">
        <f>"Q5113"</f>
        <v>Q5113</v>
      </c>
      <c r="B7070" s="5" t="s">
        <v>7076</v>
      </c>
      <c r="C7070" s="17">
        <v>20230101</v>
      </c>
      <c r="D7070" s="28">
        <v>22991231</v>
      </c>
      <c r="E7070" s="25">
        <v>38.5</v>
      </c>
    </row>
    <row r="7071" spans="1:5" ht="26" x14ac:dyDescent="0.3">
      <c r="A7071" s="17" t="str">
        <f>"Q5114"</f>
        <v>Q5114</v>
      </c>
      <c r="B7071" s="5" t="s">
        <v>7077</v>
      </c>
      <c r="C7071" s="17">
        <v>20230101</v>
      </c>
      <c r="D7071" s="28">
        <v>22991231</v>
      </c>
      <c r="E7071" s="25">
        <v>42.44</v>
      </c>
    </row>
    <row r="7072" spans="1:5" ht="26" x14ac:dyDescent="0.3">
      <c r="A7072" s="17" t="str">
        <f>"Q5115"</f>
        <v>Q5115</v>
      </c>
      <c r="B7072" s="5" t="s">
        <v>7078</v>
      </c>
      <c r="C7072" s="17">
        <v>20230101</v>
      </c>
      <c r="D7072" s="28">
        <v>22991231</v>
      </c>
      <c r="E7072" s="25">
        <v>34.28</v>
      </c>
    </row>
    <row r="7073" spans="1:5" ht="26" x14ac:dyDescent="0.3">
      <c r="A7073" s="17" t="str">
        <f>"Q5116"</f>
        <v>Q5116</v>
      </c>
      <c r="B7073" s="5" t="s">
        <v>7079</v>
      </c>
      <c r="C7073" s="17">
        <v>20230101</v>
      </c>
      <c r="D7073" s="28">
        <v>22991231</v>
      </c>
      <c r="E7073" s="25">
        <v>15.64</v>
      </c>
    </row>
    <row r="7074" spans="1:5" ht="26" x14ac:dyDescent="0.3">
      <c r="A7074" s="17" t="str">
        <f>"Q5117"</f>
        <v>Q5117</v>
      </c>
      <c r="B7074" s="5" t="s">
        <v>7080</v>
      </c>
      <c r="C7074" s="17">
        <v>20230101</v>
      </c>
      <c r="D7074" s="28">
        <v>22991231</v>
      </c>
      <c r="E7074" s="25">
        <v>12.85</v>
      </c>
    </row>
    <row r="7075" spans="1:5" ht="26" x14ac:dyDescent="0.3">
      <c r="A7075" s="17" t="str">
        <f>"Q5118"</f>
        <v>Q5118</v>
      </c>
      <c r="B7075" s="5" t="s">
        <v>7081</v>
      </c>
      <c r="C7075" s="17">
        <v>20230101</v>
      </c>
      <c r="D7075" s="28">
        <v>22991231</v>
      </c>
      <c r="E7075" s="25">
        <v>20.55</v>
      </c>
    </row>
    <row r="7076" spans="1:5" ht="26" x14ac:dyDescent="0.3">
      <c r="A7076" s="17" t="str">
        <f>"Q5119"</f>
        <v>Q5119</v>
      </c>
      <c r="B7076" s="5" t="s">
        <v>7082</v>
      </c>
      <c r="C7076" s="17">
        <v>20230101</v>
      </c>
      <c r="D7076" s="28">
        <v>22991231</v>
      </c>
      <c r="E7076" s="25">
        <v>19.53</v>
      </c>
    </row>
    <row r="7077" spans="1:5" ht="26" x14ac:dyDescent="0.3">
      <c r="A7077" s="17" t="str">
        <f>"Q5120"</f>
        <v>Q5120</v>
      </c>
      <c r="B7077" s="5" t="s">
        <v>7083</v>
      </c>
      <c r="C7077" s="17">
        <v>20230101</v>
      </c>
      <c r="D7077" s="28">
        <v>22991231</v>
      </c>
      <c r="E7077" s="25">
        <v>331.21</v>
      </c>
    </row>
    <row r="7078" spans="1:5" ht="26" x14ac:dyDescent="0.3">
      <c r="A7078" s="17" t="str">
        <f>"Q5121"</f>
        <v>Q5121</v>
      </c>
      <c r="B7078" s="5" t="s">
        <v>7084</v>
      </c>
      <c r="C7078" s="17">
        <v>20230101</v>
      </c>
      <c r="D7078" s="28">
        <v>22991231</v>
      </c>
      <c r="E7078" s="25">
        <v>24.41</v>
      </c>
    </row>
    <row r="7079" spans="1:5" ht="26" x14ac:dyDescent="0.3">
      <c r="A7079" s="17" t="str">
        <f>"Q5122"</f>
        <v>Q5122</v>
      </c>
      <c r="B7079" s="5" t="s">
        <v>7085</v>
      </c>
      <c r="C7079" s="17">
        <v>20230101</v>
      </c>
      <c r="D7079" s="28">
        <v>22991231</v>
      </c>
      <c r="E7079" s="25">
        <v>59.58</v>
      </c>
    </row>
    <row r="7080" spans="1:5" ht="26" x14ac:dyDescent="0.3">
      <c r="A7080" s="17" t="str">
        <f>"Q5123"</f>
        <v>Q5123</v>
      </c>
      <c r="B7080" s="5" t="s">
        <v>7086</v>
      </c>
      <c r="C7080" s="17">
        <v>20230101</v>
      </c>
      <c r="D7080" s="28">
        <v>22991231</v>
      </c>
      <c r="E7080" s="25">
        <v>39.56</v>
      </c>
    </row>
    <row r="7081" spans="1:5" ht="26" x14ac:dyDescent="0.3">
      <c r="A7081" s="17" t="str">
        <f>"Q5124"</f>
        <v>Q5124</v>
      </c>
      <c r="B7081" s="5" t="s">
        <v>7087</v>
      </c>
      <c r="C7081" s="17">
        <v>20230101</v>
      </c>
      <c r="D7081" s="28">
        <v>22991231</v>
      </c>
      <c r="E7081" s="25">
        <v>179.1</v>
      </c>
    </row>
    <row r="7082" spans="1:5" ht="26" x14ac:dyDescent="0.3">
      <c r="A7082" s="17" t="str">
        <f>"Q5125"</f>
        <v>Q5125</v>
      </c>
      <c r="B7082" s="5" t="s">
        <v>7088</v>
      </c>
      <c r="C7082" s="17">
        <v>20230101</v>
      </c>
      <c r="D7082" s="28">
        <v>22991231</v>
      </c>
      <c r="E7082" s="25">
        <v>0.52</v>
      </c>
    </row>
    <row r="7083" spans="1:5" ht="26" x14ac:dyDescent="0.3">
      <c r="A7083" s="17" t="str">
        <f>"Q5126"</f>
        <v>Q5126</v>
      </c>
      <c r="B7083" s="5" t="s">
        <v>7089</v>
      </c>
      <c r="C7083" s="17">
        <v>20230101</v>
      </c>
      <c r="D7083" s="28">
        <v>22991231</v>
      </c>
      <c r="E7083" s="25">
        <v>57.86</v>
      </c>
    </row>
    <row r="7084" spans="1:5" ht="26" x14ac:dyDescent="0.3">
      <c r="A7084" s="17" t="str">
        <f>"Q5127"</f>
        <v>Q5127</v>
      </c>
      <c r="B7084" s="5" t="s">
        <v>7090</v>
      </c>
      <c r="C7084" s="17">
        <v>20240101</v>
      </c>
      <c r="D7084" s="28">
        <v>22991231</v>
      </c>
      <c r="E7084" s="25">
        <v>313.89999999999998</v>
      </c>
    </row>
    <row r="7085" spans="1:5" ht="26" x14ac:dyDescent="0.3">
      <c r="A7085" s="17" t="str">
        <f>"Q5128"</f>
        <v>Q5128</v>
      </c>
      <c r="B7085" s="5" t="s">
        <v>7091</v>
      </c>
      <c r="C7085" s="17">
        <v>20240101</v>
      </c>
      <c r="D7085" s="28">
        <v>22991231</v>
      </c>
      <c r="E7085" s="25">
        <v>250.33</v>
      </c>
    </row>
    <row r="7086" spans="1:5" ht="26" x14ac:dyDescent="0.3">
      <c r="A7086" s="17" t="str">
        <f>"Q5129"</f>
        <v>Q5129</v>
      </c>
      <c r="B7086" s="5" t="s">
        <v>7092</v>
      </c>
      <c r="C7086" s="17">
        <v>20240101</v>
      </c>
      <c r="D7086" s="28">
        <v>22991231</v>
      </c>
      <c r="E7086" s="25">
        <v>69.16</v>
      </c>
    </row>
    <row r="7087" spans="1:5" ht="26" x14ac:dyDescent="0.3">
      <c r="A7087" s="17" t="str">
        <f>"Q5130"</f>
        <v>Q5130</v>
      </c>
      <c r="B7087" s="5" t="s">
        <v>7093</v>
      </c>
      <c r="C7087" s="17">
        <v>20240101</v>
      </c>
      <c r="D7087" s="28">
        <v>22991231</v>
      </c>
      <c r="E7087" s="25">
        <v>192.91</v>
      </c>
    </row>
    <row r="7088" spans="1:5" ht="26" x14ac:dyDescent="0.3">
      <c r="A7088" s="17" t="str">
        <f>"Q5131"</f>
        <v>Q5131</v>
      </c>
      <c r="B7088" s="5" t="s">
        <v>7094</v>
      </c>
      <c r="C7088" s="17">
        <v>20240101</v>
      </c>
      <c r="D7088" s="28">
        <v>22991231</v>
      </c>
      <c r="E7088" s="25">
        <v>0</v>
      </c>
    </row>
    <row r="7089" spans="1:5" ht="26" x14ac:dyDescent="0.3">
      <c r="A7089" s="17" t="str">
        <f>"Q5132"</f>
        <v>Q5132</v>
      </c>
      <c r="B7089" s="5" t="s">
        <v>7095</v>
      </c>
      <c r="C7089" s="17">
        <v>20240101</v>
      </c>
      <c r="D7089" s="28">
        <v>22991231</v>
      </c>
      <c r="E7089" s="25">
        <v>0</v>
      </c>
    </row>
    <row r="7090" spans="1:5" ht="26" x14ac:dyDescent="0.3">
      <c r="A7090" s="17" t="str">
        <f>"Q9950"</f>
        <v>Q9950</v>
      </c>
      <c r="B7090" s="5" t="s">
        <v>7096</v>
      </c>
      <c r="C7090" s="17">
        <v>20230101</v>
      </c>
      <c r="D7090" s="28">
        <v>22991231</v>
      </c>
      <c r="E7090" s="25">
        <v>0</v>
      </c>
    </row>
    <row r="7091" spans="1:5" ht="26" x14ac:dyDescent="0.3">
      <c r="A7091" s="17" t="str">
        <f>"Q9951"</f>
        <v>Q9951</v>
      </c>
      <c r="B7091" s="5" t="s">
        <v>7097</v>
      </c>
      <c r="C7091" s="17">
        <v>20230101</v>
      </c>
      <c r="D7091" s="28">
        <v>22991231</v>
      </c>
      <c r="E7091" s="25">
        <v>0</v>
      </c>
    </row>
    <row r="7092" spans="1:5" ht="26" x14ac:dyDescent="0.3">
      <c r="A7092" s="17" t="str">
        <f>"Q9953"</f>
        <v>Q9953</v>
      </c>
      <c r="B7092" s="5" t="s">
        <v>7098</v>
      </c>
      <c r="C7092" s="17">
        <v>20230101</v>
      </c>
      <c r="D7092" s="28">
        <v>22991231</v>
      </c>
      <c r="E7092" s="25">
        <v>0</v>
      </c>
    </row>
    <row r="7093" spans="1:5" ht="26" x14ac:dyDescent="0.3">
      <c r="A7093" s="17" t="str">
        <f>"Q9954"</f>
        <v>Q9954</v>
      </c>
      <c r="B7093" s="5" t="s">
        <v>7099</v>
      </c>
      <c r="C7093" s="17">
        <v>20230101</v>
      </c>
      <c r="D7093" s="28">
        <v>22991231</v>
      </c>
      <c r="E7093" s="25">
        <v>0</v>
      </c>
    </row>
    <row r="7094" spans="1:5" x14ac:dyDescent="0.3">
      <c r="A7094" s="17" t="str">
        <f>"Q9955"</f>
        <v>Q9955</v>
      </c>
      <c r="B7094" s="5" t="s">
        <v>7100</v>
      </c>
      <c r="C7094" s="17">
        <v>20230101</v>
      </c>
      <c r="D7094" s="28">
        <v>22991231</v>
      </c>
      <c r="E7094" s="25">
        <v>0</v>
      </c>
    </row>
    <row r="7095" spans="1:5" ht="26" x14ac:dyDescent="0.3">
      <c r="A7095" s="17" t="str">
        <f>"Q9956"</f>
        <v>Q9956</v>
      </c>
      <c r="B7095" s="5" t="s">
        <v>7101</v>
      </c>
      <c r="C7095" s="17">
        <v>20230101</v>
      </c>
      <c r="D7095" s="28">
        <v>22991231</v>
      </c>
      <c r="E7095" s="25">
        <v>0</v>
      </c>
    </row>
    <row r="7096" spans="1:5" x14ac:dyDescent="0.3">
      <c r="A7096" s="17" t="str">
        <f>"Q9957"</f>
        <v>Q9957</v>
      </c>
      <c r="B7096" s="5" t="s">
        <v>7102</v>
      </c>
      <c r="C7096" s="17">
        <v>20230101</v>
      </c>
      <c r="D7096" s="28">
        <v>22991231</v>
      </c>
      <c r="E7096" s="25">
        <v>0</v>
      </c>
    </row>
    <row r="7097" spans="1:5" ht="26" x14ac:dyDescent="0.3">
      <c r="A7097" s="17" t="str">
        <f>"Q9958"</f>
        <v>Q9958</v>
      </c>
      <c r="B7097" s="5" t="s">
        <v>7103</v>
      </c>
      <c r="C7097" s="17">
        <v>20230101</v>
      </c>
      <c r="D7097" s="28">
        <v>22991231</v>
      </c>
      <c r="E7097" s="25">
        <v>0</v>
      </c>
    </row>
    <row r="7098" spans="1:5" ht="26" x14ac:dyDescent="0.3">
      <c r="A7098" s="17" t="str">
        <f>"Q9959"</f>
        <v>Q9959</v>
      </c>
      <c r="B7098" s="5" t="s">
        <v>7104</v>
      </c>
      <c r="C7098" s="17">
        <v>20230101</v>
      </c>
      <c r="D7098" s="28">
        <v>22991231</v>
      </c>
      <c r="E7098" s="25">
        <v>0</v>
      </c>
    </row>
    <row r="7099" spans="1:5" ht="26" x14ac:dyDescent="0.3">
      <c r="A7099" s="17" t="str">
        <f>"Q9960"</f>
        <v>Q9960</v>
      </c>
      <c r="B7099" s="5" t="s">
        <v>7105</v>
      </c>
      <c r="C7099" s="17">
        <v>20230101</v>
      </c>
      <c r="D7099" s="28">
        <v>22991231</v>
      </c>
      <c r="E7099" s="25">
        <v>0</v>
      </c>
    </row>
    <row r="7100" spans="1:5" ht="26" x14ac:dyDescent="0.3">
      <c r="A7100" s="17" t="str">
        <f>"Q9961"</f>
        <v>Q9961</v>
      </c>
      <c r="B7100" s="5" t="s">
        <v>7106</v>
      </c>
      <c r="C7100" s="17">
        <v>20230101</v>
      </c>
      <c r="D7100" s="28">
        <v>22991231</v>
      </c>
      <c r="E7100" s="25">
        <v>0</v>
      </c>
    </row>
    <row r="7101" spans="1:5" ht="26" x14ac:dyDescent="0.3">
      <c r="A7101" s="17" t="str">
        <f>"Q9962"</f>
        <v>Q9962</v>
      </c>
      <c r="B7101" s="5" t="s">
        <v>7107</v>
      </c>
      <c r="C7101" s="17">
        <v>20230101</v>
      </c>
      <c r="D7101" s="28">
        <v>22991231</v>
      </c>
      <c r="E7101" s="25">
        <v>0</v>
      </c>
    </row>
    <row r="7102" spans="1:5" ht="26" x14ac:dyDescent="0.3">
      <c r="A7102" s="17" t="str">
        <f>"Q9963"</f>
        <v>Q9963</v>
      </c>
      <c r="B7102" s="5" t="s">
        <v>7108</v>
      </c>
      <c r="C7102" s="17">
        <v>20230101</v>
      </c>
      <c r="D7102" s="28">
        <v>22991231</v>
      </c>
      <c r="E7102" s="25">
        <v>0</v>
      </c>
    </row>
    <row r="7103" spans="1:5" ht="26" x14ac:dyDescent="0.3">
      <c r="A7103" s="17" t="str">
        <f>"Q9964"</f>
        <v>Q9964</v>
      </c>
      <c r="B7103" s="5" t="s">
        <v>7109</v>
      </c>
      <c r="C7103" s="17">
        <v>20230101</v>
      </c>
      <c r="D7103" s="28">
        <v>22991231</v>
      </c>
      <c r="E7103" s="25">
        <v>0</v>
      </c>
    </row>
    <row r="7104" spans="1:5" ht="26" x14ac:dyDescent="0.3">
      <c r="A7104" s="17" t="str">
        <f>"Q9965"</f>
        <v>Q9965</v>
      </c>
      <c r="B7104" s="5" t="s">
        <v>7110</v>
      </c>
      <c r="C7104" s="17">
        <v>20230101</v>
      </c>
      <c r="D7104" s="28">
        <v>22991231</v>
      </c>
      <c r="E7104" s="25">
        <v>0</v>
      </c>
    </row>
    <row r="7105" spans="1:5" ht="26" x14ac:dyDescent="0.3">
      <c r="A7105" s="17" t="str">
        <f>"Q9966"</f>
        <v>Q9966</v>
      </c>
      <c r="B7105" s="5" t="s">
        <v>7111</v>
      </c>
      <c r="C7105" s="17">
        <v>20230101</v>
      </c>
      <c r="D7105" s="28">
        <v>22991231</v>
      </c>
      <c r="E7105" s="25">
        <v>0</v>
      </c>
    </row>
    <row r="7106" spans="1:5" ht="26" x14ac:dyDescent="0.3">
      <c r="A7106" s="17" t="str">
        <f>"Q9967"</f>
        <v>Q9967</v>
      </c>
      <c r="B7106" s="5" t="s">
        <v>7112</v>
      </c>
      <c r="C7106" s="17">
        <v>20230101</v>
      </c>
      <c r="D7106" s="28">
        <v>22991231</v>
      </c>
      <c r="E7106" s="25">
        <v>0</v>
      </c>
    </row>
    <row r="7107" spans="1:5" ht="39" x14ac:dyDescent="0.3">
      <c r="A7107" s="17" t="str">
        <f>"Q9968"</f>
        <v>Q9968</v>
      </c>
      <c r="B7107" s="5" t="s">
        <v>7113</v>
      </c>
      <c r="C7107" s="17">
        <v>20230101</v>
      </c>
      <c r="D7107" s="28">
        <v>22991231</v>
      </c>
      <c r="E7107" s="25">
        <v>7.59</v>
      </c>
    </row>
    <row r="7108" spans="1:5" ht="26" x14ac:dyDescent="0.3">
      <c r="A7108" s="17" t="str">
        <f>"Q9982"</f>
        <v>Q9982</v>
      </c>
      <c r="B7108" s="5" t="s">
        <v>7114</v>
      </c>
      <c r="C7108" s="17">
        <v>20230101</v>
      </c>
      <c r="D7108" s="28">
        <v>22991231</v>
      </c>
      <c r="E7108" s="25">
        <v>0</v>
      </c>
    </row>
    <row r="7109" spans="1:5" ht="26" x14ac:dyDescent="0.3">
      <c r="A7109" s="17" t="str">
        <f>"Q9983"</f>
        <v>Q9983</v>
      </c>
      <c r="B7109" s="5" t="s">
        <v>7115</v>
      </c>
      <c r="C7109" s="17">
        <v>20230101</v>
      </c>
      <c r="D7109" s="28">
        <v>22991231</v>
      </c>
      <c r="E7109" s="25">
        <v>0</v>
      </c>
    </row>
    <row r="7110" spans="1:5" ht="26" x14ac:dyDescent="0.3">
      <c r="A7110" s="17" t="str">
        <f>"Q9991"</f>
        <v>Q9991</v>
      </c>
      <c r="B7110" s="5" t="s">
        <v>7116</v>
      </c>
      <c r="C7110" s="17">
        <v>20230101</v>
      </c>
      <c r="D7110" s="28">
        <v>22991231</v>
      </c>
      <c r="E7110" s="25">
        <v>1802.47</v>
      </c>
    </row>
    <row r="7111" spans="1:5" ht="26" x14ac:dyDescent="0.3">
      <c r="A7111" s="17" t="str">
        <f>"Q9992"</f>
        <v>Q9992</v>
      </c>
      <c r="B7111" s="5" t="s">
        <v>7117</v>
      </c>
      <c r="C7111" s="17">
        <v>20230101</v>
      </c>
      <c r="D7111" s="28">
        <v>22991231</v>
      </c>
      <c r="E7111" s="25">
        <v>1802.47</v>
      </c>
    </row>
    <row r="7112" spans="1:5" ht="78" x14ac:dyDescent="0.3">
      <c r="A7112" s="17" t="str">
        <f>"S2068"</f>
        <v>S2068</v>
      </c>
      <c r="B7112" s="5" t="s">
        <v>7118</v>
      </c>
      <c r="C7112" s="17">
        <v>20060101</v>
      </c>
      <c r="D7112" s="28">
        <v>22991231</v>
      </c>
      <c r="E7112" s="24" t="s">
        <v>7128</v>
      </c>
    </row>
    <row r="7113" spans="1:5" x14ac:dyDescent="0.3">
      <c r="A7113" s="17" t="str">
        <f>"S2079"</f>
        <v>S2079</v>
      </c>
      <c r="B7113" s="5" t="s">
        <v>7119</v>
      </c>
      <c r="C7113" s="17">
        <v>20060101</v>
      </c>
      <c r="D7113" s="28">
        <v>22991231</v>
      </c>
      <c r="E7113" s="24" t="s">
        <v>7128</v>
      </c>
    </row>
    <row r="7114" spans="1:5" x14ac:dyDescent="0.3">
      <c r="A7114" s="17" t="str">
        <f>"S2117"</f>
        <v>S2117</v>
      </c>
      <c r="B7114" s="5" t="s">
        <v>7120</v>
      </c>
      <c r="C7114" s="17">
        <v>20060101</v>
      </c>
      <c r="D7114" s="28">
        <v>22991231</v>
      </c>
      <c r="E7114" s="24" t="s">
        <v>7128</v>
      </c>
    </row>
    <row r="7115" spans="1:5" ht="39" x14ac:dyDescent="0.3">
      <c r="A7115" s="17" t="str">
        <f>"S2900"</f>
        <v>S2900</v>
      </c>
      <c r="B7115" s="5" t="s">
        <v>7121</v>
      </c>
      <c r="C7115" s="17">
        <v>20060101</v>
      </c>
      <c r="D7115" s="28">
        <v>22991231</v>
      </c>
      <c r="E7115" s="24" t="s">
        <v>7128</v>
      </c>
    </row>
    <row r="7116" spans="1:5" x14ac:dyDescent="0.3">
      <c r="A7116" s="17" t="str">
        <f>"V2630"</f>
        <v>V2630</v>
      </c>
      <c r="B7116" s="5" t="s">
        <v>7122</v>
      </c>
      <c r="C7116" s="17">
        <v>19900101</v>
      </c>
      <c r="D7116" s="28">
        <v>22991231</v>
      </c>
      <c r="E7116" s="25">
        <v>0</v>
      </c>
    </row>
    <row r="7117" spans="1:5" x14ac:dyDescent="0.3">
      <c r="A7117" s="17" t="str">
        <f>"V2631"</f>
        <v>V2631</v>
      </c>
      <c r="B7117" s="5" t="s">
        <v>7123</v>
      </c>
      <c r="C7117" s="17">
        <v>20230101</v>
      </c>
      <c r="D7117" s="28">
        <v>22991231</v>
      </c>
      <c r="E7117" s="25">
        <v>0</v>
      </c>
    </row>
    <row r="7118" spans="1:5" x14ac:dyDescent="0.3">
      <c r="A7118" s="17" t="str">
        <f>"V2632"</f>
        <v>V2632</v>
      </c>
      <c r="B7118" s="5" t="s">
        <v>7124</v>
      </c>
      <c r="C7118" s="17">
        <v>19900101</v>
      </c>
      <c r="D7118" s="28">
        <v>22991231</v>
      </c>
      <c r="E7118" s="25">
        <v>0</v>
      </c>
    </row>
    <row r="7119" spans="1:5" ht="26" x14ac:dyDescent="0.3">
      <c r="A7119" s="17" t="str">
        <f>"V2785"</f>
        <v>V2785</v>
      </c>
      <c r="B7119" s="5" t="s">
        <v>7125</v>
      </c>
      <c r="C7119" s="17">
        <v>19900401</v>
      </c>
      <c r="D7119" s="28">
        <v>22991231</v>
      </c>
      <c r="E7119" s="25">
        <v>0</v>
      </c>
    </row>
    <row r="7120" spans="1:5" ht="26" x14ac:dyDescent="0.3">
      <c r="A7120" s="17" t="str">
        <f>"V2790"</f>
        <v>V2790</v>
      </c>
      <c r="B7120" s="5" t="s">
        <v>7126</v>
      </c>
      <c r="C7120" s="17">
        <v>20230101</v>
      </c>
      <c r="D7120" s="28">
        <v>22991231</v>
      </c>
      <c r="E7120" s="25">
        <v>0</v>
      </c>
    </row>
    <row r="7121" spans="1:5" x14ac:dyDescent="0.3">
      <c r="A7121" s="17" t="str">
        <f>"V2799"</f>
        <v>V2799</v>
      </c>
      <c r="B7121" s="5" t="s">
        <v>7127</v>
      </c>
      <c r="C7121" s="17">
        <v>19900101</v>
      </c>
      <c r="D7121" s="28">
        <v>22991231</v>
      </c>
      <c r="E7121" s="24" t="s">
        <v>7128</v>
      </c>
    </row>
    <row r="7122" spans="1:5" x14ac:dyDescent="0.3">
      <c r="E7122" s="29"/>
    </row>
  </sheetData>
  <sortState xmlns:xlrd2="http://schemas.microsoft.com/office/spreadsheetml/2017/richdata2" ref="A17:E7121">
    <sortCondition ref="A17:A7121"/>
  </sortState>
  <mergeCells count="13">
    <mergeCell ref="A10:E10"/>
    <mergeCell ref="A11:E11"/>
    <mergeCell ref="A12:E13"/>
    <mergeCell ref="A14:E14"/>
    <mergeCell ref="A1:E1"/>
    <mergeCell ref="A3:E3"/>
    <mergeCell ref="A4:E4"/>
    <mergeCell ref="A2:E2"/>
    <mergeCell ref="A5:E5"/>
    <mergeCell ref="A6:E6"/>
    <mergeCell ref="A7:E7"/>
    <mergeCell ref="A8:E8"/>
    <mergeCell ref="A9:E9"/>
  </mergeCells>
  <hyperlinks>
    <hyperlink ref="A4" r:id="rId1" xr:uid="{E30CF424-B999-4FFA-B820-AEFFD32206C8}"/>
  </hyperlinks>
  <pageMargins left="0.5" right="0.25" top="0.75" bottom="0.75" header="0.3" footer="0.3"/>
  <pageSetup scale="115" orientation="landscape" horizontalDpi="300" verticalDpi="300" r:id="rId2"/>
  <headerFooter>
    <oddHeader>&amp;C&amp;16 &amp;10 2024 Kentucky Medicaid ASC Fee Schedule&amp;RRevised 11.19.2024</oddHeader>
    <oddFooter>&amp;L&amp;9https://www.chfs.ky.gov/agencies/dms/Pages/feesrates.aspx&amp;C&amp;G&amp;R&amp;P</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E2AD8-1D4D-4E7B-8C24-F449B8B0305D}">
  <dimension ref="A1:C100"/>
  <sheetViews>
    <sheetView topLeftCell="A4" workbookViewId="0">
      <selection activeCell="B9" sqref="B9"/>
    </sheetView>
  </sheetViews>
  <sheetFormatPr defaultRowHeight="13" x14ac:dyDescent="0.3"/>
  <cols>
    <col min="1" max="1" width="13.796875" bestFit="1" customWidth="1"/>
    <col min="2" max="2" width="110.19921875" customWidth="1"/>
    <col min="3" max="3" width="11.5" bestFit="1" customWidth="1"/>
  </cols>
  <sheetData>
    <row r="1" spans="1:3" ht="24" thickBot="1" x14ac:dyDescent="0.6">
      <c r="A1" s="66" t="s">
        <v>14</v>
      </c>
      <c r="B1" s="66"/>
      <c r="C1" s="66"/>
    </row>
    <row r="2" spans="1:3" ht="44" thickBot="1" x14ac:dyDescent="0.4">
      <c r="A2" s="1" t="s">
        <v>10</v>
      </c>
      <c r="B2" s="1" t="s">
        <v>11</v>
      </c>
      <c r="C2" s="2" t="s">
        <v>12</v>
      </c>
    </row>
    <row r="3" spans="1:3" ht="79.5" x14ac:dyDescent="0.3">
      <c r="A3" s="3" t="s">
        <v>13</v>
      </c>
      <c r="B3" s="13" t="s">
        <v>15</v>
      </c>
      <c r="C3" s="3">
        <v>45314</v>
      </c>
    </row>
    <row r="4" spans="1:3" ht="39" x14ac:dyDescent="0.3">
      <c r="A4" s="3">
        <v>44927</v>
      </c>
      <c r="B4" s="5" t="s">
        <v>24</v>
      </c>
      <c r="C4" s="3">
        <v>45426</v>
      </c>
    </row>
    <row r="5" spans="1:3" x14ac:dyDescent="0.3">
      <c r="A5" s="3">
        <v>45292</v>
      </c>
      <c r="B5" s="27" t="s">
        <v>7131</v>
      </c>
      <c r="C5" s="3">
        <v>45498</v>
      </c>
    </row>
    <row r="6" spans="1:3" ht="143" x14ac:dyDescent="0.3">
      <c r="A6" s="3">
        <v>45292</v>
      </c>
      <c r="B6" s="27" t="s">
        <v>7135</v>
      </c>
      <c r="C6" s="3">
        <v>45576</v>
      </c>
    </row>
    <row r="7" spans="1:3" ht="39" x14ac:dyDescent="0.3">
      <c r="A7" s="3">
        <v>45292</v>
      </c>
      <c r="B7" s="5" t="s">
        <v>7138</v>
      </c>
      <c r="C7" s="3">
        <v>45579</v>
      </c>
    </row>
    <row r="8" spans="1:3" x14ac:dyDescent="0.3">
      <c r="A8" s="3">
        <v>45292</v>
      </c>
      <c r="B8" s="67" t="s">
        <v>7139</v>
      </c>
      <c r="C8" s="3">
        <v>45615</v>
      </c>
    </row>
    <row r="9" spans="1:3" x14ac:dyDescent="0.3">
      <c r="A9" s="3"/>
      <c r="B9" s="5"/>
      <c r="C9" s="3"/>
    </row>
    <row r="10" spans="1:3" x14ac:dyDescent="0.3">
      <c r="A10" s="3"/>
      <c r="B10" s="5"/>
      <c r="C10" s="3"/>
    </row>
    <row r="11" spans="1:3" x14ac:dyDescent="0.3">
      <c r="A11" s="3"/>
      <c r="B11" s="6"/>
      <c r="C11" s="7"/>
    </row>
    <row r="12" spans="1:3" x14ac:dyDescent="0.3">
      <c r="A12" s="3"/>
      <c r="B12" s="6"/>
      <c r="C12" s="7"/>
    </row>
    <row r="13" spans="1:3" ht="14.5" x14ac:dyDescent="0.35">
      <c r="A13" s="3"/>
      <c r="B13" s="8"/>
      <c r="C13" s="7"/>
    </row>
    <row r="14" spans="1:3" ht="14.5" x14ac:dyDescent="0.35">
      <c r="A14" s="3"/>
      <c r="B14" s="8"/>
      <c r="C14" s="7"/>
    </row>
    <row r="15" spans="1:3" ht="14.5" x14ac:dyDescent="0.35">
      <c r="A15" s="3"/>
      <c r="B15" s="9"/>
      <c r="C15" s="10"/>
    </row>
    <row r="16" spans="1:3" ht="14.5" x14ac:dyDescent="0.35">
      <c r="A16" s="3"/>
      <c r="B16" s="9"/>
      <c r="C16" s="11"/>
    </row>
    <row r="17" spans="1:3" ht="14.5" x14ac:dyDescent="0.35">
      <c r="A17" s="3"/>
      <c r="B17" s="12"/>
      <c r="C17" s="3"/>
    </row>
    <row r="18" spans="1:3" x14ac:dyDescent="0.3">
      <c r="A18" s="3"/>
      <c r="B18" s="4"/>
      <c r="C18" s="3"/>
    </row>
    <row r="19" spans="1:3" x14ac:dyDescent="0.3">
      <c r="A19" s="3"/>
      <c r="B19" s="4"/>
      <c r="C19" s="3"/>
    </row>
    <row r="20" spans="1:3" x14ac:dyDescent="0.3">
      <c r="A20" s="3"/>
      <c r="B20" s="4"/>
      <c r="C20" s="3"/>
    </row>
    <row r="21" spans="1:3" x14ac:dyDescent="0.3">
      <c r="A21" s="3"/>
      <c r="B21" s="4"/>
      <c r="C21" s="3"/>
    </row>
    <row r="22" spans="1:3" x14ac:dyDescent="0.3">
      <c r="A22" s="3"/>
      <c r="B22" s="4"/>
      <c r="C22" s="3"/>
    </row>
    <row r="23" spans="1:3" x14ac:dyDescent="0.3">
      <c r="A23" s="3"/>
      <c r="B23" s="4"/>
      <c r="C23" s="3"/>
    </row>
    <row r="24" spans="1:3" x14ac:dyDescent="0.3">
      <c r="A24" s="3"/>
      <c r="B24" s="4"/>
      <c r="C24" s="3"/>
    </row>
    <row r="25" spans="1:3" x14ac:dyDescent="0.3">
      <c r="A25" s="3"/>
      <c r="B25" s="4"/>
      <c r="C25" s="3"/>
    </row>
    <row r="26" spans="1:3" x14ac:dyDescent="0.3">
      <c r="A26" s="3"/>
      <c r="B26" s="4"/>
      <c r="C26" s="3"/>
    </row>
    <row r="27" spans="1:3" x14ac:dyDescent="0.3">
      <c r="A27" s="3"/>
      <c r="B27" s="4"/>
      <c r="C27" s="3"/>
    </row>
    <row r="28" spans="1:3" x14ac:dyDescent="0.3">
      <c r="A28" s="3"/>
      <c r="B28" s="4"/>
      <c r="C28" s="3"/>
    </row>
    <row r="29" spans="1:3" x14ac:dyDescent="0.3">
      <c r="A29" s="3"/>
      <c r="B29" s="4"/>
      <c r="C29" s="3"/>
    </row>
    <row r="30" spans="1:3" x14ac:dyDescent="0.3">
      <c r="A30" s="3"/>
      <c r="B30" s="4"/>
      <c r="C30" s="3"/>
    </row>
    <row r="31" spans="1:3" x14ac:dyDescent="0.3">
      <c r="A31" s="3"/>
      <c r="B31" s="4"/>
      <c r="C31" s="3"/>
    </row>
    <row r="32" spans="1:3" x14ac:dyDescent="0.3">
      <c r="A32" s="3"/>
      <c r="B32" s="4"/>
      <c r="C32" s="3"/>
    </row>
    <row r="33" spans="1:3" x14ac:dyDescent="0.3">
      <c r="A33" s="3"/>
      <c r="B33" s="4"/>
      <c r="C33" s="3"/>
    </row>
    <row r="34" spans="1:3" x14ac:dyDescent="0.3">
      <c r="A34" s="3"/>
      <c r="B34" s="4"/>
      <c r="C34" s="3"/>
    </row>
    <row r="35" spans="1:3" x14ac:dyDescent="0.3">
      <c r="A35" s="3"/>
      <c r="B35" s="4"/>
      <c r="C35" s="3"/>
    </row>
    <row r="36" spans="1:3" x14ac:dyDescent="0.3">
      <c r="A36" s="3"/>
      <c r="B36" s="4"/>
      <c r="C36" s="3"/>
    </row>
    <row r="37" spans="1:3" x14ac:dyDescent="0.3">
      <c r="A37" s="3"/>
      <c r="B37" s="4"/>
      <c r="C37" s="3"/>
    </row>
    <row r="38" spans="1:3" x14ac:dyDescent="0.3">
      <c r="A38" s="3"/>
      <c r="B38" s="4"/>
      <c r="C38" s="3"/>
    </row>
    <row r="39" spans="1:3" x14ac:dyDescent="0.3">
      <c r="A39" s="3"/>
      <c r="B39" s="4"/>
      <c r="C39" s="3"/>
    </row>
    <row r="40" spans="1:3" x14ac:dyDescent="0.3">
      <c r="A40" s="3"/>
      <c r="B40" s="4"/>
      <c r="C40" s="3"/>
    </row>
    <row r="41" spans="1:3" x14ac:dyDescent="0.3">
      <c r="A41" s="3"/>
      <c r="B41" s="4"/>
      <c r="C41" s="3"/>
    </row>
    <row r="42" spans="1:3" x14ac:dyDescent="0.3">
      <c r="A42" s="3"/>
      <c r="B42" s="4"/>
      <c r="C42" s="3"/>
    </row>
    <row r="43" spans="1:3" x14ac:dyDescent="0.3">
      <c r="A43" s="3"/>
      <c r="B43" s="4"/>
      <c r="C43" s="3"/>
    </row>
    <row r="44" spans="1:3" x14ac:dyDescent="0.3">
      <c r="A44" s="3"/>
      <c r="B44" s="4"/>
      <c r="C44" s="3"/>
    </row>
    <row r="45" spans="1:3" x14ac:dyDescent="0.3">
      <c r="A45" s="3"/>
      <c r="B45" s="4"/>
      <c r="C45" s="3"/>
    </row>
    <row r="46" spans="1:3" x14ac:dyDescent="0.3">
      <c r="A46" s="3"/>
      <c r="B46" s="4"/>
      <c r="C46" s="3"/>
    </row>
    <row r="47" spans="1:3" x14ac:dyDescent="0.3">
      <c r="A47" s="3"/>
      <c r="B47" s="4"/>
      <c r="C47" s="3"/>
    </row>
    <row r="48" spans="1:3" x14ac:dyDescent="0.3">
      <c r="A48" s="3"/>
      <c r="B48" s="4"/>
      <c r="C48" s="3"/>
    </row>
    <row r="49" spans="1:3" x14ac:dyDescent="0.3">
      <c r="A49" s="3"/>
      <c r="B49" s="4"/>
      <c r="C49" s="3"/>
    </row>
    <row r="50" spans="1:3" x14ac:dyDescent="0.3">
      <c r="A50" s="3"/>
      <c r="B50" s="4"/>
      <c r="C50" s="3"/>
    </row>
    <row r="51" spans="1:3" x14ac:dyDescent="0.3">
      <c r="A51" s="3"/>
      <c r="B51" s="4"/>
      <c r="C51" s="3"/>
    </row>
    <row r="52" spans="1:3" x14ac:dyDescent="0.3">
      <c r="A52" s="3"/>
      <c r="B52" s="4"/>
      <c r="C52" s="3"/>
    </row>
    <row r="53" spans="1:3" x14ac:dyDescent="0.3">
      <c r="A53" s="3"/>
      <c r="B53" s="4"/>
      <c r="C53" s="3"/>
    </row>
    <row r="54" spans="1:3" x14ac:dyDescent="0.3">
      <c r="A54" s="3"/>
      <c r="B54" s="4"/>
      <c r="C54" s="3"/>
    </row>
    <row r="55" spans="1:3" x14ac:dyDescent="0.3">
      <c r="A55" s="3"/>
      <c r="B55" s="4"/>
      <c r="C55" s="3"/>
    </row>
    <row r="56" spans="1:3" x14ac:dyDescent="0.3">
      <c r="A56" s="3"/>
      <c r="B56" s="4"/>
      <c r="C56" s="3"/>
    </row>
    <row r="57" spans="1:3" x14ac:dyDescent="0.3">
      <c r="A57" s="3"/>
      <c r="B57" s="4"/>
      <c r="C57" s="3"/>
    </row>
    <row r="58" spans="1:3" x14ac:dyDescent="0.3">
      <c r="A58" s="3"/>
      <c r="B58" s="4"/>
      <c r="C58" s="3"/>
    </row>
    <row r="59" spans="1:3" x14ac:dyDescent="0.3">
      <c r="A59" s="3"/>
      <c r="B59" s="4"/>
      <c r="C59" s="3"/>
    </row>
    <row r="60" spans="1:3" x14ac:dyDescent="0.3">
      <c r="A60" s="3"/>
      <c r="B60" s="4"/>
      <c r="C60" s="3"/>
    </row>
    <row r="61" spans="1:3" x14ac:dyDescent="0.3">
      <c r="A61" s="3"/>
      <c r="B61" s="4"/>
      <c r="C61" s="3"/>
    </row>
    <row r="62" spans="1:3" x14ac:dyDescent="0.3">
      <c r="A62" s="3"/>
      <c r="B62" s="4"/>
      <c r="C62" s="3"/>
    </row>
    <row r="63" spans="1:3" x14ac:dyDescent="0.3">
      <c r="A63" s="3"/>
      <c r="B63" s="4"/>
      <c r="C63" s="3"/>
    </row>
    <row r="64" spans="1:3" x14ac:dyDescent="0.3">
      <c r="A64" s="3"/>
      <c r="B64" s="4"/>
      <c r="C64" s="3"/>
    </row>
    <row r="65" spans="1:3" x14ac:dyDescent="0.3">
      <c r="A65" s="3"/>
      <c r="B65" s="4"/>
      <c r="C65" s="3"/>
    </row>
    <row r="66" spans="1:3" x14ac:dyDescent="0.3">
      <c r="A66" s="3"/>
      <c r="B66" s="4"/>
      <c r="C66" s="3"/>
    </row>
    <row r="67" spans="1:3" x14ac:dyDescent="0.3">
      <c r="A67" s="3"/>
      <c r="B67" s="4"/>
      <c r="C67" s="3"/>
    </row>
    <row r="68" spans="1:3" x14ac:dyDescent="0.3">
      <c r="A68" s="3"/>
      <c r="B68" s="4"/>
      <c r="C68" s="3"/>
    </row>
    <row r="69" spans="1:3" x14ac:dyDescent="0.3">
      <c r="A69" s="3"/>
      <c r="B69" s="4"/>
      <c r="C69" s="3"/>
    </row>
    <row r="70" spans="1:3" x14ac:dyDescent="0.3">
      <c r="A70" s="3"/>
      <c r="B70" s="4"/>
      <c r="C70" s="3"/>
    </row>
    <row r="71" spans="1:3" x14ac:dyDescent="0.3">
      <c r="A71" s="3"/>
      <c r="B71" s="4"/>
      <c r="C71" s="3"/>
    </row>
    <row r="72" spans="1:3" x14ac:dyDescent="0.3">
      <c r="A72" s="3"/>
      <c r="B72" s="4"/>
      <c r="C72" s="3"/>
    </row>
    <row r="73" spans="1:3" x14ac:dyDescent="0.3">
      <c r="A73" s="3"/>
      <c r="B73" s="4"/>
      <c r="C73" s="3"/>
    </row>
    <row r="74" spans="1:3" x14ac:dyDescent="0.3">
      <c r="A74" s="3"/>
      <c r="B74" s="4"/>
      <c r="C74" s="3"/>
    </row>
    <row r="75" spans="1:3" x14ac:dyDescent="0.3">
      <c r="A75" s="3"/>
      <c r="B75" s="4"/>
      <c r="C75" s="3"/>
    </row>
    <row r="76" spans="1:3" x14ac:dyDescent="0.3">
      <c r="A76" s="3"/>
      <c r="B76" s="4"/>
      <c r="C76" s="3"/>
    </row>
    <row r="77" spans="1:3" x14ac:dyDescent="0.3">
      <c r="A77" s="3"/>
      <c r="B77" s="4"/>
      <c r="C77" s="3"/>
    </row>
    <row r="78" spans="1:3" x14ac:dyDescent="0.3">
      <c r="A78" s="3"/>
      <c r="B78" s="4"/>
      <c r="C78" s="3"/>
    </row>
    <row r="79" spans="1:3" x14ac:dyDescent="0.3">
      <c r="A79" s="3"/>
      <c r="B79" s="4"/>
      <c r="C79" s="3"/>
    </row>
    <row r="80" spans="1:3" x14ac:dyDescent="0.3">
      <c r="A80" s="3"/>
      <c r="B80" s="4"/>
      <c r="C80" s="3"/>
    </row>
    <row r="81" spans="1:3" x14ac:dyDescent="0.3">
      <c r="A81" s="3"/>
      <c r="B81" s="4"/>
      <c r="C81" s="3"/>
    </row>
    <row r="82" spans="1:3" x14ac:dyDescent="0.3">
      <c r="A82" s="3"/>
      <c r="B82" s="4"/>
      <c r="C82" s="3"/>
    </row>
    <row r="83" spans="1:3" x14ac:dyDescent="0.3">
      <c r="A83" s="3"/>
      <c r="B83" s="4"/>
      <c r="C83" s="3"/>
    </row>
    <row r="84" spans="1:3" x14ac:dyDescent="0.3">
      <c r="A84" s="3"/>
      <c r="B84" s="4"/>
      <c r="C84" s="3"/>
    </row>
    <row r="85" spans="1:3" x14ac:dyDescent="0.3">
      <c r="A85" s="3"/>
      <c r="B85" s="4"/>
      <c r="C85" s="3"/>
    </row>
    <row r="86" spans="1:3" x14ac:dyDescent="0.3">
      <c r="A86" s="3"/>
      <c r="B86" s="4"/>
      <c r="C86" s="3"/>
    </row>
    <row r="87" spans="1:3" x14ac:dyDescent="0.3">
      <c r="A87" s="3"/>
      <c r="B87" s="4"/>
      <c r="C87" s="3"/>
    </row>
    <row r="88" spans="1:3" x14ac:dyDescent="0.3">
      <c r="A88" s="3"/>
      <c r="B88" s="4"/>
      <c r="C88" s="3"/>
    </row>
    <row r="89" spans="1:3" x14ac:dyDescent="0.3">
      <c r="A89" s="3"/>
      <c r="B89" s="4"/>
      <c r="C89" s="3"/>
    </row>
    <row r="90" spans="1:3" x14ac:dyDescent="0.3">
      <c r="A90" s="3"/>
      <c r="B90" s="4"/>
      <c r="C90" s="3"/>
    </row>
    <row r="91" spans="1:3" x14ac:dyDescent="0.3">
      <c r="A91" s="3"/>
      <c r="B91" s="4"/>
      <c r="C91" s="3"/>
    </row>
    <row r="92" spans="1:3" x14ac:dyDescent="0.3">
      <c r="A92" s="3"/>
      <c r="B92" s="4"/>
      <c r="C92" s="3"/>
    </row>
    <row r="93" spans="1:3" x14ac:dyDescent="0.3">
      <c r="A93" s="3"/>
      <c r="B93" s="4"/>
      <c r="C93" s="3"/>
    </row>
    <row r="94" spans="1:3" x14ac:dyDescent="0.3">
      <c r="A94" s="3"/>
      <c r="B94" s="4"/>
      <c r="C94" s="3"/>
    </row>
    <row r="95" spans="1:3" x14ac:dyDescent="0.3">
      <c r="A95" s="3"/>
      <c r="B95" s="4"/>
      <c r="C95" s="3"/>
    </row>
    <row r="96" spans="1:3" x14ac:dyDescent="0.3">
      <c r="A96" s="3"/>
      <c r="B96" s="4"/>
      <c r="C96" s="3"/>
    </row>
    <row r="97" spans="1:3" x14ac:dyDescent="0.3">
      <c r="A97" s="3"/>
      <c r="B97" s="4"/>
      <c r="C97" s="3"/>
    </row>
    <row r="98" spans="1:3" x14ac:dyDescent="0.3">
      <c r="A98" s="3"/>
      <c r="B98" s="4"/>
      <c r="C98" s="3"/>
    </row>
    <row r="99" spans="1:3" x14ac:dyDescent="0.3">
      <c r="A99" s="3"/>
      <c r="B99" s="4"/>
      <c r="C99" s="3"/>
    </row>
    <row r="100" spans="1:3" x14ac:dyDescent="0.3">
      <c r="A100" s="3"/>
      <c r="B100" s="4"/>
      <c r="C100" s="3"/>
    </row>
  </sheetData>
  <mergeCells count="1">
    <mergeCell ref="A1:C1"/>
  </mergeCells>
  <pageMargins left="0.3" right="0.3" top="0.75" bottom="0.75" header="0.3" footer="0.3"/>
  <pageSetup orientation="landscape" horizontalDpi="4294967293" verticalDpi="1200" r:id="rId1"/>
  <extLst>
    <ext xmlns:x14="http://schemas.microsoft.com/office/spreadsheetml/2009/9/main" uri="{05C60535-1F16-4fd2-B633-F4F36F0B64E0}">
      <x14:sparklineGroups xmlns:xm="http://schemas.microsoft.com/office/excel/2006/main">
        <x14:sparklineGroup manualMax="0" manualMin="0" displayEmptyCellsAs="gap" xr2:uid="{E3459C02-A43E-45FE-B192-46E18670668D}">
          <x14:colorSeries rgb="FF376092"/>
          <x14:colorNegative rgb="FFD00000"/>
          <x14:colorAxis rgb="FF000000"/>
          <x14:colorMarkers rgb="FFD00000"/>
          <x14:colorFirst rgb="FFD00000"/>
          <x14:colorLast rgb="FFD00000"/>
          <x14:colorHigh rgb="FFD00000"/>
          <x14:colorLow rgb="FFD00000"/>
          <x14:sparklines>
            <x14:sparkline>
              <xm:f>Updates!$A15:$A15</xm:f>
              <xm:sqref>B15</xm:sqref>
            </x14:sparkline>
          </x14:sparklines>
        </x14:sparklineGroup>
        <x14:sparklineGroup manualMax="0" manualMin="0" displayEmptyCellsAs="gap" xr2:uid="{496D0A7A-1734-4906-B705-1C1494C0D69A}">
          <x14:colorSeries rgb="FF376092"/>
          <x14:colorNegative rgb="FFD00000"/>
          <x14:colorAxis rgb="FF000000"/>
          <x14:colorMarkers rgb="FFD00000"/>
          <x14:colorFirst rgb="FFD00000"/>
          <x14:colorLast rgb="FFD00000"/>
          <x14:colorHigh rgb="FFD00000"/>
          <x14:colorLow rgb="FFD00000"/>
          <x14:sparklines>
            <x14:sparkline>
              <xm:f>Updates!$A16:$A16</xm:f>
              <xm:sqref>B16</xm:sqref>
            </x14:sparkline>
          </x14:sparklines>
        </x14:sparklineGroup>
      </x14:sparklineGroup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9w7 xmlns="dcdf0062-15e6-47f3-91ae-956c1b802128">2024-11-19T18:25:00+00:00</b9w7>
    <Provider_x0020_Type xmlns="9d98fa39-7fbd-4685-a488-797cac822720">
      <Value>29</Value>
    </Provider_x0020_Type>
    <Waiver_x0020_Type xmlns="9d98fa39-7fbd-4685-a488-797cac822720"/>
    <chfsDmsFeeRateSchedTerms xmlns="fdbd306d-9ecd-4c95-826c-c285ba0bc3b3">Ambulatory Surgical Center Services</chfsDmsFeeRateSchedTerms>
    <Search_x0020_Year xmlns="9d98fa39-7fbd-4685-a488-797cac822720">22</Search_x0020_Year>
  </documentManagement>
</p:properties>
</file>

<file path=customXml/item2.xml><?xml version="1.0" encoding="utf-8"?>
<ct:contentTypeSchema xmlns:ct="http://schemas.microsoft.com/office/2006/metadata/contentType" xmlns:ma="http://schemas.microsoft.com/office/2006/metadata/properties/metaAttributes" ct:_="" ma:_="" ma:contentTypeName="DMS Provider Letter" ma:contentTypeID="0x0101008DA2CD0899BBAE4D907571C6908B6AC70012190DE0FAEAD649A0F28B976FB5BD99" ma:contentTypeVersion="8" ma:contentTypeDescription="" ma:contentTypeScope="" ma:versionID="9ed37861270ac0efc9424fac88283939">
  <xsd:schema xmlns:xsd="http://www.w3.org/2001/XMLSchema" xmlns:xs="http://www.w3.org/2001/XMLSchema" xmlns:p="http://schemas.microsoft.com/office/2006/metadata/properties" xmlns:ns2="9d98fa39-7fbd-4685-a488-797cac822720" xmlns:ns3="fdbd306d-9ecd-4c95-826c-c285ba0bc3b3" xmlns:ns4="dcdf0062-15e6-47f3-91ae-956c1b802128" targetNamespace="http://schemas.microsoft.com/office/2006/metadata/properties" ma:root="true" ma:fieldsID="fe3a7c7df6a356d7440f8fb2fc41ff6a" ns2:_="" ns3:_="" ns4:_="">
    <xsd:import namespace="9d98fa39-7fbd-4685-a488-797cac822720"/>
    <xsd:import namespace="fdbd306d-9ecd-4c95-826c-c285ba0bc3b3"/>
    <xsd:import namespace="dcdf0062-15e6-47f3-91ae-956c1b802128"/>
    <xsd:element name="properties">
      <xsd:complexType>
        <xsd:sequence>
          <xsd:element name="documentManagement">
            <xsd:complexType>
              <xsd:all>
                <xsd:element ref="ns2:Provider_x0020_Type" minOccurs="0"/>
                <xsd:element ref="ns2:Search_x0020_Year" minOccurs="0"/>
                <xsd:element ref="ns2:Waiver_x0020_Type" minOccurs="0"/>
                <xsd:element ref="ns3:chfsDmsFeeRateSchedTerms" minOccurs="0"/>
                <xsd:element ref="ns4:b9w7"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Provider_x0020_Type" ma:index="8" nillable="true" ma:displayName="Provider Type" ma:list="{4b565b23-a38d-42c6-8eab-9519a0cf77f4}" ma:internalName="Provider_x0020_Type" ma:readOnly="false" ma:showField="Title" ma:web="9d98fa39-7fbd-4685-a488-797cac822720">
      <xsd:complexType>
        <xsd:complexContent>
          <xsd:extension base="dms:MultiChoiceLookup">
            <xsd:sequence>
              <xsd:element name="Value" type="dms:Lookup" maxOccurs="unbounded" minOccurs="0" nillable="true"/>
            </xsd:sequence>
          </xsd:extension>
        </xsd:complexContent>
      </xsd:complexType>
    </xsd:element>
    <xsd:element name="Search_x0020_Year" ma:index="9" nillable="true" ma:displayName="Search Year" ma:list="{fa70f04e-4ddd-4fef-a643-108353521042}" ma:internalName="Search_x0020_Year" ma:showField="Title" ma:web="9d98fa39-7fbd-4685-a488-797cac822720">
      <xsd:simpleType>
        <xsd:restriction base="dms:Lookup"/>
      </xsd:simpleType>
    </xsd:element>
    <xsd:element name="Waiver_x0020_Type" ma:index="10" nillable="true" ma:displayName="Waiver Type" ma:list="{9fb6ab84-5b1e-4d85-881c-f820b3f8e347}" ma:internalName="Waiver_x0020_Type" ma:showField="Title" ma:web="9d98fa39-7fbd-4685-a488-797cac822720">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dbd306d-9ecd-4c95-826c-c285ba0bc3b3" elementFormDefault="qualified">
    <xsd:import namespace="http://schemas.microsoft.com/office/2006/documentManagement/types"/>
    <xsd:import namespace="http://schemas.microsoft.com/office/infopath/2007/PartnerControls"/>
    <xsd:element name="chfsDmsFeeRateSchedTerms" ma:index="11" nillable="true" ma:displayName="Fee and Rate Schedule Terms" ma:format="Dropdown" ma:internalName="chfsDmsFeeRateSchedTerms">
      <xsd:simpleType>
        <xsd:restriction base="dms:Choice">
          <xsd:enumeration value="Audiology"/>
          <xsd:enumeration value="Ambulatory Surgical Center Services"/>
          <xsd:enumeration value="Behavioral Health and Substance Abuse"/>
          <xsd:enumeration value="Chiropractor"/>
          <xsd:enumeration value="Clinical Lab"/>
          <xsd:enumeration value="Community Mental Health Center Rates"/>
          <xsd:enumeration value="DRG Relative Weights"/>
          <xsd:enumeration value="Durable Medicail Equipment (DME)"/>
          <xsd:enumeration value="Home Health Rates"/>
          <xsd:enumeration value="Hospice Rates"/>
          <xsd:enumeration value="Hospital Outpatient Lab"/>
          <xsd:enumeration value="Nursing Facility Rates (NF)"/>
          <xsd:enumeration value="Nursing Facility Lab"/>
          <xsd:enumeration value="Occupational Therapy"/>
          <xsd:enumeration value="Oxygen"/>
          <xsd:enumeration value="Physical Therapy"/>
          <xsd:enumeration value="Physician"/>
          <xsd:enumeration value="Physician Administered Drug List"/>
          <xsd:enumeration value="Private Duty Nursing (PDN)"/>
          <xsd:enumeration value="Preventative"/>
          <xsd:enumeration value="Radiology"/>
          <xsd:enumeration value="Renal Dialysis Rates"/>
          <xsd:enumeration value="Speech Pathology"/>
          <xsd:enumeration value="Transportation"/>
          <xsd:enumeration value="Vision"/>
        </xsd:restriction>
      </xsd:simpleType>
    </xsd:element>
  </xsd:schema>
  <xsd:schema xmlns:xsd="http://www.w3.org/2001/XMLSchema" xmlns:xs="http://www.w3.org/2001/XMLSchema" xmlns:dms="http://schemas.microsoft.com/office/2006/documentManagement/types" xmlns:pc="http://schemas.microsoft.com/office/infopath/2007/PartnerControls" targetNamespace="dcdf0062-15e6-47f3-91ae-956c1b802128" elementFormDefault="qualified">
    <xsd:import namespace="http://schemas.microsoft.com/office/2006/documentManagement/types"/>
    <xsd:import namespace="http://schemas.microsoft.com/office/infopath/2007/PartnerControls"/>
    <xsd:element name="b9w7" ma:index="12" nillable="true" ma:displayName="Date and Time" ma:internalName="b9w7">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6D9BBE-73B9-42EC-B70C-DDD17C48B224}">
  <ds:schemaRefs>
    <ds:schemaRef ds:uri="http://schemas.microsoft.com/office/2006/metadata/properties"/>
    <ds:schemaRef ds:uri="http://schemas.microsoft.com/office/infopath/2007/PartnerControls"/>
    <ds:schemaRef ds:uri="dcdf0062-15e6-47f3-91ae-956c1b802128"/>
    <ds:schemaRef ds:uri="9d98fa39-7fbd-4685-a488-797cac822720"/>
    <ds:schemaRef ds:uri="fdbd306d-9ecd-4c95-826c-c285ba0bc3b3"/>
  </ds:schemaRefs>
</ds:datastoreItem>
</file>

<file path=customXml/itemProps2.xml><?xml version="1.0" encoding="utf-8"?>
<ds:datastoreItem xmlns:ds="http://schemas.openxmlformats.org/officeDocument/2006/customXml" ds:itemID="{FC319666-E958-4895-B0ED-D519878838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98fa39-7fbd-4685-a488-797cac822720"/>
    <ds:schemaRef ds:uri="fdbd306d-9ecd-4c95-826c-c285ba0bc3b3"/>
    <ds:schemaRef ds:uri="dcdf0062-15e6-47f3-91ae-956c1b8021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2911F1-2F30-4638-B813-C086EB25E4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ASC Fee Schedule</vt:lpstr>
      <vt:lpstr>Updates</vt:lpstr>
      <vt:lpstr>'ASC Fee Schedule'!Print_Area</vt:lpstr>
      <vt:lpstr>'ASC Fee Schedule'!Print_Titles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ASC Fee Schedule</dc:title>
  <dc:creator>Ramaraj, Veeraraghavan</dc:creator>
  <cp:lastModifiedBy>Kitchen, Kelly (CHFS DMS DPO)</cp:lastModifiedBy>
  <cp:lastPrinted>2024-11-19T18:13:10Z</cp:lastPrinted>
  <dcterms:created xsi:type="dcterms:W3CDTF">2020-10-30T20:34:13Z</dcterms:created>
  <dcterms:modified xsi:type="dcterms:W3CDTF">2024-11-19T18:13:25Z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0x0101008DA2CD0899BBAE4D907571C6908B6AC70012190DE0FAEAD649A0F28B976FB5BD99</vt:lpwstr>
  </property>
</Properties>
</file>